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stavo.lemoine\OneDrive - INAPA\Escritorio G.L. (Usar)\Gustavo Lemoine\Direccion de Ingenieria G.L\Proyectos\Ac. Amiama Gomez-Las Yayas\2023-11\Consultas Oferentes\"/>
    </mc:Choice>
  </mc:AlternateContent>
  <bookViews>
    <workbookView xWindow="0" yWindow="0" windowWidth="28800" windowHeight="11700" tabRatio="1000" firstSheet="8" activeTab="8"/>
  </bookViews>
  <sheets>
    <sheet name="PARTIDAS VIEJAS" sheetId="1" state="hidden" r:id="rId1"/>
    <sheet name="ACUEDUCTO" sheetId="2" state="hidden" r:id="rId2"/>
    <sheet name="quimicos" sheetId="46" state="hidden" r:id="rId3"/>
    <sheet name="LPU" sheetId="3" state="hidden" r:id="rId4"/>
    <sheet name="MOV. TIERRA ALC." sheetId="4" state="hidden" r:id="rId5"/>
    <sheet name="Especificaciones Técnicas" sheetId="5" state="hidden" r:id="rId6"/>
    <sheet name="Pre Villar Pando Limpio (2)" sheetId="48" state="hidden" r:id="rId7"/>
    <sheet name="Pre Villar Pando Limpio (3)" sheetId="49" state="hidden" r:id="rId8"/>
    <sheet name="lista " sheetId="52" r:id="rId9"/>
    <sheet name="Volumetría" sheetId="7" state="hidden" r:id="rId10"/>
    <sheet name="BbQuantityLink" sheetId="8" state="veryHidden" r:id="rId11"/>
    <sheet name="Hoja10" sheetId="10" state="hidden" r:id="rId12"/>
    <sheet name="Hoja8" sheetId="11" state="hidden" r:id="rId13"/>
    <sheet name="ANALISIS PTAP VP" sheetId="13" state="hidden" r:id="rId14"/>
    <sheet name="Analic. Alim.VP" sheetId="14" state="hidden" r:id="rId15"/>
    <sheet name="Analic. Estruc.VP" sheetId="15" state="hidden" r:id="rId16"/>
    <sheet name="MT TUBERIAS" sheetId="16" state="hidden" r:id="rId17"/>
    <sheet name="Analisis Definitivo" sheetId="17" state="hidden" r:id="rId18"/>
    <sheet name="ANALISIS PTAP" sheetId="18" state="hidden" r:id="rId19"/>
    <sheet name="ANALISIS General" sheetId="19" state="hidden" r:id="rId20"/>
    <sheet name="Hoja4" sheetId="20" state="hidden" r:id="rId21"/>
    <sheet name="Analic. Estruc." sheetId="21" state="hidden" r:id="rId22"/>
    <sheet name="Analic. Alim." sheetId="22" state="hidden" r:id="rId23"/>
    <sheet name="CASA QUIMICO" sheetId="24" state="hidden" r:id="rId24"/>
    <sheet name="MT-A" sheetId="25" state="hidden" r:id="rId25"/>
    <sheet name="MT-H" sheetId="26" state="hidden" r:id="rId26"/>
    <sheet name="MT-C" sheetId="27" state="hidden" r:id="rId27"/>
    <sheet name="MT-G" sheetId="28" state="hidden" r:id="rId28"/>
    <sheet name="MT-F" sheetId="29" state="hidden" r:id="rId29"/>
    <sheet name="Hoja7" sheetId="30" state="hidden" r:id="rId30"/>
    <sheet name="Hoja5" sheetId="31" state="hidden" r:id="rId31"/>
    <sheet name="SDAN" sheetId="32" state="hidden" r:id="rId32"/>
    <sheet name="CASETA CLORACION" sheetId="33" state="hidden" r:id="rId33"/>
    <sheet name="Hoja6" sheetId="34" state="hidden" r:id="rId34"/>
    <sheet name="VOLUMENES Y AREAS" sheetId="35" state="hidden" r:id="rId35"/>
    <sheet name="Partes Planta" sheetId="36" state="hidden" r:id="rId36"/>
    <sheet name="Hoja3" sheetId="37" state="hidden" r:id="rId37"/>
    <sheet name="Hoja2" sheetId="38" state="hidden" r:id="rId38"/>
    <sheet name="ANALISIS DEPOSITO" sheetId="39" state="hidden" r:id="rId39"/>
    <sheet name="Hoja1" sheetId="40" state="hidden" r:id="rId40"/>
    <sheet name="Carcamo de Bombeo 30m3" sheetId="41" state="hidden" r:id="rId41"/>
    <sheet name="ANALISIS " sheetId="42" state="hidden" r:id="rId42"/>
    <sheet name="Hoja11" sheetId="43" state="hidden" r:id="rId43"/>
    <sheet name="Hoja9" sheetId="44" state="hidden" r:id="rId44"/>
    <sheet name="PARA PREGUNTAR" sheetId="4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 localSheetId="8">#REF!</definedName>
    <definedName name="\a">#REF!</definedName>
    <definedName name="\b" localSheetId="8">#REF!</definedName>
    <definedName name="\b">#REF!</definedName>
    <definedName name="\c">#N/A</definedName>
    <definedName name="\d">#N/A</definedName>
    <definedName name="\f" localSheetId="8">#REF!</definedName>
    <definedName name="\f">#REF!</definedName>
    <definedName name="\i" localSheetId="8">#REF!</definedName>
    <definedName name="\i">#REF!</definedName>
    <definedName name="\m" localSheetId="8">#REF!</definedName>
    <definedName name="\m">#REF!</definedName>
    <definedName name="\o" localSheetId="8">#REF!</definedName>
    <definedName name="\o" localSheetId="3">[1]CUB02!$U$11:$U$17</definedName>
    <definedName name="\o">#REF!</definedName>
    <definedName name="\p" localSheetId="8">#REF!</definedName>
    <definedName name="\p" localSheetId="3">[1]CUB02!$U$1:$U$8</definedName>
    <definedName name="\p">#REF!</definedName>
    <definedName name="\q" localSheetId="8">#REF!</definedName>
    <definedName name="\q" localSheetId="3">[1]CUB02!$W$1:$W$8</definedName>
    <definedName name="\q">#REF!</definedName>
    <definedName name="\w" localSheetId="8">#REF!</definedName>
    <definedName name="\w" localSheetId="3">[1]CUB02!$W$11:$W$244</definedName>
    <definedName name="\w">#REF!</definedName>
    <definedName name="\z" localSheetId="8">#REF!</definedName>
    <definedName name="\z" localSheetId="3">[1]CUB02!$S$6</definedName>
    <definedName name="\z">#REF!</definedName>
    <definedName name="__________ZC1" localSheetId="8">#REF!</definedName>
    <definedName name="__________ZC1">#REF!</definedName>
    <definedName name="__________ZE1" localSheetId="8">#REF!</definedName>
    <definedName name="__________ZE1">#REF!</definedName>
    <definedName name="__________ZE2" localSheetId="8">#REF!</definedName>
    <definedName name="__________ZE2">#REF!</definedName>
    <definedName name="__________ZE3" localSheetId="8">#REF!</definedName>
    <definedName name="__________ZE3">#REF!</definedName>
    <definedName name="__________ZE4" localSheetId="8">#REF!</definedName>
    <definedName name="__________ZE4">#REF!</definedName>
    <definedName name="__________ZE5" localSheetId="8">#REF!</definedName>
    <definedName name="__________ZE5">#REF!</definedName>
    <definedName name="__________ZE6" localSheetId="8">#REF!</definedName>
    <definedName name="__________ZE6">#REF!</definedName>
    <definedName name="_________ZC1" localSheetId="8">#REF!</definedName>
    <definedName name="_________ZC1">#REF!</definedName>
    <definedName name="_________ZE1" localSheetId="8">#REF!</definedName>
    <definedName name="_________ZE1">#REF!</definedName>
    <definedName name="_________ZE2" localSheetId="8">#REF!</definedName>
    <definedName name="_________ZE2">#REF!</definedName>
    <definedName name="_________ZE3" localSheetId="8">#REF!</definedName>
    <definedName name="_________ZE3">#REF!</definedName>
    <definedName name="_________ZE4" localSheetId="8">#REF!</definedName>
    <definedName name="_________ZE4">#REF!</definedName>
    <definedName name="_________ZE5" localSheetId="8">#REF!</definedName>
    <definedName name="_________ZE5">#REF!</definedName>
    <definedName name="_________ZE6" localSheetId="8">#REF!</definedName>
    <definedName name="_________ZE6">#REF!</definedName>
    <definedName name="________ZC1" localSheetId="8">#REF!</definedName>
    <definedName name="________ZC1">#REF!</definedName>
    <definedName name="________ZE1" localSheetId="8">#REF!</definedName>
    <definedName name="________ZE1">#REF!</definedName>
    <definedName name="________ZE2" localSheetId="8">#REF!</definedName>
    <definedName name="________ZE2">#REF!</definedName>
    <definedName name="________ZE3" localSheetId="8">#REF!</definedName>
    <definedName name="________ZE3">#REF!</definedName>
    <definedName name="________ZE4" localSheetId="8">#REF!</definedName>
    <definedName name="________ZE4">#REF!</definedName>
    <definedName name="________ZE5" localSheetId="8">#REF!</definedName>
    <definedName name="________ZE5">#REF!</definedName>
    <definedName name="________ZE6" localSheetId="8">#REF!</definedName>
    <definedName name="________ZE6">#REF!</definedName>
    <definedName name="_______ZC1" localSheetId="8">#REF!</definedName>
    <definedName name="_______ZC1">#REF!</definedName>
    <definedName name="_______ZE1" localSheetId="8">#REF!</definedName>
    <definedName name="_______ZE1">#REF!</definedName>
    <definedName name="_______ZE2" localSheetId="8">#REF!</definedName>
    <definedName name="_______ZE2">#REF!</definedName>
    <definedName name="_______ZE3" localSheetId="8">#REF!</definedName>
    <definedName name="_______ZE3">#REF!</definedName>
    <definedName name="_______ZE4" localSheetId="8">#REF!</definedName>
    <definedName name="_______ZE4">#REF!</definedName>
    <definedName name="_______ZE5" localSheetId="8">#REF!</definedName>
    <definedName name="_______ZE5">#REF!</definedName>
    <definedName name="_______ZE6" localSheetId="8">#REF!</definedName>
    <definedName name="_______ZE6">#REF!</definedName>
    <definedName name="______F" localSheetId="8">#REF!</definedName>
    <definedName name="______F">#REF!</definedName>
    <definedName name="______ZC1" localSheetId="8">#REF!</definedName>
    <definedName name="______ZC1">#REF!</definedName>
    <definedName name="______ZE1" localSheetId="8">#REF!</definedName>
    <definedName name="______ZE1">#REF!</definedName>
    <definedName name="______ZE2" localSheetId="8">#REF!</definedName>
    <definedName name="______ZE2">#REF!</definedName>
    <definedName name="______ZE3" localSheetId="8">#REF!</definedName>
    <definedName name="______ZE3">#REF!</definedName>
    <definedName name="______ZE4" localSheetId="8">#REF!</definedName>
    <definedName name="______ZE4">#REF!</definedName>
    <definedName name="______ZE5" localSheetId="8">#REF!</definedName>
    <definedName name="______ZE5">#REF!</definedName>
    <definedName name="______ZE6" localSheetId="8">#REF!</definedName>
    <definedName name="______ZE6">#REF!</definedName>
    <definedName name="_____F" localSheetId="8">#REF!</definedName>
    <definedName name="_____F">#REF!</definedName>
    <definedName name="_____ZC1" localSheetId="8">#REF!</definedName>
    <definedName name="_____ZC1">#REF!</definedName>
    <definedName name="_____ZE1" localSheetId="8">#REF!</definedName>
    <definedName name="_____ZE1">#REF!</definedName>
    <definedName name="_____ZE2" localSheetId="8">#REF!</definedName>
    <definedName name="_____ZE2">#REF!</definedName>
    <definedName name="_____ZE3" localSheetId="8">#REF!</definedName>
    <definedName name="_____ZE3">#REF!</definedName>
    <definedName name="_____ZE4" localSheetId="8">#REF!</definedName>
    <definedName name="_____ZE4">#REF!</definedName>
    <definedName name="_____ZE5" localSheetId="8">#REF!</definedName>
    <definedName name="_____ZE5">#REF!</definedName>
    <definedName name="_____ZE6" localSheetId="8">#REF!</definedName>
    <definedName name="_____ZE6">#REF!</definedName>
    <definedName name="____F" localSheetId="8">#REF!</definedName>
    <definedName name="____F">#REF!</definedName>
    <definedName name="____MZ1155">[2]Mezcla!$F$37</definedName>
    <definedName name="____ZC1" localSheetId="8">#REF!</definedName>
    <definedName name="____ZC1">#REF!</definedName>
    <definedName name="____ZE1" localSheetId="8">#REF!</definedName>
    <definedName name="____ZE1">#REF!</definedName>
    <definedName name="____ZE2" localSheetId="8">#REF!</definedName>
    <definedName name="____ZE2">#REF!</definedName>
    <definedName name="____ZE3" localSheetId="8">#REF!</definedName>
    <definedName name="____ZE3">#REF!</definedName>
    <definedName name="____ZE4" localSheetId="8">#REF!</definedName>
    <definedName name="____ZE4">#REF!</definedName>
    <definedName name="____ZE5" localSheetId="8">#REF!</definedName>
    <definedName name="____ZE5">#REF!</definedName>
    <definedName name="____ZE6" localSheetId="8">#REF!</definedName>
    <definedName name="____ZE6">#REF!</definedName>
    <definedName name="___F" localSheetId="8">#REF!</definedName>
    <definedName name="___F">#REF!</definedName>
    <definedName name="___hor280">[3]Analisis!$D$63</definedName>
    <definedName name="___pu5">[4]Sheet5!$E:$E</definedName>
    <definedName name="___ZC1" localSheetId="8">#REF!</definedName>
    <definedName name="___ZC1">#REF!</definedName>
    <definedName name="___ZE1" localSheetId="8">#REF!</definedName>
    <definedName name="___ZE1">#REF!</definedName>
    <definedName name="___ZE2" localSheetId="8">#REF!</definedName>
    <definedName name="___ZE2">#REF!</definedName>
    <definedName name="___ZE3" localSheetId="8">#REF!</definedName>
    <definedName name="___ZE3">#REF!</definedName>
    <definedName name="___ZE4" localSheetId="8">#REF!</definedName>
    <definedName name="___ZE4">#REF!</definedName>
    <definedName name="___ZE5" localSheetId="8">#REF!</definedName>
    <definedName name="___ZE5">#REF!</definedName>
    <definedName name="___ZE6" localSheetId="8">#REF!</definedName>
    <definedName name="___ZE6">#REF!</definedName>
    <definedName name="__F" localSheetId="8">#REF!</definedName>
    <definedName name="__F">#REF!</definedName>
    <definedName name="__hor210">'[5]anal term'!$G$1512</definedName>
    <definedName name="__pu5">[6]Sheet5!$E:$E</definedName>
    <definedName name="__REALIZADO" localSheetId="8">#REF!</definedName>
    <definedName name="__REALIZADO" localSheetId="3">[1]CUB02!$W$1:$W$8</definedName>
    <definedName name="__REALIZADO">#REF!</definedName>
    <definedName name="__REALIZADO_10" localSheetId="8">#REF!</definedName>
    <definedName name="__REALIZADO_10">#REF!</definedName>
    <definedName name="__REALIZADO_11" localSheetId="8">#REF!</definedName>
    <definedName name="__REALIZADO_11">#REF!</definedName>
    <definedName name="__REALIZADO_5" localSheetId="8">#REF!</definedName>
    <definedName name="__REALIZADO_5">#REF!</definedName>
    <definedName name="__REALIZADO_6" localSheetId="8">#REF!</definedName>
    <definedName name="__REALIZADO_6">#REF!</definedName>
    <definedName name="__REALIZADO_7" localSheetId="8">#REF!</definedName>
    <definedName name="__REALIZADO_7">#REF!</definedName>
    <definedName name="__REALIZADO_8" localSheetId="8">#REF!</definedName>
    <definedName name="__REALIZADO_8">#REF!</definedName>
    <definedName name="__REALIZADO_9" localSheetId="8">#REF!</definedName>
    <definedName name="__REALIZADO_9">#REF!</definedName>
    <definedName name="__ZC1" localSheetId="8">#REF!</definedName>
    <definedName name="__ZC1">#REF!</definedName>
    <definedName name="__ZC1_8" localSheetId="8">#REF!</definedName>
    <definedName name="__ZC1_8">#REF!</definedName>
    <definedName name="__ZE1" localSheetId="8">#REF!</definedName>
    <definedName name="__ZE1">#REF!</definedName>
    <definedName name="__ZE1_8" localSheetId="8">#REF!</definedName>
    <definedName name="__ZE1_8">#REF!</definedName>
    <definedName name="__ZE2" localSheetId="8">#REF!</definedName>
    <definedName name="__ZE2">#REF!</definedName>
    <definedName name="__ZE2_8" localSheetId="8">#REF!</definedName>
    <definedName name="__ZE2_8">#REF!</definedName>
    <definedName name="__ZE3" localSheetId="8">#REF!</definedName>
    <definedName name="__ZE3">#REF!</definedName>
    <definedName name="__ZE3_8" localSheetId="8">#REF!</definedName>
    <definedName name="__ZE3_8">#REF!</definedName>
    <definedName name="__ZE4" localSheetId="8">#REF!</definedName>
    <definedName name="__ZE4">#REF!</definedName>
    <definedName name="__ZE4_8" localSheetId="8">#REF!</definedName>
    <definedName name="__ZE4_8">#REF!</definedName>
    <definedName name="__ZE5" localSheetId="8">#REF!</definedName>
    <definedName name="__ZE5">#REF!</definedName>
    <definedName name="__ZE5_8" localSheetId="8">#REF!</definedName>
    <definedName name="__ZE5_8">#REF!</definedName>
    <definedName name="__ZE6" localSheetId="8">#REF!</definedName>
    <definedName name="__ZE6">#REF!</definedName>
    <definedName name="__ZE6_8" localSheetId="8">#REF!</definedName>
    <definedName name="__ZE6_8">#REF!</definedName>
    <definedName name="_1">#N/A</definedName>
    <definedName name="_1_6">NA()</definedName>
    <definedName name="_a" localSheetId="8">#REF!</definedName>
    <definedName name="_a">#REF!</definedName>
    <definedName name="_a_10" localSheetId="8">#REF!</definedName>
    <definedName name="_a_10">#REF!</definedName>
    <definedName name="_a_11" localSheetId="8">#REF!</definedName>
    <definedName name="_a_11">#REF!</definedName>
    <definedName name="_a_5" localSheetId="8">#REF!</definedName>
    <definedName name="_a_5">#REF!</definedName>
    <definedName name="_a_6" localSheetId="8">#REF!</definedName>
    <definedName name="_a_6">#REF!</definedName>
    <definedName name="_a_7" localSheetId="8">#REF!</definedName>
    <definedName name="_a_7">#REF!</definedName>
    <definedName name="_a_8" localSheetId="8">#REF!</definedName>
    <definedName name="_a_8">#REF!</definedName>
    <definedName name="_a_9" localSheetId="8">#REF!</definedName>
    <definedName name="_a_9">#REF!</definedName>
    <definedName name="_b" localSheetId="8">#REF!</definedName>
    <definedName name="_b">#REF!</definedName>
    <definedName name="_b_6" localSheetId="8">#REF!</definedName>
    <definedName name="_b_6">#REF!</definedName>
    <definedName name="_c">NA()</definedName>
    <definedName name="_CAL50">[7]insumo!$D$11</definedName>
    <definedName name="_d">NA()</definedName>
    <definedName name="_f" localSheetId="8">#REF!</definedName>
    <definedName name="_f">#REF!</definedName>
    <definedName name="_f_6" localSheetId="8">#REF!</definedName>
    <definedName name="_f_6">#REF!</definedName>
    <definedName name="_Fill" localSheetId="22" hidden="1">#REF!</definedName>
    <definedName name="_Fill" localSheetId="14" hidden="1">#REF!</definedName>
    <definedName name="_Fill" localSheetId="21" hidden="1">#REF!</definedName>
    <definedName name="_Fill" localSheetId="15" hidden="1">#REF!</definedName>
    <definedName name="_Fill" localSheetId="38" hidden="1">#REF!</definedName>
    <definedName name="_Fill" localSheetId="19" hidden="1">#REF!</definedName>
    <definedName name="_Fill" localSheetId="18" hidden="1">#REF!</definedName>
    <definedName name="_Fill" localSheetId="13" hidden="1">#REF!</definedName>
    <definedName name="_Fill" localSheetId="40" hidden="1">#REF!</definedName>
    <definedName name="_Fill" localSheetId="8" hidden="1">#REF!</definedName>
    <definedName name="_Fill" localSheetId="3" hidden="1">#REF!</definedName>
    <definedName name="_Fill" localSheetId="25" hidden="1">#REF!</definedName>
    <definedName name="_Fill" localSheetId="6" hidden="1">#REF!</definedName>
    <definedName name="_Fill" localSheetId="7" hidden="1">#REF!</definedName>
    <definedName name="_Fill" localSheetId="2" hidden="1">#REF!</definedName>
    <definedName name="_Fill" localSheetId="9" hidden="1">#REF!</definedName>
    <definedName name="_Fill" hidden="1">#REF!</definedName>
    <definedName name="_xlnm._FilterDatabase" localSheetId="1" hidden="1">ACUEDUCTO!$A$12:$F$1110</definedName>
    <definedName name="_xlnm._FilterDatabase" localSheetId="8" hidden="1">'lista '!$A$7:$F$149</definedName>
    <definedName name="_xlnm._FilterDatabase" localSheetId="6" hidden="1">'Pre Villar Pando Limpio (2)'!$A$11:$F$1003</definedName>
    <definedName name="_xlnm._FilterDatabase" localSheetId="7" hidden="1">'Pre Villar Pando Limpio (3)'!$A$11:$F$1026</definedName>
    <definedName name="_hor210">'[5]anal term'!$G$1512</definedName>
    <definedName name="_i" localSheetId="8">#REF!</definedName>
    <definedName name="_i">#REF!</definedName>
    <definedName name="_i_6" localSheetId="8">#REF!</definedName>
    <definedName name="_i_6">#REF!</definedName>
    <definedName name="_Key1" localSheetId="8" hidden="1">#REF!</definedName>
    <definedName name="_Key1" localSheetId="6" hidden="1">#REF!</definedName>
    <definedName name="_Key1" localSheetId="7" hidden="1">#REF!</definedName>
    <definedName name="_Key1" localSheetId="2" hidden="1">#REF!</definedName>
    <definedName name="_Key1" hidden="1">#REF!</definedName>
    <definedName name="_m" localSheetId="8">#REF!</definedName>
    <definedName name="_m">#REF!</definedName>
    <definedName name="_m_6" localSheetId="8">#REF!</definedName>
    <definedName name="_m_6">#REF!</definedName>
    <definedName name="_MAAL">[8]MOJornal!$D$31</definedName>
    <definedName name="_MZ1155">[7]Mezcla!$G$37</definedName>
    <definedName name="_o" localSheetId="8">#REF!</definedName>
    <definedName name="_o">#REF!</definedName>
    <definedName name="_o_10" localSheetId="8">#REF!</definedName>
    <definedName name="_o_10">#REF!</definedName>
    <definedName name="_o_11" localSheetId="8">#REF!</definedName>
    <definedName name="_o_11">#REF!</definedName>
    <definedName name="_o_5" localSheetId="8">#REF!</definedName>
    <definedName name="_o_5">#REF!</definedName>
    <definedName name="_o_6" localSheetId="8">#REF!</definedName>
    <definedName name="_o_6">#REF!</definedName>
    <definedName name="_o_7" localSheetId="8">#REF!</definedName>
    <definedName name="_o_7">#REF!</definedName>
    <definedName name="_o_8" localSheetId="8">#REF!</definedName>
    <definedName name="_o_8">#REF!</definedName>
    <definedName name="_o_9" localSheetId="8">#REF!</definedName>
    <definedName name="_o_9">#REF!</definedName>
    <definedName name="_OP2AL">[8]MOJornal!$D$51</definedName>
    <definedName name="_Order1" hidden="1">255</definedName>
    <definedName name="_Order2" hidden="1">255</definedName>
    <definedName name="_p" localSheetId="8">#REF!</definedName>
    <definedName name="_p">#REF!</definedName>
    <definedName name="_p_10" localSheetId="8">#REF!</definedName>
    <definedName name="_p_10">#REF!</definedName>
    <definedName name="_p_11" localSheetId="8">#REF!</definedName>
    <definedName name="_p_11">#REF!</definedName>
    <definedName name="_p_5" localSheetId="8">#REF!</definedName>
    <definedName name="_p_5">#REF!</definedName>
    <definedName name="_p_6" localSheetId="8">#REF!</definedName>
    <definedName name="_p_6">#REF!</definedName>
    <definedName name="_p_7" localSheetId="8">#REF!</definedName>
    <definedName name="_p_7">#REF!</definedName>
    <definedName name="_p_8" localSheetId="8">#REF!</definedName>
    <definedName name="_p_8">#REF!</definedName>
    <definedName name="_p_9" localSheetId="8">#REF!</definedName>
    <definedName name="_p_9">#REF!</definedName>
    <definedName name="_pl12">[9]analisis!$G$2477</definedName>
    <definedName name="_pl316">[9]analisis!$G$2513</definedName>
    <definedName name="_pl38">[9]analisis!$G$2486</definedName>
    <definedName name="_pu5">[10]Sheet5!$E:$E</definedName>
    <definedName name="_q" localSheetId="8">#REF!</definedName>
    <definedName name="_q">#REF!</definedName>
    <definedName name="_q_10" localSheetId="8">#REF!</definedName>
    <definedName name="_q_10">#REF!</definedName>
    <definedName name="_q_11" localSheetId="8">#REF!</definedName>
    <definedName name="_q_11">#REF!</definedName>
    <definedName name="_q_5" localSheetId="8">#REF!</definedName>
    <definedName name="_q_5">#REF!</definedName>
    <definedName name="_q_6" localSheetId="8">#REF!</definedName>
    <definedName name="_q_6">#REF!</definedName>
    <definedName name="_q_7" localSheetId="8">#REF!</definedName>
    <definedName name="_q_7">#REF!</definedName>
    <definedName name="_q_8" localSheetId="8">#REF!</definedName>
    <definedName name="_q_8">#REF!</definedName>
    <definedName name="_q_9" localSheetId="8">#REF!</definedName>
    <definedName name="_q_9">#REF!</definedName>
    <definedName name="_Sort" localSheetId="8" hidden="1">#REF!</definedName>
    <definedName name="_Sort" localSheetId="6" hidden="1">#REF!</definedName>
    <definedName name="_Sort" localSheetId="7" hidden="1">#REF!</definedName>
    <definedName name="_Sort" localSheetId="2" hidden="1">#REF!</definedName>
    <definedName name="_Sort" hidden="1">#REF!</definedName>
    <definedName name="_TCAL">[8]MOJornal!$D$63</definedName>
    <definedName name="_VAR38">[11]Precio!$F$11</definedName>
    <definedName name="_w" localSheetId="8">#REF!</definedName>
    <definedName name="_w">#REF!</definedName>
    <definedName name="_w_10" localSheetId="8">#REF!</definedName>
    <definedName name="_w_10">#REF!</definedName>
    <definedName name="_w_11" localSheetId="8">#REF!</definedName>
    <definedName name="_w_11">#REF!</definedName>
    <definedName name="_w_5" localSheetId="8">#REF!</definedName>
    <definedName name="_w_5">#REF!</definedName>
    <definedName name="_w_6" localSheetId="8">#REF!</definedName>
    <definedName name="_w_6">#REF!</definedName>
    <definedName name="_w_7" localSheetId="8">#REF!</definedName>
    <definedName name="_w_7">#REF!</definedName>
    <definedName name="_w_8" localSheetId="8">#REF!</definedName>
    <definedName name="_w_8">#REF!</definedName>
    <definedName name="_w_9" localSheetId="8">#REF!</definedName>
    <definedName name="_w_9">#REF!</definedName>
    <definedName name="_z" localSheetId="8">#REF!</definedName>
    <definedName name="_z">#REF!</definedName>
    <definedName name="_z_10" localSheetId="8">#REF!</definedName>
    <definedName name="_z_10">#REF!</definedName>
    <definedName name="_z_11" localSheetId="8">#REF!</definedName>
    <definedName name="_z_11">#REF!</definedName>
    <definedName name="_z_5" localSheetId="8">#REF!</definedName>
    <definedName name="_z_5">#REF!</definedName>
    <definedName name="_z_6" localSheetId="8">#REF!</definedName>
    <definedName name="_z_6">#REF!</definedName>
    <definedName name="_z_7" localSheetId="8">#REF!</definedName>
    <definedName name="_z_7">#REF!</definedName>
    <definedName name="_z_8" localSheetId="8">#REF!</definedName>
    <definedName name="_z_8">#REF!</definedName>
    <definedName name="_z_9" localSheetId="8">#REF!</definedName>
    <definedName name="_z_9">#REF!</definedName>
    <definedName name="_ZC1" localSheetId="8">#REF!</definedName>
    <definedName name="_ZC1">#REF!</definedName>
    <definedName name="_ZC1_8" localSheetId="8">#REF!</definedName>
    <definedName name="_ZC1_8">#REF!</definedName>
    <definedName name="_ZE1" localSheetId="8">#REF!</definedName>
    <definedName name="_ZE1">#REF!</definedName>
    <definedName name="_ZE1_8" localSheetId="8">#REF!</definedName>
    <definedName name="_ZE1_8">#REF!</definedName>
    <definedName name="_ZE2" localSheetId="8">#REF!</definedName>
    <definedName name="_ZE2">#REF!</definedName>
    <definedName name="_ZE2_8" localSheetId="8">#REF!</definedName>
    <definedName name="_ZE2_8">#REF!</definedName>
    <definedName name="_ZE3" localSheetId="8">#REF!</definedName>
    <definedName name="_ZE3">#REF!</definedName>
    <definedName name="_ZE3_8" localSheetId="8">#REF!</definedName>
    <definedName name="_ZE3_8">#REF!</definedName>
    <definedName name="_ZE4" localSheetId="8">#REF!</definedName>
    <definedName name="_ZE4">#REF!</definedName>
    <definedName name="_ZE4_8" localSheetId="8">#REF!</definedName>
    <definedName name="_ZE4_8">#REF!</definedName>
    <definedName name="_ZE5" localSheetId="8">#REF!</definedName>
    <definedName name="_ZE5">#REF!</definedName>
    <definedName name="_ZE5_8" localSheetId="8">#REF!</definedName>
    <definedName name="_ZE5_8">#REF!</definedName>
    <definedName name="_ZE6" localSheetId="8">#REF!</definedName>
    <definedName name="_ZE6">#REF!</definedName>
    <definedName name="_ZE6_8" localSheetId="8">#REF!</definedName>
    <definedName name="_ZE6_8">#REF!</definedName>
    <definedName name="a" localSheetId="8">[12]PVC!#REF!</definedName>
    <definedName name="a">[12]PVC!#REF!</definedName>
    <definedName name="a_10" localSheetId="8">#REF!</definedName>
    <definedName name="a_10">#REF!</definedName>
    <definedName name="a_11" localSheetId="8">#REF!</definedName>
    <definedName name="a_11">#REF!</definedName>
    <definedName name="a_6" localSheetId="8">#REF!</definedName>
    <definedName name="a_6">#REF!</definedName>
    <definedName name="a_7" localSheetId="8">#REF!</definedName>
    <definedName name="a_7">#REF!</definedName>
    <definedName name="a_8" localSheetId="8">#REF!</definedName>
    <definedName name="a_8">#REF!</definedName>
    <definedName name="a_9" localSheetId="8">#REF!</definedName>
    <definedName name="a_9">#REF!</definedName>
    <definedName name="A_IMPRESIÓN_IM" localSheetId="8">#REF!</definedName>
    <definedName name="A_IMPRESIÓN_IM">#REF!</definedName>
    <definedName name="A_IMPRESIÓN_IM_10" localSheetId="8">#REF!</definedName>
    <definedName name="A_IMPRESIÓN_IM_10">#REF!</definedName>
    <definedName name="A_IMPRESIÓN_IM_11" localSheetId="8">#REF!</definedName>
    <definedName name="A_IMPRESIÓN_IM_11">#REF!</definedName>
    <definedName name="A_IMPRESIÓN_IM_5" localSheetId="8">#REF!</definedName>
    <definedName name="A_IMPRESIÓN_IM_5">#REF!</definedName>
    <definedName name="A_IMPRESIÓN_IM_6" localSheetId="8">#REF!</definedName>
    <definedName name="A_IMPRESIÓN_IM_6">#REF!</definedName>
    <definedName name="A_IMPRESIÓN_IM_7" localSheetId="8">#REF!</definedName>
    <definedName name="A_IMPRESIÓN_IM_7">#REF!</definedName>
    <definedName name="A_IMPRESIÓN_IM_8" localSheetId="8">#REF!</definedName>
    <definedName name="A_IMPRESIÓN_IM_8">#REF!</definedName>
    <definedName name="A_IMPRESIÓN_IM_9" localSheetId="8">#REF!</definedName>
    <definedName name="A_IMPRESIÓN_IM_9">#REF!</definedName>
    <definedName name="AA" localSheetId="8">[13]M.O.!#REF!</definedName>
    <definedName name="AA">[13]M.O.!#REF!</definedName>
    <definedName name="aa_3">"$#REF!.$B$109"</definedName>
    <definedName name="AAG">[11]Precio!$F$20</definedName>
    <definedName name="AC" localSheetId="3">[2]insumo!$D$4</definedName>
    <definedName name="AC">[7]insumo!$D$4</definedName>
    <definedName name="AC38G40" localSheetId="3">'[14]LISTADO INSUMOS DEL 2000'!$I$29</definedName>
    <definedName name="AC38G40">'[15]LISTADO INSUMOS DEL 2000'!$I$29</definedName>
    <definedName name="acer_malla_01" localSheetId="8">#REF!</definedName>
    <definedName name="acer_malla_01">#REF!</definedName>
    <definedName name="acero" localSheetId="8">#REF!</definedName>
    <definedName name="acero">#REF!</definedName>
    <definedName name="Acero.C1.1erN.Villa">'[16]Detalle Acero'!$H$26</definedName>
    <definedName name="Acero.C2.1erN.Villa">'[16]Detalle Acero'!$L$26</definedName>
    <definedName name="Acero.platea.Villa">'[16]Detalle Acero'!$D$26</definedName>
    <definedName name="Acero.Viga.Platea.Villa">'[16]Detalle Acero'!$F$26</definedName>
    <definedName name="Acero_1_2_____Grado_40">[17]Insumos!$B$6:$D$6</definedName>
    <definedName name="Acero_1_4______Grado_40">[17]Insumos!$B$7:$D$7</definedName>
    <definedName name="Acero_3_4__1_____Grado_40">[17]Insumos!$B$8:$D$8</definedName>
    <definedName name="Acero_3_8______Grado_40">[17]Insumos!$B$9:$D$9</definedName>
    <definedName name="acero_6" localSheetId="8">#REF!</definedName>
    <definedName name="acero_6">#REF!</definedName>
    <definedName name="acero_8" localSheetId="8">#REF!</definedName>
    <definedName name="acero_8">#REF!</definedName>
    <definedName name="Acero_Grado_60">'[18]LISTA DE PRECIO'!$C$6</definedName>
    <definedName name="Acero_MO_Alambre" localSheetId="8">#REF!</definedName>
    <definedName name="Acero_MO_Alambre" localSheetId="9">'[19]ANALISIS PLANTA'!$F$273</definedName>
    <definedName name="Acero_MO_Alambre">#REF!</definedName>
    <definedName name="acero_obra" localSheetId="8">#REF!</definedName>
    <definedName name="acero_obra">#REF!</definedName>
    <definedName name="Acero_QQ" localSheetId="8">#REF!</definedName>
    <definedName name="Acero_QQ" localSheetId="3">[20]INSU!$D$9</definedName>
    <definedName name="Acero_QQ">#REF!</definedName>
    <definedName name="Acero_QQ_10" localSheetId="8">#REF!</definedName>
    <definedName name="Acero_QQ_10">#REF!</definedName>
    <definedName name="Acero_QQ_11" localSheetId="8">#REF!</definedName>
    <definedName name="Acero_QQ_11">#REF!</definedName>
    <definedName name="Acero_QQ_5" localSheetId="8">#REF!</definedName>
    <definedName name="Acero_QQ_5">#REF!</definedName>
    <definedName name="Acero_QQ_6" localSheetId="8">#REF!</definedName>
    <definedName name="Acero_QQ_6">#REF!</definedName>
    <definedName name="Acero_QQ_7" localSheetId="8">#REF!</definedName>
    <definedName name="Acero_QQ_7">#REF!</definedName>
    <definedName name="Acero_QQ_8" localSheetId="8">#REF!</definedName>
    <definedName name="Acero_QQ_8">#REF!</definedName>
    <definedName name="Acero_QQ_9" localSheetId="8">#REF!</definedName>
    <definedName name="Acero_QQ_9">#REF!</definedName>
    <definedName name="acero60" localSheetId="8">#REF!</definedName>
    <definedName name="acero60">#REF!</definedName>
    <definedName name="acero60_8" localSheetId="8">#REF!</definedName>
    <definedName name="acero60_8">#REF!</definedName>
    <definedName name="ACUEDUCTO" localSheetId="8">[21]INS!#REF!</definedName>
    <definedName name="ACUEDUCTO">[21]INS!#REF!</definedName>
    <definedName name="ACUEDUCTO_8" localSheetId="8">#REF!</definedName>
    <definedName name="ACUEDUCTO_8">#REF!</definedName>
    <definedName name="ADA" localSheetId="8">'[22]CUB-10181-3(Rescision)'!#REF!</definedName>
    <definedName name="ADA">'[22]CUB-10181-3(Rescision)'!#REF!</definedName>
    <definedName name="ADAPTADOR_HEM_PVC_1" localSheetId="8">#REF!</definedName>
    <definedName name="ADAPTADOR_HEM_PVC_1">#REF!</definedName>
    <definedName name="ADAPTADOR_HEM_PVC_1_10" localSheetId="8">#REF!</definedName>
    <definedName name="ADAPTADOR_HEM_PVC_1_10">#REF!</definedName>
    <definedName name="ADAPTADOR_HEM_PVC_1_11" localSheetId="8">#REF!</definedName>
    <definedName name="ADAPTADOR_HEM_PVC_1_11">#REF!</definedName>
    <definedName name="ADAPTADOR_HEM_PVC_1_6" localSheetId="8">#REF!</definedName>
    <definedName name="ADAPTADOR_HEM_PVC_1_6">#REF!</definedName>
    <definedName name="ADAPTADOR_HEM_PVC_1_7" localSheetId="8">#REF!</definedName>
    <definedName name="ADAPTADOR_HEM_PVC_1_7">#REF!</definedName>
    <definedName name="ADAPTADOR_HEM_PVC_1_8" localSheetId="8">#REF!</definedName>
    <definedName name="ADAPTADOR_HEM_PVC_1_8">#REF!</definedName>
    <definedName name="ADAPTADOR_HEM_PVC_1_9" localSheetId="8">#REF!</definedName>
    <definedName name="ADAPTADOR_HEM_PVC_1_9">#REF!</definedName>
    <definedName name="ADAPTADOR_HEM_PVC_12" localSheetId="8">#REF!</definedName>
    <definedName name="ADAPTADOR_HEM_PVC_12">#REF!</definedName>
    <definedName name="ADAPTADOR_HEM_PVC_12_10" localSheetId="8">#REF!</definedName>
    <definedName name="ADAPTADOR_HEM_PVC_12_10">#REF!</definedName>
    <definedName name="ADAPTADOR_HEM_PVC_12_11" localSheetId="8">#REF!</definedName>
    <definedName name="ADAPTADOR_HEM_PVC_12_11">#REF!</definedName>
    <definedName name="ADAPTADOR_HEM_PVC_12_6" localSheetId="8">#REF!</definedName>
    <definedName name="ADAPTADOR_HEM_PVC_12_6">#REF!</definedName>
    <definedName name="ADAPTADOR_HEM_PVC_12_7" localSheetId="8">#REF!</definedName>
    <definedName name="ADAPTADOR_HEM_PVC_12_7">#REF!</definedName>
    <definedName name="ADAPTADOR_HEM_PVC_12_8" localSheetId="8">#REF!</definedName>
    <definedName name="ADAPTADOR_HEM_PVC_12_8">#REF!</definedName>
    <definedName name="ADAPTADOR_HEM_PVC_12_9" localSheetId="8">#REF!</definedName>
    <definedName name="ADAPTADOR_HEM_PVC_12_9">#REF!</definedName>
    <definedName name="ADAPTADOR_HEM_PVC_34" localSheetId="8">#REF!</definedName>
    <definedName name="ADAPTADOR_HEM_PVC_34">#REF!</definedName>
    <definedName name="ADAPTADOR_HEM_PVC_34_10" localSheetId="8">#REF!</definedName>
    <definedName name="ADAPTADOR_HEM_PVC_34_10">#REF!</definedName>
    <definedName name="ADAPTADOR_HEM_PVC_34_11" localSheetId="8">#REF!</definedName>
    <definedName name="ADAPTADOR_HEM_PVC_34_11">#REF!</definedName>
    <definedName name="ADAPTADOR_HEM_PVC_34_6" localSheetId="8">#REF!</definedName>
    <definedName name="ADAPTADOR_HEM_PVC_34_6">#REF!</definedName>
    <definedName name="ADAPTADOR_HEM_PVC_34_7" localSheetId="8">#REF!</definedName>
    <definedName name="ADAPTADOR_HEM_PVC_34_7">#REF!</definedName>
    <definedName name="ADAPTADOR_HEM_PVC_34_8" localSheetId="8">#REF!</definedName>
    <definedName name="ADAPTADOR_HEM_PVC_34_8">#REF!</definedName>
    <definedName name="ADAPTADOR_HEM_PVC_34_9" localSheetId="8">#REF!</definedName>
    <definedName name="ADAPTADOR_HEM_PVC_34_9">#REF!</definedName>
    <definedName name="ADAPTADOR_MAC_PVC_1" localSheetId="8">#REF!</definedName>
    <definedName name="ADAPTADOR_MAC_PVC_1">#REF!</definedName>
    <definedName name="ADAPTADOR_MAC_PVC_1_10" localSheetId="8">#REF!</definedName>
    <definedName name="ADAPTADOR_MAC_PVC_1_10">#REF!</definedName>
    <definedName name="ADAPTADOR_MAC_PVC_1_11" localSheetId="8">#REF!</definedName>
    <definedName name="ADAPTADOR_MAC_PVC_1_11">#REF!</definedName>
    <definedName name="ADAPTADOR_MAC_PVC_1_6" localSheetId="8">#REF!</definedName>
    <definedName name="ADAPTADOR_MAC_PVC_1_6">#REF!</definedName>
    <definedName name="ADAPTADOR_MAC_PVC_1_7" localSheetId="8">#REF!</definedName>
    <definedName name="ADAPTADOR_MAC_PVC_1_7">#REF!</definedName>
    <definedName name="ADAPTADOR_MAC_PVC_1_8" localSheetId="8">#REF!</definedName>
    <definedName name="ADAPTADOR_MAC_PVC_1_8">#REF!</definedName>
    <definedName name="ADAPTADOR_MAC_PVC_1_9" localSheetId="8">#REF!</definedName>
    <definedName name="ADAPTADOR_MAC_PVC_1_9">#REF!</definedName>
    <definedName name="ADAPTADOR_MAC_PVC_12" localSheetId="8">#REF!</definedName>
    <definedName name="ADAPTADOR_MAC_PVC_12">#REF!</definedName>
    <definedName name="ADAPTADOR_MAC_PVC_12_10" localSheetId="8">#REF!</definedName>
    <definedName name="ADAPTADOR_MAC_PVC_12_10">#REF!</definedName>
    <definedName name="ADAPTADOR_MAC_PVC_12_11" localSheetId="8">#REF!</definedName>
    <definedName name="ADAPTADOR_MAC_PVC_12_11">#REF!</definedName>
    <definedName name="ADAPTADOR_MAC_PVC_12_6" localSheetId="8">#REF!</definedName>
    <definedName name="ADAPTADOR_MAC_PVC_12_6">#REF!</definedName>
    <definedName name="ADAPTADOR_MAC_PVC_12_7" localSheetId="8">#REF!</definedName>
    <definedName name="ADAPTADOR_MAC_PVC_12_7">#REF!</definedName>
    <definedName name="ADAPTADOR_MAC_PVC_12_8" localSheetId="8">#REF!</definedName>
    <definedName name="ADAPTADOR_MAC_PVC_12_8">#REF!</definedName>
    <definedName name="ADAPTADOR_MAC_PVC_12_9" localSheetId="8">#REF!</definedName>
    <definedName name="ADAPTADOR_MAC_PVC_12_9">#REF!</definedName>
    <definedName name="ADAPTADOR_MAC_PVC_34" localSheetId="8">#REF!</definedName>
    <definedName name="ADAPTADOR_MAC_PVC_34">#REF!</definedName>
    <definedName name="ADAPTADOR_MAC_PVC_34_10" localSheetId="8">#REF!</definedName>
    <definedName name="ADAPTADOR_MAC_PVC_34_10">#REF!</definedName>
    <definedName name="ADAPTADOR_MAC_PVC_34_11" localSheetId="8">#REF!</definedName>
    <definedName name="ADAPTADOR_MAC_PVC_34_11">#REF!</definedName>
    <definedName name="ADAPTADOR_MAC_PVC_34_6" localSheetId="8">#REF!</definedName>
    <definedName name="ADAPTADOR_MAC_PVC_34_6">#REF!</definedName>
    <definedName name="ADAPTADOR_MAC_PVC_34_7" localSheetId="8">#REF!</definedName>
    <definedName name="ADAPTADOR_MAC_PVC_34_7">#REF!</definedName>
    <definedName name="ADAPTADOR_MAC_PVC_34_8" localSheetId="8">#REF!</definedName>
    <definedName name="ADAPTADOR_MAC_PVC_34_8">#REF!</definedName>
    <definedName name="ADAPTADOR_MAC_PVC_34_9" localSheetId="8">#REF!</definedName>
    <definedName name="ADAPTADOR_MAC_PVC_34_9">#REF!</definedName>
    <definedName name="ADICIONAL">#N/A</definedName>
    <definedName name="ADICIONAL_6">NA()</definedName>
    <definedName name="ADITIVO_IMPERMEABILIZANTE" localSheetId="8">#REF!</definedName>
    <definedName name="ADITIVO_IMPERMEABILIZANTE">#REF!</definedName>
    <definedName name="ADITIVO_IMPERMEABILIZANTE_10" localSheetId="8">#REF!</definedName>
    <definedName name="ADITIVO_IMPERMEABILIZANTE_10">#REF!</definedName>
    <definedName name="ADITIVO_IMPERMEABILIZANTE_11" localSheetId="8">#REF!</definedName>
    <definedName name="ADITIVO_IMPERMEABILIZANTE_11">#REF!</definedName>
    <definedName name="ADITIVO_IMPERMEABILIZANTE_6" localSheetId="8">#REF!</definedName>
    <definedName name="ADITIVO_IMPERMEABILIZANTE_6">#REF!</definedName>
    <definedName name="ADITIVO_IMPERMEABILIZANTE_7" localSheetId="8">#REF!</definedName>
    <definedName name="ADITIVO_IMPERMEABILIZANTE_7">#REF!</definedName>
    <definedName name="ADITIVO_IMPERMEABILIZANTE_8" localSheetId="8">#REF!</definedName>
    <definedName name="ADITIVO_IMPERMEABILIZANTE_8">#REF!</definedName>
    <definedName name="ADITIVO_IMPERMEABILIZANTE_9" localSheetId="8">#REF!</definedName>
    <definedName name="ADITIVO_IMPERMEABILIZANTE_9">#REF!</definedName>
    <definedName name="AG">[11]Precio!$F$21</definedName>
    <definedName name="agua" localSheetId="8">#REF!</definedName>
    <definedName name="agua" localSheetId="9">'[19]ANALISIS PLANTA'!$E$13</definedName>
    <definedName name="agua">#REF!</definedName>
    <definedName name="Agua.Potable.1erN">[23]Análisis!$F$1816</definedName>
    <definedName name="Agua.Potable.3er.4toy5toN">[23]Análisis!$F$1956</definedName>
    <definedName name="Agua_10" localSheetId="8">#REF!</definedName>
    <definedName name="Agua_10">#REF!</definedName>
    <definedName name="Agua_11" localSheetId="8">#REF!</definedName>
    <definedName name="Agua_11">#REF!</definedName>
    <definedName name="Agua_6" localSheetId="8">#REF!</definedName>
    <definedName name="Agua_6">#REF!</definedName>
    <definedName name="Agua_7" localSheetId="8">#REF!</definedName>
    <definedName name="Agua_7">#REF!</definedName>
    <definedName name="Agua_8" localSheetId="8">#REF!</definedName>
    <definedName name="Agua_8">#REF!</definedName>
    <definedName name="Agua_9" localSheetId="8">#REF!</definedName>
    <definedName name="Agua_9">#REF!</definedName>
    <definedName name="AL_ELEC_No10" localSheetId="8">#REF!</definedName>
    <definedName name="AL_ELEC_No10">#REF!</definedName>
    <definedName name="AL_ELEC_No10_10" localSheetId="8">#REF!</definedName>
    <definedName name="AL_ELEC_No10_10">#REF!</definedName>
    <definedName name="AL_ELEC_No10_11" localSheetId="8">#REF!</definedName>
    <definedName name="AL_ELEC_No10_11">#REF!</definedName>
    <definedName name="AL_ELEC_No10_6" localSheetId="8">#REF!</definedName>
    <definedName name="AL_ELEC_No10_6">#REF!</definedName>
    <definedName name="AL_ELEC_No10_7" localSheetId="8">#REF!</definedName>
    <definedName name="AL_ELEC_No10_7">#REF!</definedName>
    <definedName name="AL_ELEC_No10_8" localSheetId="8">#REF!</definedName>
    <definedName name="AL_ELEC_No10_8">#REF!</definedName>
    <definedName name="AL_ELEC_No10_9" localSheetId="8">#REF!</definedName>
    <definedName name="AL_ELEC_No10_9">#REF!</definedName>
    <definedName name="AL_ELEC_No12" localSheetId="8">#REF!</definedName>
    <definedName name="AL_ELEC_No12">#REF!</definedName>
    <definedName name="AL_ELEC_No12_10" localSheetId="8">#REF!</definedName>
    <definedName name="AL_ELEC_No12_10">#REF!</definedName>
    <definedName name="AL_ELEC_No12_11" localSheetId="8">#REF!</definedName>
    <definedName name="AL_ELEC_No12_11">#REF!</definedName>
    <definedName name="AL_ELEC_No12_6" localSheetId="8">#REF!</definedName>
    <definedName name="AL_ELEC_No12_6">#REF!</definedName>
    <definedName name="AL_ELEC_No12_7" localSheetId="8">#REF!</definedName>
    <definedName name="AL_ELEC_No12_7">#REF!</definedName>
    <definedName name="AL_ELEC_No12_8" localSheetId="8">#REF!</definedName>
    <definedName name="AL_ELEC_No12_8">#REF!</definedName>
    <definedName name="AL_ELEC_No12_9" localSheetId="8">#REF!</definedName>
    <definedName name="AL_ELEC_No12_9">#REF!</definedName>
    <definedName name="AL_ELEC_No14" localSheetId="8">#REF!</definedName>
    <definedName name="AL_ELEC_No14">#REF!</definedName>
    <definedName name="AL_ELEC_No14_10" localSheetId="8">#REF!</definedName>
    <definedName name="AL_ELEC_No14_10">#REF!</definedName>
    <definedName name="AL_ELEC_No14_11" localSheetId="8">#REF!</definedName>
    <definedName name="AL_ELEC_No14_11">#REF!</definedName>
    <definedName name="AL_ELEC_No14_6" localSheetId="8">#REF!</definedName>
    <definedName name="AL_ELEC_No14_6">#REF!</definedName>
    <definedName name="AL_ELEC_No14_7" localSheetId="8">#REF!</definedName>
    <definedName name="AL_ELEC_No14_7">#REF!</definedName>
    <definedName name="AL_ELEC_No14_8" localSheetId="8">#REF!</definedName>
    <definedName name="AL_ELEC_No14_8">#REF!</definedName>
    <definedName name="AL_ELEC_No14_9" localSheetId="8">#REF!</definedName>
    <definedName name="AL_ELEC_No14_9">#REF!</definedName>
    <definedName name="AL_ELEC_No6" localSheetId="8">#REF!</definedName>
    <definedName name="AL_ELEC_No6">#REF!</definedName>
    <definedName name="AL_ELEC_No6_10" localSheetId="8">#REF!</definedName>
    <definedName name="AL_ELEC_No6_10">#REF!</definedName>
    <definedName name="AL_ELEC_No6_11" localSheetId="8">#REF!</definedName>
    <definedName name="AL_ELEC_No6_11">#REF!</definedName>
    <definedName name="AL_ELEC_No6_6" localSheetId="8">#REF!</definedName>
    <definedName name="AL_ELEC_No6_6">#REF!</definedName>
    <definedName name="AL_ELEC_No6_7" localSheetId="8">#REF!</definedName>
    <definedName name="AL_ELEC_No6_7">#REF!</definedName>
    <definedName name="AL_ELEC_No6_8" localSheetId="8">#REF!</definedName>
    <definedName name="AL_ELEC_No6_8">#REF!</definedName>
    <definedName name="AL_ELEC_No6_9" localSheetId="8">#REF!</definedName>
    <definedName name="AL_ELEC_No6_9">#REF!</definedName>
    <definedName name="AL_ELEC_No8" localSheetId="8">#REF!</definedName>
    <definedName name="AL_ELEC_No8">#REF!</definedName>
    <definedName name="AL_ELEC_No8_10" localSheetId="8">#REF!</definedName>
    <definedName name="AL_ELEC_No8_10">#REF!</definedName>
    <definedName name="AL_ELEC_No8_11" localSheetId="8">#REF!</definedName>
    <definedName name="AL_ELEC_No8_11">#REF!</definedName>
    <definedName name="AL_ELEC_No8_6" localSheetId="8">#REF!</definedName>
    <definedName name="AL_ELEC_No8_6">#REF!</definedName>
    <definedName name="AL_ELEC_No8_7" localSheetId="8">#REF!</definedName>
    <definedName name="AL_ELEC_No8_7">#REF!</definedName>
    <definedName name="AL_ELEC_No8_8" localSheetId="8">#REF!</definedName>
    <definedName name="AL_ELEC_No8_8">#REF!</definedName>
    <definedName name="AL_ELEC_No8_9" localSheetId="8">#REF!</definedName>
    <definedName name="AL_ELEC_No8_9">#REF!</definedName>
    <definedName name="ALAM18">[11]Precio!$F$15</definedName>
    <definedName name="Alamber_galv_No18" localSheetId="8">#REF!</definedName>
    <definedName name="Alamber_galv_No18">#REF!</definedName>
    <definedName name="Alambre_galv_No8" localSheetId="8">#REF!</definedName>
    <definedName name="Alambre_galv_No8">#REF!</definedName>
    <definedName name="Alambre_galvanizago__18">'[18]LISTA DE PRECIO'!$C$7</definedName>
    <definedName name="Alambre_No._18">[17]Insumos!$B$20:$D$20</definedName>
    <definedName name="Alambre_Varilla" localSheetId="8">#REF!</definedName>
    <definedName name="Alambre_Varilla" localSheetId="3">[20]INSU!$D$17</definedName>
    <definedName name="Alambre_Varilla">#REF!</definedName>
    <definedName name="Alambre_Varilla_10" localSheetId="8">#REF!</definedName>
    <definedName name="Alambre_Varilla_10">#REF!</definedName>
    <definedName name="Alambre_Varilla_11" localSheetId="8">#REF!</definedName>
    <definedName name="Alambre_Varilla_11">#REF!</definedName>
    <definedName name="Alambre_Varilla_5" localSheetId="8">#REF!</definedName>
    <definedName name="Alambre_Varilla_5">#REF!</definedName>
    <definedName name="Alambre_Varilla_6" localSheetId="8">#REF!</definedName>
    <definedName name="Alambre_Varilla_6">#REF!</definedName>
    <definedName name="Alambre_Varilla_7" localSheetId="8">#REF!</definedName>
    <definedName name="Alambre_Varilla_7">#REF!</definedName>
    <definedName name="Alambre_Varilla_8" localSheetId="8">#REF!</definedName>
    <definedName name="Alambre_Varilla_8">#REF!</definedName>
    <definedName name="Alambre_Varilla_9" localSheetId="8">#REF!</definedName>
    <definedName name="Alambre_Varilla_9">#REF!</definedName>
    <definedName name="alambre18" localSheetId="8">#REF!</definedName>
    <definedName name="alambre18">#REF!</definedName>
    <definedName name="alambre18_8" localSheetId="8">#REF!</definedName>
    <definedName name="alambre18_8">#REF!</definedName>
    <definedName name="ALAMBRED">[7]insumo!$D$5</definedName>
    <definedName name="ALBANIL" localSheetId="8">#REF!</definedName>
    <definedName name="ALBANIL">#REF!</definedName>
    <definedName name="ALBANIL2">[24]M.O.!$C$12</definedName>
    <definedName name="ALBANIL2_10" localSheetId="8">#REF!</definedName>
    <definedName name="ALBANIL2_10">#REF!</definedName>
    <definedName name="ALBANIL2_11" localSheetId="8">#REF!</definedName>
    <definedName name="ALBANIL2_11">#REF!</definedName>
    <definedName name="ALBANIL2_6" localSheetId="8">#REF!</definedName>
    <definedName name="ALBANIL2_6">#REF!</definedName>
    <definedName name="ALBANIL2_7" localSheetId="8">#REF!</definedName>
    <definedName name="ALBANIL2_7">#REF!</definedName>
    <definedName name="ALBANIL2_8" localSheetId="8">#REF!</definedName>
    <definedName name="ALBANIL2_8">#REF!</definedName>
    <definedName name="ALBANIL2_9" localSheetId="8">#REF!</definedName>
    <definedName name="ALBANIL2_9">#REF!</definedName>
    <definedName name="ALBANIL3" localSheetId="8">#REF!</definedName>
    <definedName name="ALBANIL3">#REF!</definedName>
    <definedName name="Alq._Madera_P_Rampa_____Incl._M_O">[17]Insumos!$B$127:$D$127</definedName>
    <definedName name="Alq._Madera_P_Viga_____Incl._M_O">[17]Insumos!$B$128:$D$128</definedName>
    <definedName name="Alq._Madera_P_Vigas_y_Columnas_Amarre____Incl._M_O">[17]Insumos!$B$129:$D$129</definedName>
    <definedName name="ALQ_416" localSheetId="8">#REF!</definedName>
    <definedName name="ALQ_416">#REF!</definedName>
    <definedName name="alq_MAQUITO" localSheetId="8">#REF!</definedName>
    <definedName name="alq_MAQUITO">#REF!</definedName>
    <definedName name="ALQ_MART" localSheetId="8">#REF!</definedName>
    <definedName name="ALQ_MART">#REF!</definedName>
    <definedName name="ALQ_RODILLO" localSheetId="8">#REF!</definedName>
    <definedName name="ALQ_RODILLO">#REF!</definedName>
    <definedName name="ana">[25]PRESUPUESTO!$C$4</definedName>
    <definedName name="ana_6" localSheetId="8">#REF!</definedName>
    <definedName name="ana_6">#REF!</definedName>
    <definedName name="analiis" localSheetId="8">[24]M.O.!#REF!</definedName>
    <definedName name="analiis">[24]M.O.!#REF!</definedName>
    <definedName name="analisis" localSheetId="8">#REF!</definedName>
    <definedName name="analisis">#REF!</definedName>
    <definedName name="ANALISSSSS" localSheetId="8">#REF!</definedName>
    <definedName name="ANALISSSSS">#REF!</definedName>
    <definedName name="ANALISSSSS_6" localSheetId="8">#REF!</definedName>
    <definedName name="ANALISSSSS_6">#REF!</definedName>
    <definedName name="Andamio.Pañete.pared.Exterior">[23]Insumos!$E$155</definedName>
    <definedName name="ANDAMIOS" localSheetId="8">#REF!</definedName>
    <definedName name="ANDAMIOS">#REF!</definedName>
    <definedName name="ANDAMIOS_10" localSheetId="8">#REF!</definedName>
    <definedName name="ANDAMIOS_10">#REF!</definedName>
    <definedName name="ANDAMIOS_11" localSheetId="8">#REF!</definedName>
    <definedName name="ANDAMIOS_11">#REF!</definedName>
    <definedName name="ANDAMIOS_6" localSheetId="8">#REF!</definedName>
    <definedName name="ANDAMIOS_6">#REF!</definedName>
    <definedName name="ANDAMIOS_7" localSheetId="8">#REF!</definedName>
    <definedName name="ANDAMIOS_7">#REF!</definedName>
    <definedName name="ANDAMIOS_8" localSheetId="8">#REF!</definedName>
    <definedName name="ANDAMIOS_8">#REF!</definedName>
    <definedName name="ANDAMIOS_9" localSheetId="8">#REF!</definedName>
    <definedName name="ANDAMIOS_9">#REF!</definedName>
    <definedName name="andamiosin">[7]Mezcla!$G$158</definedName>
    <definedName name="ANGULAR" localSheetId="8">#REF!</definedName>
    <definedName name="ANGULAR">#REF!</definedName>
    <definedName name="ANGULAR_3">"$#REF!.$B$246"</definedName>
    <definedName name="ANGULAR_8" localSheetId="8">#REF!</definedName>
    <definedName name="ANGULAR_8">#REF!</definedName>
    <definedName name="Antepecho">[23]Análisis!$D$1212</definedName>
    <definedName name="Antepecho..superior.incluye.losa">[23]Análisis!$D$658</definedName>
    <definedName name="ARANDELA_INODORO_PVC_4" localSheetId="8">#REF!</definedName>
    <definedName name="ARANDELA_INODORO_PVC_4">#REF!</definedName>
    <definedName name="ARANDELA_INODORO_PVC_4_10" localSheetId="8">#REF!</definedName>
    <definedName name="ARANDELA_INODORO_PVC_4_10">#REF!</definedName>
    <definedName name="ARANDELA_INODORO_PVC_4_11" localSheetId="8">#REF!</definedName>
    <definedName name="ARANDELA_INODORO_PVC_4_11">#REF!</definedName>
    <definedName name="ARANDELA_INODORO_PVC_4_6" localSheetId="8">#REF!</definedName>
    <definedName name="ARANDELA_INODORO_PVC_4_6">#REF!</definedName>
    <definedName name="ARANDELA_INODORO_PVC_4_7" localSheetId="8">#REF!</definedName>
    <definedName name="ARANDELA_INODORO_PVC_4_7">#REF!</definedName>
    <definedName name="ARANDELA_INODORO_PVC_4_8" localSheetId="8">#REF!</definedName>
    <definedName name="ARANDELA_INODORO_PVC_4_8">#REF!</definedName>
    <definedName name="ARANDELA_INODORO_PVC_4_9" localSheetId="8">#REF!</definedName>
    <definedName name="ARANDELA_INODORO_PVC_4_9">#REF!</definedName>
    <definedName name="ARCILLA_ROJA" localSheetId="8">#REF!</definedName>
    <definedName name="ARCILLA_ROJA">#REF!</definedName>
    <definedName name="ARCILLA_ROJA_10" localSheetId="8">#REF!</definedName>
    <definedName name="ARCILLA_ROJA_10">#REF!</definedName>
    <definedName name="ARCILLA_ROJA_11" localSheetId="8">#REF!</definedName>
    <definedName name="ARCILLA_ROJA_11">#REF!</definedName>
    <definedName name="ARCILLA_ROJA_6" localSheetId="8">#REF!</definedName>
    <definedName name="ARCILLA_ROJA_6">#REF!</definedName>
    <definedName name="ARCILLA_ROJA_7" localSheetId="8">#REF!</definedName>
    <definedName name="ARCILLA_ROJA_7">#REF!</definedName>
    <definedName name="ARCILLA_ROJA_8" localSheetId="8">#REF!</definedName>
    <definedName name="ARCILLA_ROJA_8">#REF!</definedName>
    <definedName name="ARCILLA_ROJA_9" localSheetId="8">#REF!</definedName>
    <definedName name="ARCILLA_ROJA_9">#REF!</definedName>
    <definedName name="_xlnm.Extract" localSheetId="8">#REF!</definedName>
    <definedName name="_xlnm.Extract" localSheetId="3">[1]CUB02!$S$13:$AN$415</definedName>
    <definedName name="_xlnm.Extract">#REF!</definedName>
    <definedName name="_xlnm.Print_Area" localSheetId="1">ACUEDUCTO!$A$1:$F$1134</definedName>
    <definedName name="_xlnm.Print_Area" localSheetId="5">'Especificaciones Técnicas'!$A$1:$G$139</definedName>
    <definedName name="_xlnm.Print_Area" localSheetId="8">'lista '!$A$1:$F$174</definedName>
    <definedName name="_xlnm.Print_Area" localSheetId="44">'PARA PREGUNTAR'!$A$1:$E$33</definedName>
    <definedName name="_xlnm.Print_Area" localSheetId="6">'Pre Villar Pando Limpio (2)'!$A$1:$F$999</definedName>
    <definedName name="_xlnm.Print_Area" localSheetId="7">'Pre Villar Pando Limpio (3)'!$A$1:$F$1020</definedName>
    <definedName name="_xlnm.Print_Area">#REF!</definedName>
    <definedName name="AreaTotal1" localSheetId="8">'lista '!#REF!</definedName>
    <definedName name="AreaTotal1" localSheetId="6">'Pre Villar Pando Limpio (2)'!$C$796</definedName>
    <definedName name="AreaTotal1" localSheetId="7">'Pre Villar Pando Limpio (3)'!$C$796</definedName>
    <definedName name="AreaTotal1">#REF!</definedName>
    <definedName name="arena" localSheetId="8">#REF!</definedName>
    <definedName name="arena" localSheetId="9">'[19]ANALISIS PLANTA'!$E$17</definedName>
    <definedName name="arena">#REF!</definedName>
    <definedName name="Arena.Horm.Visto">[16]Insumos!$E$16</definedName>
    <definedName name="Arena_Gruesa_Lavada">[17]Insumos!$B$16:$D$16</definedName>
    <definedName name="ARENA_LAV_CLASIF">'[26]MATERIALES LISTADO'!$D$9</definedName>
    <definedName name="arena_panete" localSheetId="8">#REF!</definedName>
    <definedName name="arena_panete">#REF!</definedName>
    <definedName name="ARENA_PAÑETE" localSheetId="8">#REF!</definedName>
    <definedName name="ARENA_PAÑETE">#REF!</definedName>
    <definedName name="ARENA_PAÑETE_10" localSheetId="8">#REF!</definedName>
    <definedName name="ARENA_PAÑETE_10">#REF!</definedName>
    <definedName name="ARENA_PAÑETE_11" localSheetId="8">#REF!</definedName>
    <definedName name="ARENA_PAÑETE_11">#REF!</definedName>
    <definedName name="ARENA_PAÑETE_6" localSheetId="8">#REF!</definedName>
    <definedName name="ARENA_PAÑETE_6">#REF!</definedName>
    <definedName name="ARENA_PAÑETE_7" localSheetId="8">#REF!</definedName>
    <definedName name="ARENA_PAÑETE_7">#REF!</definedName>
    <definedName name="ARENA_PAÑETE_8" localSheetId="8">#REF!</definedName>
    <definedName name="ARENA_PAÑETE_8">#REF!</definedName>
    <definedName name="ARENA_PAÑETE_9" localSheetId="8">#REF!</definedName>
    <definedName name="ARENA_PAÑETE_9">#REF!</definedName>
    <definedName name="ARENAFINA">[7]insumo!$D$6</definedName>
    <definedName name="ARENAGRUESA">[7]insumo!$D$7</definedName>
    <definedName name="ArenaItabo" localSheetId="8">#REF!</definedName>
    <definedName name="ArenaItabo">#REF!</definedName>
    <definedName name="ArenaItabo_10" localSheetId="8">#REF!</definedName>
    <definedName name="ArenaItabo_10">#REF!</definedName>
    <definedName name="ArenaItabo_11" localSheetId="8">#REF!</definedName>
    <definedName name="ArenaItabo_11">#REF!</definedName>
    <definedName name="ArenaItabo_6" localSheetId="8">#REF!</definedName>
    <definedName name="ArenaItabo_6">#REF!</definedName>
    <definedName name="ArenaItabo_7" localSheetId="8">#REF!</definedName>
    <definedName name="ArenaItabo_7">#REF!</definedName>
    <definedName name="ArenaItabo_8" localSheetId="8">#REF!</definedName>
    <definedName name="ArenaItabo_8">#REF!</definedName>
    <definedName name="ArenaItabo_9" localSheetId="8">#REF!</definedName>
    <definedName name="ArenaItabo_9">#REF!</definedName>
    <definedName name="ArenaOchoa.MA">[27]Insumos!$C$14</definedName>
    <definedName name="ArenaPlanta" localSheetId="8">#REF!</definedName>
    <definedName name="ArenaPlanta">#REF!</definedName>
    <definedName name="ArenaPlanta_10" localSheetId="8">#REF!</definedName>
    <definedName name="ArenaPlanta_10">#REF!</definedName>
    <definedName name="ArenaPlanta_11" localSheetId="8">#REF!</definedName>
    <definedName name="ArenaPlanta_11">#REF!</definedName>
    <definedName name="ArenaPlanta_6" localSheetId="8">#REF!</definedName>
    <definedName name="ArenaPlanta_6">#REF!</definedName>
    <definedName name="ArenaPlanta_7" localSheetId="8">#REF!</definedName>
    <definedName name="ArenaPlanta_7">#REF!</definedName>
    <definedName name="ArenaPlanta_8" localSheetId="8">#REF!</definedName>
    <definedName name="ArenaPlanta_8">#REF!</definedName>
    <definedName name="ArenaPlanta_9" localSheetId="8">#REF!</definedName>
    <definedName name="ArenaPlanta_9">#REF!</definedName>
    <definedName name="as" localSheetId="8">[28]M.O.!#REF!</definedName>
    <definedName name="as">[28]M.O.!#REF!</definedName>
    <definedName name="as_10" localSheetId="8">#REF!</definedName>
    <definedName name="as_10">#REF!</definedName>
    <definedName name="as_11" localSheetId="8">#REF!</definedName>
    <definedName name="as_11">#REF!</definedName>
    <definedName name="as_5" localSheetId="8">#REF!</definedName>
    <definedName name="as_5">#REF!</definedName>
    <definedName name="as_6" localSheetId="8">#REF!</definedName>
    <definedName name="as_6">#REF!</definedName>
    <definedName name="as_7" localSheetId="8">#REF!</definedName>
    <definedName name="as_7">#REF!</definedName>
    <definedName name="as_8" localSheetId="8">#REF!</definedName>
    <definedName name="as_8">#REF!</definedName>
    <definedName name="as_9" localSheetId="8">#REF!</definedName>
    <definedName name="as_9">#REF!</definedName>
    <definedName name="asd" localSheetId="8">#REF!</definedName>
    <definedName name="asd">#REF!</definedName>
    <definedName name="AYCARP" localSheetId="8">[21]INS!#REF!</definedName>
    <definedName name="AYCARP">[21]INS!#REF!</definedName>
    <definedName name="AYCARP_6" localSheetId="8">#REF!</definedName>
    <definedName name="AYCARP_6">#REF!</definedName>
    <definedName name="AYCARP_8" localSheetId="8">#REF!</definedName>
    <definedName name="AYCARP_8">#REF!</definedName>
    <definedName name="Ayudante" localSheetId="8">#REF!</definedName>
    <definedName name="Ayudante">#REF!</definedName>
    <definedName name="Ayudante_2da" localSheetId="8">#REF!</definedName>
    <definedName name="Ayudante_2da">#REF!</definedName>
    <definedName name="Ayudante_2da_10" localSheetId="8">#REF!</definedName>
    <definedName name="Ayudante_2da_10">#REF!</definedName>
    <definedName name="Ayudante_2da_11" localSheetId="8">#REF!</definedName>
    <definedName name="Ayudante_2da_11">#REF!</definedName>
    <definedName name="Ayudante_2da_6" localSheetId="8">#REF!</definedName>
    <definedName name="Ayudante_2da_6">#REF!</definedName>
    <definedName name="Ayudante_2da_7" localSheetId="8">#REF!</definedName>
    <definedName name="Ayudante_2da_7">#REF!</definedName>
    <definedName name="Ayudante_2da_8" localSheetId="8">#REF!</definedName>
    <definedName name="Ayudante_2da_8">#REF!</definedName>
    <definedName name="Ayudante_2da_9" localSheetId="8">#REF!</definedName>
    <definedName name="Ayudante_2da_9">#REF!</definedName>
    <definedName name="Ayudante_6" localSheetId="8">#REF!</definedName>
    <definedName name="Ayudante_6">#REF!</definedName>
    <definedName name="ayudante_dia" localSheetId="8">#REF!</definedName>
    <definedName name="ayudante_dia">#REF!</definedName>
    <definedName name="Ayudante_Soldador" localSheetId="8">#REF!</definedName>
    <definedName name="Ayudante_Soldador">#REF!</definedName>
    <definedName name="Ayudante_Soldador_10" localSheetId="8">#REF!</definedName>
    <definedName name="Ayudante_Soldador_10">#REF!</definedName>
    <definedName name="Ayudante_Soldador_11" localSheetId="8">#REF!</definedName>
    <definedName name="Ayudante_Soldador_11">#REF!</definedName>
    <definedName name="Ayudante_Soldador_6" localSheetId="8">#REF!</definedName>
    <definedName name="Ayudante_Soldador_6">#REF!</definedName>
    <definedName name="Ayudante_Soldador_7" localSheetId="8">#REF!</definedName>
    <definedName name="Ayudante_Soldador_7">#REF!</definedName>
    <definedName name="Ayudante_Soldador_8" localSheetId="8">#REF!</definedName>
    <definedName name="Ayudante_Soldador_8">#REF!</definedName>
    <definedName name="Ayudante_Soldador_9" localSheetId="8">#REF!</definedName>
    <definedName name="Ayudante_Soldador_9">#REF!</definedName>
    <definedName name="b" localSheetId="8">[29]ADDENDA!#REF!</definedName>
    <definedName name="b">[29]ADDENDA!#REF!</definedName>
    <definedName name="b_6" localSheetId="8">#REF!</definedName>
    <definedName name="b_6">#REF!</definedName>
    <definedName name="b_8" localSheetId="8">#REF!</definedName>
    <definedName name="b_8">#REF!</definedName>
    <definedName name="BALDOSAS_TRANSPARENTE" localSheetId="8">#REF!</definedName>
    <definedName name="BALDOSAS_TRANSPARENTE">#REF!</definedName>
    <definedName name="BALDOSAS_TRANSPARENTE_10" localSheetId="8">#REF!</definedName>
    <definedName name="BALDOSAS_TRANSPARENTE_10">#REF!</definedName>
    <definedName name="BALDOSAS_TRANSPARENTE_11" localSheetId="8">#REF!</definedName>
    <definedName name="BALDOSAS_TRANSPARENTE_11">#REF!</definedName>
    <definedName name="BALDOSAS_TRANSPARENTE_6" localSheetId="8">#REF!</definedName>
    <definedName name="BALDOSAS_TRANSPARENTE_6">#REF!</definedName>
    <definedName name="BALDOSAS_TRANSPARENTE_7" localSheetId="8">#REF!</definedName>
    <definedName name="BALDOSAS_TRANSPARENTE_7">#REF!</definedName>
    <definedName name="BALDOSAS_TRANSPARENTE_8" localSheetId="8">#REF!</definedName>
    <definedName name="BALDOSAS_TRANSPARENTE_8">#REF!</definedName>
    <definedName name="BALDOSAS_TRANSPARENTE_9" localSheetId="8">#REF!</definedName>
    <definedName name="BALDOSAS_TRANSPARENTE_9">#REF!</definedName>
    <definedName name="Baldosin30x60">[30]Insumos!$E$90</definedName>
    <definedName name="Baldosines.GraniMármol">[23]Insumos!$E$71</definedName>
    <definedName name="barra12">[9]analisis!$G$2860</definedName>
    <definedName name="bas3e" localSheetId="8">#REF!</definedName>
    <definedName name="bas3e">#REF!</definedName>
    <definedName name="bas3e_6" localSheetId="8">#REF!</definedName>
    <definedName name="bas3e_6">#REF!</definedName>
    <definedName name="base" localSheetId="8">#REF!</definedName>
    <definedName name="base">#REF!</definedName>
    <definedName name="Base.piso.Mármol">[23]Análisis!$D$471</definedName>
    <definedName name="BASE_CONTEN" localSheetId="8">#REF!</definedName>
    <definedName name="BASE_CONTEN">#REF!</definedName>
    <definedName name="BASE_CONTEN_10" localSheetId="8">#REF!</definedName>
    <definedName name="BASE_CONTEN_10">#REF!</definedName>
    <definedName name="BASE_CONTEN_11" localSheetId="8">#REF!</definedName>
    <definedName name="BASE_CONTEN_11">#REF!</definedName>
    <definedName name="BASE_CONTEN_6" localSheetId="8">#REF!</definedName>
    <definedName name="BASE_CONTEN_6">#REF!</definedName>
    <definedName name="BASE_CONTEN_7" localSheetId="8">#REF!</definedName>
    <definedName name="BASE_CONTEN_7">#REF!</definedName>
    <definedName name="BASE_CONTEN_8" localSheetId="8">#REF!</definedName>
    <definedName name="BASE_CONTEN_8">#REF!</definedName>
    <definedName name="BASE_CONTEN_9" localSheetId="8">#REF!</definedName>
    <definedName name="BASE_CONTEN_9">#REF!</definedName>
    <definedName name="BBB" localSheetId="8">#REF!</definedName>
    <definedName name="BBB">#REF!</definedName>
    <definedName name="BENEFICIOS">'[18]LISTA DE PRECIO'!$C$18</definedName>
    <definedName name="BLOCK_4" localSheetId="8">#REF!</definedName>
    <definedName name="BLOCK_4">#REF!</definedName>
    <definedName name="BLOCK_4_10" localSheetId="8">#REF!</definedName>
    <definedName name="BLOCK_4_10">#REF!</definedName>
    <definedName name="BLOCK_4_11" localSheetId="8">#REF!</definedName>
    <definedName name="BLOCK_4_11">#REF!</definedName>
    <definedName name="BLOCK_4_6" localSheetId="8">#REF!</definedName>
    <definedName name="BLOCK_4_6">#REF!</definedName>
    <definedName name="BLOCK_4_7" localSheetId="8">#REF!</definedName>
    <definedName name="BLOCK_4_7">#REF!</definedName>
    <definedName name="BLOCK_4_8" localSheetId="8">#REF!</definedName>
    <definedName name="BLOCK_4_8">#REF!</definedName>
    <definedName name="BLOCK_4_9" localSheetId="8">#REF!</definedName>
    <definedName name="BLOCK_4_9">#REF!</definedName>
    <definedName name="BLOCK_6" localSheetId="8">#REF!</definedName>
    <definedName name="BLOCK_6">#REF!</definedName>
    <definedName name="BLOCK_6_10" localSheetId="8">#REF!</definedName>
    <definedName name="BLOCK_6_10">#REF!</definedName>
    <definedName name="BLOCK_6_11" localSheetId="8">#REF!</definedName>
    <definedName name="BLOCK_6_11">#REF!</definedName>
    <definedName name="BLOCK_6_6" localSheetId="8">#REF!</definedName>
    <definedName name="BLOCK_6_6">#REF!</definedName>
    <definedName name="BLOCK_6_7" localSheetId="8">#REF!</definedName>
    <definedName name="BLOCK_6_7">#REF!</definedName>
    <definedName name="BLOCK_6_8" localSheetId="8">#REF!</definedName>
    <definedName name="BLOCK_6_8">#REF!</definedName>
    <definedName name="BLOCK_6_9" localSheetId="8">#REF!</definedName>
    <definedName name="BLOCK_6_9">#REF!</definedName>
    <definedName name="BLOCK_8" localSheetId="8">#REF!</definedName>
    <definedName name="BLOCK_8">#REF!</definedName>
    <definedName name="BLOCK_8_10" localSheetId="8">#REF!</definedName>
    <definedName name="BLOCK_8_10">#REF!</definedName>
    <definedName name="BLOCK_8_11" localSheetId="8">#REF!</definedName>
    <definedName name="BLOCK_8_11">#REF!</definedName>
    <definedName name="BLOCK_8_6" localSheetId="8">#REF!</definedName>
    <definedName name="BLOCK_8_6">#REF!</definedName>
    <definedName name="BLOCK_8_7" localSheetId="8">#REF!</definedName>
    <definedName name="BLOCK_8_7">#REF!</definedName>
    <definedName name="BLOCK_8_8" localSheetId="8">#REF!</definedName>
    <definedName name="BLOCK_8_8">#REF!</definedName>
    <definedName name="BLOCK_8_9" localSheetId="8">#REF!</definedName>
    <definedName name="BLOCK_8_9">#REF!</definedName>
    <definedName name="BLOCK_CALADO" localSheetId="8">#REF!</definedName>
    <definedName name="BLOCK_CALADO">#REF!</definedName>
    <definedName name="BLOCK_CALADO_10" localSheetId="8">#REF!</definedName>
    <definedName name="BLOCK_CALADO_10">#REF!</definedName>
    <definedName name="BLOCK_CALADO_11" localSheetId="8">#REF!</definedName>
    <definedName name="BLOCK_CALADO_11">#REF!</definedName>
    <definedName name="BLOCK_CALADO_6" localSheetId="8">#REF!</definedName>
    <definedName name="BLOCK_CALADO_6">#REF!</definedName>
    <definedName name="BLOCK_CALADO_7" localSheetId="8">#REF!</definedName>
    <definedName name="BLOCK_CALADO_7">#REF!</definedName>
    <definedName name="BLOCK_CALADO_8" localSheetId="8">#REF!</definedName>
    <definedName name="BLOCK_CALADO_8">#REF!</definedName>
    <definedName name="BLOCK_CALADO_9" localSheetId="8">#REF!</definedName>
    <definedName name="BLOCK_CALADO_9">#REF!</definedName>
    <definedName name="BLOCK0.10M">[7]insumo!$D$8</definedName>
    <definedName name="BLOCK0.15M" localSheetId="3">[2]insumo!$D$9</definedName>
    <definedName name="BLOCK0.15M">[7]insumo!$D$9</definedName>
    <definedName name="BLOCK0.20M" localSheetId="3">[2]insumo!$D$10</definedName>
    <definedName name="BLOCK0.20M">[7]insumo!$D$10</definedName>
    <definedName name="Bloque.12.SNP.Villas">[23]Análisis!$D$1112</definedName>
    <definedName name="Bloque.4.SNP.Villas">[23]Análisis!$D$915</definedName>
    <definedName name="bloque_4" localSheetId="8">#REF!</definedName>
    <definedName name="bloque_4">#REF!</definedName>
    <definedName name="bloque_6" localSheetId="8">#REF!</definedName>
    <definedName name="bloque_6">#REF!</definedName>
    <definedName name="bloque_8" localSheetId="8">#REF!</definedName>
    <definedName name="bloque_8">#REF!</definedName>
    <definedName name="bloque_calado_01" localSheetId="8">#REF!</definedName>
    <definedName name="bloque_calado_01">#REF!</definedName>
    <definedName name="bloque8" localSheetId="8">#REF!</definedName>
    <definedName name="bloque8">#REF!</definedName>
    <definedName name="bloque8_6" localSheetId="8">#REF!</definedName>
    <definedName name="bloque8_6">#REF!</definedName>
    <definedName name="bloque8_8" localSheetId="8">#REF!</definedName>
    <definedName name="bloque8_8">#REF!</definedName>
    <definedName name="Bloques.8.SNPT">[23]Análisis!$D$306</definedName>
    <definedName name="Bloques_de_6">[17]Insumos!$B$22:$D$22</definedName>
    <definedName name="Bloques_de_8">[17]Insumos!$B$23:$D$23</definedName>
    <definedName name="Bomba.Arrastre">[23]Insumos!$E$142</definedName>
    <definedName name="BOMBA_ACHIQUE" localSheetId="8">#REF!</definedName>
    <definedName name="BOMBA_ACHIQUE">#REF!</definedName>
    <definedName name="BOMBA_ACHIQUE_10" localSheetId="8">#REF!</definedName>
    <definedName name="BOMBA_ACHIQUE_10">#REF!</definedName>
    <definedName name="BOMBA_ACHIQUE_11" localSheetId="8">#REF!</definedName>
    <definedName name="BOMBA_ACHIQUE_11">#REF!</definedName>
    <definedName name="BOMBA_ACHIQUE_6" localSheetId="8">#REF!</definedName>
    <definedName name="BOMBA_ACHIQUE_6">#REF!</definedName>
    <definedName name="BOMBA_ACHIQUE_7" localSheetId="8">#REF!</definedName>
    <definedName name="BOMBA_ACHIQUE_7">#REF!</definedName>
    <definedName name="BOMBA_ACHIQUE_8" localSheetId="8">#REF!</definedName>
    <definedName name="BOMBA_ACHIQUE_8">#REF!</definedName>
    <definedName name="BOMBA_ACHIQUE_9" localSheetId="8">#REF!</definedName>
    <definedName name="BOMBA_ACHIQUE_9">#REF!</definedName>
    <definedName name="BOMBILLAS_1500W" localSheetId="3">[31]INSU!$B$42</definedName>
    <definedName name="BOMBILLAS_1500W">[32]INSU!$B$42</definedName>
    <definedName name="BOQUILLA_FREGADERO_CROMO" localSheetId="8">#REF!</definedName>
    <definedName name="BOQUILLA_FREGADERO_CROMO">#REF!</definedName>
    <definedName name="BOQUILLA_FREGADERO_CROMO_10" localSheetId="8">#REF!</definedName>
    <definedName name="BOQUILLA_FREGADERO_CROMO_10">#REF!</definedName>
    <definedName name="BOQUILLA_FREGADERO_CROMO_11" localSheetId="8">#REF!</definedName>
    <definedName name="BOQUILLA_FREGADERO_CROMO_11">#REF!</definedName>
    <definedName name="BOQUILLA_FREGADERO_CROMO_6" localSheetId="8">#REF!</definedName>
    <definedName name="BOQUILLA_FREGADERO_CROMO_6">#REF!</definedName>
    <definedName name="BOQUILLA_FREGADERO_CROMO_7" localSheetId="8">#REF!</definedName>
    <definedName name="BOQUILLA_FREGADERO_CROMO_7">#REF!</definedName>
    <definedName name="BOQUILLA_FREGADERO_CROMO_8" localSheetId="8">#REF!</definedName>
    <definedName name="BOQUILLA_FREGADERO_CROMO_8">#REF!</definedName>
    <definedName name="BOQUILLA_FREGADERO_CROMO_9" localSheetId="8">#REF!</definedName>
    <definedName name="BOQUILLA_FREGADERO_CROMO_9">#REF!</definedName>
    <definedName name="BOQUILLA_LAVADERO_CROMO" localSheetId="8">#REF!</definedName>
    <definedName name="BOQUILLA_LAVADERO_CROMO">#REF!</definedName>
    <definedName name="BOQUILLA_LAVADERO_CROMO_10" localSheetId="8">#REF!</definedName>
    <definedName name="BOQUILLA_LAVADERO_CROMO_10">#REF!</definedName>
    <definedName name="BOQUILLA_LAVADERO_CROMO_11" localSheetId="8">#REF!</definedName>
    <definedName name="BOQUILLA_LAVADERO_CROMO_11">#REF!</definedName>
    <definedName name="BOQUILLA_LAVADERO_CROMO_6" localSheetId="8">#REF!</definedName>
    <definedName name="BOQUILLA_LAVADERO_CROMO_6">#REF!</definedName>
    <definedName name="BOQUILLA_LAVADERO_CROMO_7" localSheetId="8">#REF!</definedName>
    <definedName name="BOQUILLA_LAVADERO_CROMO_7">#REF!</definedName>
    <definedName name="BOQUILLA_LAVADERO_CROMO_8" localSheetId="8">#REF!</definedName>
    <definedName name="BOQUILLA_LAVADERO_CROMO_8">#REF!</definedName>
    <definedName name="BOQUILLA_LAVADERO_CROMO_9" localSheetId="8">#REF!</definedName>
    <definedName name="BOQUILLA_LAVADERO_CROMO_9">#REF!</definedName>
    <definedName name="Borrar_Esc.">[33]Escalera!$J$9:$M$9,[33]Escalera!$J$10:$R$10,[33]Escalera!$AL$14:$AM$14,[33]Escalera!$AL$16:$AM$16,[33]Escalera!$I$16:$M$16,[33]Escalera!$B$19:$AE$32,[33]Escalera!$AN$19:$AQ$32</definedName>
    <definedName name="Borrar_Muros">[33]Muros!$W$15:$Z$15,[33]Muros!$AA$15:$AD$15,[33]Muros!$AF$13,[33]Muros!$K$20:$L$20,[33]Muros!$O$26:$P$26</definedName>
    <definedName name="Borrar_Precio">'[34]Cotz.'!$F$23:$F$800,'[34]Cotz.'!$K$280:$K$800</definedName>
    <definedName name="Borrar_V.C1">[35]qqVgas!$J$9:$M$9,[35]qqVgas!$J$10:$R$10,[35]qqVgas!$AJ$11:$AK$11,[35]qqVgas!$AR$11:$AS$11,[35]qqVgas!$AG$13:$AH$13,[35]qqVgas!$AP$13:$AQ$13,[35]qqVgas!$D$16:$AC$195</definedName>
    <definedName name="BOTE" localSheetId="8">#REF!</definedName>
    <definedName name="BOTE">#REF!</definedName>
    <definedName name="BOTE_10" localSheetId="8">#REF!</definedName>
    <definedName name="BOTE_10">#REF!</definedName>
    <definedName name="BOTE_11" localSheetId="8">#REF!</definedName>
    <definedName name="BOTE_11">#REF!</definedName>
    <definedName name="BOTE_6" localSheetId="8">#REF!</definedName>
    <definedName name="BOTE_6">#REF!</definedName>
    <definedName name="BOTE_7" localSheetId="8">#REF!</definedName>
    <definedName name="BOTE_7">#REF!</definedName>
    <definedName name="BOTE_8" localSheetId="8">#REF!</definedName>
    <definedName name="BOTE_8">#REF!</definedName>
    <definedName name="BOTE_9" localSheetId="8">#REF!</definedName>
    <definedName name="BOTE_9">#REF!</definedName>
    <definedName name="BREAKERS" localSheetId="8">#REF!</definedName>
    <definedName name="BREAKERS">#REF!</definedName>
    <definedName name="BREAKERS_10" localSheetId="8">#REF!</definedName>
    <definedName name="BREAKERS_10">#REF!</definedName>
    <definedName name="BREAKERS_11" localSheetId="8">#REF!</definedName>
    <definedName name="BREAKERS_11">#REF!</definedName>
    <definedName name="BREAKERS_15A" localSheetId="8">#REF!</definedName>
    <definedName name="BREAKERS_15A">#REF!</definedName>
    <definedName name="BREAKERS_15A_10" localSheetId="8">#REF!</definedName>
    <definedName name="BREAKERS_15A_10">#REF!</definedName>
    <definedName name="BREAKERS_15A_11" localSheetId="8">#REF!</definedName>
    <definedName name="BREAKERS_15A_11">#REF!</definedName>
    <definedName name="BREAKERS_15A_6" localSheetId="8">#REF!</definedName>
    <definedName name="BREAKERS_15A_6">#REF!</definedName>
    <definedName name="BREAKERS_15A_7" localSheetId="8">#REF!</definedName>
    <definedName name="BREAKERS_15A_7">#REF!</definedName>
    <definedName name="BREAKERS_15A_8" localSheetId="8">#REF!</definedName>
    <definedName name="BREAKERS_15A_8">#REF!</definedName>
    <definedName name="BREAKERS_15A_9" localSheetId="8">#REF!</definedName>
    <definedName name="BREAKERS_15A_9">#REF!</definedName>
    <definedName name="BREAKERS_20A" localSheetId="8">#REF!</definedName>
    <definedName name="BREAKERS_20A">#REF!</definedName>
    <definedName name="BREAKERS_20A_10" localSheetId="8">#REF!</definedName>
    <definedName name="BREAKERS_20A_10">#REF!</definedName>
    <definedName name="BREAKERS_20A_11" localSheetId="8">#REF!</definedName>
    <definedName name="BREAKERS_20A_11">#REF!</definedName>
    <definedName name="BREAKERS_20A_6" localSheetId="8">#REF!</definedName>
    <definedName name="BREAKERS_20A_6">#REF!</definedName>
    <definedName name="BREAKERS_20A_7" localSheetId="8">#REF!</definedName>
    <definedName name="BREAKERS_20A_7">#REF!</definedName>
    <definedName name="BREAKERS_20A_8" localSheetId="8">#REF!</definedName>
    <definedName name="BREAKERS_20A_8">#REF!</definedName>
    <definedName name="BREAKERS_20A_9" localSheetId="8">#REF!</definedName>
    <definedName name="BREAKERS_20A_9">#REF!</definedName>
    <definedName name="BREAKERS_30A" localSheetId="8">#REF!</definedName>
    <definedName name="BREAKERS_30A">#REF!</definedName>
    <definedName name="BREAKERS_30A_10" localSheetId="8">#REF!</definedName>
    <definedName name="BREAKERS_30A_10">#REF!</definedName>
    <definedName name="BREAKERS_30A_11" localSheetId="8">#REF!</definedName>
    <definedName name="BREAKERS_30A_11">#REF!</definedName>
    <definedName name="BREAKERS_30A_6" localSheetId="8">#REF!</definedName>
    <definedName name="BREAKERS_30A_6">#REF!</definedName>
    <definedName name="BREAKERS_30A_7" localSheetId="8">#REF!</definedName>
    <definedName name="BREAKERS_30A_7">#REF!</definedName>
    <definedName name="BREAKERS_30A_8" localSheetId="8">#REF!</definedName>
    <definedName name="BREAKERS_30A_8">#REF!</definedName>
    <definedName name="BREAKERS_30A_9" localSheetId="8">#REF!</definedName>
    <definedName name="BREAKERS_30A_9">#REF!</definedName>
    <definedName name="BREAKERS_6" localSheetId="8">#REF!</definedName>
    <definedName name="BREAKERS_6">#REF!</definedName>
    <definedName name="BREAKERS_7" localSheetId="8">#REF!</definedName>
    <definedName name="BREAKERS_7">#REF!</definedName>
    <definedName name="BREAKERS_8" localSheetId="8">#REF!</definedName>
    <definedName name="BREAKERS_8">#REF!</definedName>
    <definedName name="BREAKERS_9" localSheetId="8">#REF!</definedName>
    <definedName name="BREAKERS_9">#REF!</definedName>
    <definedName name="BRIGADATOPOGRAFICA" localSheetId="3">[36]M.O.!$C$9</definedName>
    <definedName name="BRIGADATOPOGRAFICA">[24]M.O.!$C$9</definedName>
    <definedName name="BRIGADATOPOGRAFICA_6" localSheetId="8">#REF!</definedName>
    <definedName name="BRIGADATOPOGRAFICA_6">#REF!</definedName>
    <definedName name="Brillado.Marmol">[23]Insumos!$E$134</definedName>
    <definedName name="BVNBVNBV" localSheetId="8">[37]M.O.!#REF!</definedName>
    <definedName name="BVNBVNBV">[37]M.O.!#REF!</definedName>
    <definedName name="BVNBVNBV_6" localSheetId="8">#REF!</definedName>
    <definedName name="BVNBVNBV_6">#REF!</definedName>
    <definedName name="C._ADICIONAL">#N/A</definedName>
    <definedName name="C._ADICIONAL_6">NA()</definedName>
    <definedName name="caballeteasbecto" localSheetId="8">[38]precios!#REF!</definedName>
    <definedName name="caballeteasbecto">[38]precios!#REF!</definedName>
    <definedName name="caballeteasbecto_8" localSheetId="8">#REF!</definedName>
    <definedName name="caballeteasbecto_8">#REF!</definedName>
    <definedName name="caballeteasbeto" localSheetId="8">[38]precios!#REF!</definedName>
    <definedName name="caballeteasbeto">[38]precios!#REF!</definedName>
    <definedName name="caballeteasbeto_8" localSheetId="8">#REF!</definedName>
    <definedName name="caballeteasbeto_8">#REF!</definedName>
    <definedName name="Cabañas.Ejecutivas">'[23]Cabañas Ejecutivas'!$G$109</definedName>
    <definedName name="Cabañas.Presidenciales">'[23]Cabañas Presidenciales '!$G$161</definedName>
    <definedName name="cabañas.simpleI">'[23]Cabañas simple Tipo I'!$G$106</definedName>
    <definedName name="cabañas.simpleII">'[23]Cabañas simple Tipo 2'!$G$106</definedName>
    <definedName name="cabañas.simpleIII">'[23]Cabañas simple Tipo 3'!$G$107</definedName>
    <definedName name="Cabañas.Vice.Presidenciales">'[23]Cabañas Vice Presidenciales'!$G$157</definedName>
    <definedName name="CAJA_2x4_12" localSheetId="8">#REF!</definedName>
    <definedName name="CAJA_2x4_12">#REF!</definedName>
    <definedName name="CAJA_2x4_12_10" localSheetId="8">#REF!</definedName>
    <definedName name="CAJA_2x4_12_10">#REF!</definedName>
    <definedName name="CAJA_2x4_12_11" localSheetId="8">#REF!</definedName>
    <definedName name="CAJA_2x4_12_11">#REF!</definedName>
    <definedName name="CAJA_2x4_12_6" localSheetId="8">#REF!</definedName>
    <definedName name="CAJA_2x4_12_6">#REF!</definedName>
    <definedName name="CAJA_2x4_12_7" localSheetId="8">#REF!</definedName>
    <definedName name="CAJA_2x4_12_7">#REF!</definedName>
    <definedName name="CAJA_2x4_12_8" localSheetId="8">#REF!</definedName>
    <definedName name="CAJA_2x4_12_8">#REF!</definedName>
    <definedName name="CAJA_2x4_12_9" localSheetId="8">#REF!</definedName>
    <definedName name="CAJA_2x4_12_9">#REF!</definedName>
    <definedName name="CAJA_2x4_34" localSheetId="8">#REF!</definedName>
    <definedName name="CAJA_2x4_34">#REF!</definedName>
    <definedName name="CAJA_2x4_34_10" localSheetId="8">#REF!</definedName>
    <definedName name="CAJA_2x4_34_10">#REF!</definedName>
    <definedName name="CAJA_2x4_34_11" localSheetId="8">#REF!</definedName>
    <definedName name="CAJA_2x4_34_11">#REF!</definedName>
    <definedName name="CAJA_2x4_34_6" localSheetId="8">#REF!</definedName>
    <definedName name="CAJA_2x4_34_6">#REF!</definedName>
    <definedName name="CAJA_2x4_34_7" localSheetId="8">#REF!</definedName>
    <definedName name="CAJA_2x4_34_7">#REF!</definedName>
    <definedName name="CAJA_2x4_34_8" localSheetId="8">#REF!</definedName>
    <definedName name="CAJA_2x4_34_8">#REF!</definedName>
    <definedName name="CAJA_2x4_34_9" localSheetId="8">#REF!</definedName>
    <definedName name="CAJA_2x4_34_9">#REF!</definedName>
    <definedName name="CAJA_OCTAGONAL" localSheetId="8">#REF!</definedName>
    <definedName name="CAJA_OCTAGONAL">#REF!</definedName>
    <definedName name="CAJA_OCTAGONAL_10" localSheetId="8">#REF!</definedName>
    <definedName name="CAJA_OCTAGONAL_10">#REF!</definedName>
    <definedName name="CAJA_OCTAGONAL_11" localSheetId="8">#REF!</definedName>
    <definedName name="CAJA_OCTAGONAL_11">#REF!</definedName>
    <definedName name="CAJA_OCTAGONAL_6" localSheetId="8">#REF!</definedName>
    <definedName name="CAJA_OCTAGONAL_6">#REF!</definedName>
    <definedName name="CAJA_OCTAGONAL_7" localSheetId="8">#REF!</definedName>
    <definedName name="CAJA_OCTAGONAL_7">#REF!</definedName>
    <definedName name="CAJA_OCTAGONAL_8" localSheetId="8">#REF!</definedName>
    <definedName name="CAJA_OCTAGONAL_8">#REF!</definedName>
    <definedName name="CAJA_OCTAGONAL_9" localSheetId="8">#REF!</definedName>
    <definedName name="CAJA_OCTAGONAL_9">#REF!</definedName>
    <definedName name="cal" localSheetId="8">#REF!</definedName>
    <definedName name="cal">#REF!</definedName>
    <definedName name="Cal.Hidratada">[23]Insumos!$E$21</definedName>
    <definedName name="Cal_10" localSheetId="8">#REF!</definedName>
    <definedName name="Cal_10">#REF!</definedName>
    <definedName name="Cal_11" localSheetId="8">#REF!</definedName>
    <definedName name="Cal_11">#REF!</definedName>
    <definedName name="Cal_6" localSheetId="8">#REF!</definedName>
    <definedName name="Cal_6">#REF!</definedName>
    <definedName name="Cal_7" localSheetId="8">#REF!</definedName>
    <definedName name="Cal_7">#REF!</definedName>
    <definedName name="Cal_8" localSheetId="8">#REF!</definedName>
    <definedName name="Cal_8">#REF!</definedName>
    <definedName name="Cal_9" localSheetId="8">#REF!</definedName>
    <definedName name="Cal_9">#REF!</definedName>
    <definedName name="CALICHE" localSheetId="8">#REF!</definedName>
    <definedName name="CALICHE">#REF!</definedName>
    <definedName name="CALICHE_10" localSheetId="8">#REF!</definedName>
    <definedName name="CALICHE_10">#REF!</definedName>
    <definedName name="CALICHE_11" localSheetId="8">#REF!</definedName>
    <definedName name="CALICHE_11">#REF!</definedName>
    <definedName name="CALICHE_6" localSheetId="8">#REF!</definedName>
    <definedName name="CALICHE_6">#REF!</definedName>
    <definedName name="CALICHE_7" localSheetId="8">#REF!</definedName>
    <definedName name="CALICHE_7">#REF!</definedName>
    <definedName name="CALICHE_8" localSheetId="8">#REF!</definedName>
    <definedName name="CALICHE_8">#REF!</definedName>
    <definedName name="CALICHE_9" localSheetId="8">#REF!</definedName>
    <definedName name="CALICHE_9">#REF!</definedName>
    <definedName name="CALICHEB">[7]insumo!$D$12</definedName>
    <definedName name="Calles.Acera.ycontenes">'[23]Calles, aceras y contenes'!$G$77</definedName>
    <definedName name="CAMION_BOTE" localSheetId="8">#REF!</definedName>
    <definedName name="CAMION_BOTE">#REF!</definedName>
    <definedName name="CAMION_BOTE_10" localSheetId="8">#REF!</definedName>
    <definedName name="CAMION_BOTE_10">#REF!</definedName>
    <definedName name="CAMION_BOTE_11" localSheetId="8">#REF!</definedName>
    <definedName name="CAMION_BOTE_11">#REF!</definedName>
    <definedName name="CAMION_BOTE_6" localSheetId="8">#REF!</definedName>
    <definedName name="CAMION_BOTE_6">#REF!</definedName>
    <definedName name="CAMION_BOTE_7" localSheetId="8">#REF!</definedName>
    <definedName name="CAMION_BOTE_7">#REF!</definedName>
    <definedName name="CAMION_BOTE_8" localSheetId="8">#REF!</definedName>
    <definedName name="CAMION_BOTE_8">#REF!</definedName>
    <definedName name="CAMION_BOTE_9" localSheetId="8">#REF!</definedName>
    <definedName name="CAMION_BOTE_9">#REF!</definedName>
    <definedName name="Cant_3">"$#REF!.$D$1:$D$65534"</definedName>
    <definedName name="CANT1_3">"$#REF!.$D$1:$D$65534"</definedName>
    <definedName name="cant5">[4]Sheet5!$C:$C</definedName>
    <definedName name="CANT6_3">"$#REF!.$C$1:$C$65534"</definedName>
    <definedName name="canta_3">"$#REF!.$H$1:$H$65534"</definedName>
    <definedName name="CANTIDADPRESUPUESTO_3">"$#REF!.$C$1:$C$65534"</definedName>
    <definedName name="Cantos">[39]Análisis!$N$957</definedName>
    <definedName name="cantp_3">"$#REF!.$J$1:$J$65534"</definedName>
    <definedName name="cantpre_3">"$#REF!.$D$1:$D$65534"</definedName>
    <definedName name="cantt_3">"$#REF!.$L$1:$L$65534"</definedName>
    <definedName name="CAR.SOC">'[40]Cargas Sociales'!$G$23</definedName>
    <definedName name="CARACOL" localSheetId="8">[24]M.O.!#REF!</definedName>
    <definedName name="CARACOL">[24]M.O.!#REF!</definedName>
    <definedName name="CARANTEPECHO" localSheetId="8">[24]M.O.!#REF!</definedName>
    <definedName name="CARANTEPECHO">[24]M.O.!#REF!</definedName>
    <definedName name="CARANTEPECHO_6" localSheetId="8">#REF!</definedName>
    <definedName name="CARANTEPECHO_6">#REF!</definedName>
    <definedName name="CARANTEPECHO_8" localSheetId="8">#REF!</definedName>
    <definedName name="CARANTEPECHO_8">#REF!</definedName>
    <definedName name="CARCOL30" localSheetId="8">[24]M.O.!#REF!</definedName>
    <definedName name="CARCOL30">[24]M.O.!#REF!</definedName>
    <definedName name="CARCOL30_6" localSheetId="8">#REF!</definedName>
    <definedName name="CARCOL30_6">#REF!</definedName>
    <definedName name="CARCOL30_8" localSheetId="8">#REF!</definedName>
    <definedName name="CARCOL30_8">#REF!</definedName>
    <definedName name="CARCOL50" localSheetId="8">[24]M.O.!#REF!</definedName>
    <definedName name="CARCOL50">[24]M.O.!#REF!</definedName>
    <definedName name="CARCOL50_6" localSheetId="8">#REF!</definedName>
    <definedName name="CARCOL50_6">#REF!</definedName>
    <definedName name="CARCOL50_8" localSheetId="8">#REF!</definedName>
    <definedName name="CARCOL50_8">#REF!</definedName>
    <definedName name="CARCOL51" localSheetId="8">[24]M.O.!#REF!</definedName>
    <definedName name="CARCOL51">[24]M.O.!#REF!</definedName>
    <definedName name="CARCOLAMARRE" localSheetId="8">[24]M.O.!#REF!</definedName>
    <definedName name="CARCOLAMARRE">[24]M.O.!#REF!</definedName>
    <definedName name="CARCOLAMARRE_6" localSheetId="8">#REF!</definedName>
    <definedName name="CARCOLAMARRE_6">#REF!</definedName>
    <definedName name="CARCOLAMARRE_8" localSheetId="8">#REF!</definedName>
    <definedName name="CARCOLAMARRE_8">#REF!</definedName>
    <definedName name="Careteo">[39]Análisis!$N$890</definedName>
    <definedName name="CARGA_SOCIAL" localSheetId="8">#REF!</definedName>
    <definedName name="CARGA_SOCIAL">#REF!</definedName>
    <definedName name="CARGA_SOCIAL_10" localSheetId="8">#REF!</definedName>
    <definedName name="CARGA_SOCIAL_10">#REF!</definedName>
    <definedName name="CARGA_SOCIAL_11" localSheetId="8">#REF!</definedName>
    <definedName name="CARGA_SOCIAL_11">#REF!</definedName>
    <definedName name="CARGA_SOCIAL_6" localSheetId="8">#REF!</definedName>
    <definedName name="CARGA_SOCIAL_6">#REF!</definedName>
    <definedName name="CARGA_SOCIAL_7" localSheetId="8">#REF!</definedName>
    <definedName name="CARGA_SOCIAL_7">#REF!</definedName>
    <definedName name="CARGA_SOCIAL_8" localSheetId="8">#REF!</definedName>
    <definedName name="CARGA_SOCIAL_8">#REF!</definedName>
    <definedName name="CARGA_SOCIAL_9" localSheetId="8">#REF!</definedName>
    <definedName name="CARGA_SOCIAL_9">#REF!</definedName>
    <definedName name="CARLOSAPLA" localSheetId="8">[24]M.O.!#REF!</definedName>
    <definedName name="CARLOSAPLA">[24]M.O.!#REF!</definedName>
    <definedName name="CARLOSAPLA_6" localSheetId="8">#REF!</definedName>
    <definedName name="CARLOSAPLA_6">#REF!</definedName>
    <definedName name="CARLOSAPLA_8" localSheetId="8">#REF!</definedName>
    <definedName name="CARLOSAPLA_8">#REF!</definedName>
    <definedName name="CARLOSAVARIASAGUAS" localSheetId="8">[24]M.O.!#REF!</definedName>
    <definedName name="CARLOSAVARIASAGUAS">[24]M.O.!#REF!</definedName>
    <definedName name="CARLOSAVARIASAGUAS_6" localSheetId="8">#REF!</definedName>
    <definedName name="CARLOSAVARIASAGUAS_6">#REF!</definedName>
    <definedName name="CARLOSAVARIASAGUAS_8" localSheetId="8">#REF!</definedName>
    <definedName name="CARLOSAVARIASAGUAS_8">#REF!</definedName>
    <definedName name="CARMURO" localSheetId="8">[24]M.O.!#REF!</definedName>
    <definedName name="CARMURO">[24]M.O.!#REF!</definedName>
    <definedName name="CARMURO_6" localSheetId="8">#REF!</definedName>
    <definedName name="CARMURO_6">#REF!</definedName>
    <definedName name="CARMURO_8" localSheetId="8">#REF!</definedName>
    <definedName name="CARMURO_8">#REF!</definedName>
    <definedName name="Caro.viga.25x50">[30]Insumos!$E$225</definedName>
    <definedName name="Carp.Col.25x25">[30]Insumos!$E$199</definedName>
    <definedName name="Carp.Col.30x30">[30]Insumos!$E$200</definedName>
    <definedName name="Carp.Col.35x35">[30]Insumos!$E$201</definedName>
    <definedName name="Carp.Col.45x45">[30]Insumos!$E$203</definedName>
    <definedName name="Carp.Col.50x50">[30]Insumos!$E$204</definedName>
    <definedName name="Carp.Col.55x55">[30]Insumos!$E$205</definedName>
    <definedName name="Carp.Col.60x60">[30]Insumos!$E$206</definedName>
    <definedName name="Carp.Col.Ø25cm">[30]Insumos!$E$208</definedName>
    <definedName name="Carp.Col.Ø30">[30]Insumos!$E$209</definedName>
    <definedName name="Carp.Col.Ø40">[30]Insumos!$E$211</definedName>
    <definedName name="Carp.Col.Ø45">[30]Insumos!$E$212</definedName>
    <definedName name="Carp.Col.Ø90">[30]Insumos!$E$217</definedName>
    <definedName name="Carp.col.tapaytapa">[30]Insumos!$E$198</definedName>
    <definedName name="carp.Col40x40">[30]Insumos!$E$202</definedName>
    <definedName name="Carp.ColØ60">[30]Insumos!$E$213</definedName>
    <definedName name="Carp.ColØ70">[30]Insumos!$E$215</definedName>
    <definedName name="Carp.ColØ80">[30]Insumos!$E$216</definedName>
    <definedName name="Carp.Dintel">[30]Insumos!$E$235</definedName>
    <definedName name="Carp.Losa.Aligeradas.atc">[23]Insumos!$E$164</definedName>
    <definedName name="Carp.losa.Horm.Visto">[23]Insumos!$E$162</definedName>
    <definedName name="Carp.Muros.atc">[23]Insumos!$E$167</definedName>
    <definedName name="Carp.Platea.Zap.atc">[23]Insumos!$E$168</definedName>
    <definedName name="Carp.Viga.20x30">[30]Insumos!$E$218</definedName>
    <definedName name="Carp.Viga.20x40">[30]Insumos!$E$219</definedName>
    <definedName name="Carp.Viga.25x35">[30]Insumos!$E$222</definedName>
    <definedName name="Carp.Viga.25x40">[30]Insumos!$E$223</definedName>
    <definedName name="CArp.Viga.25x60">[30]Insumos!$E$226</definedName>
    <definedName name="Carp.Viga.25x65">[30]Insumos!$E$227</definedName>
    <definedName name="Carp.Viga.25x70">[30]Insumos!$E$230</definedName>
    <definedName name="Carp.Viga.25x80">[30]Insumos!$E$231</definedName>
    <definedName name="Carp.Viga.30x80">[30]Insumos!$E$229</definedName>
    <definedName name="Carp.Viga.Curva.20x50">[30]Insumos!$E$232</definedName>
    <definedName name="Carp.Vigas.Curvas.30x70">[30]Insumos!$E$233</definedName>
    <definedName name="CARP1" localSheetId="8">[21]INS!#REF!</definedName>
    <definedName name="CARP1">[21]INS!#REF!</definedName>
    <definedName name="CARP1_6" localSheetId="8">#REF!</definedName>
    <definedName name="CARP1_6">#REF!</definedName>
    <definedName name="CARP1_8" localSheetId="8">#REF!</definedName>
    <definedName name="CARP1_8">#REF!</definedName>
    <definedName name="CARP2" localSheetId="8">[21]INS!#REF!</definedName>
    <definedName name="CARP2">[21]INS!#REF!</definedName>
    <definedName name="CARP2_6" localSheetId="8">#REF!</definedName>
    <definedName name="CARP2_6">#REF!</definedName>
    <definedName name="CARP2_8" localSheetId="8">#REF!</definedName>
    <definedName name="CARP2_8">#REF!</definedName>
    <definedName name="CARPDINTEL" localSheetId="8">[24]M.O.!#REF!</definedName>
    <definedName name="CARPDINTEL">[24]M.O.!#REF!</definedName>
    <definedName name="CARPDINTEL_6" localSheetId="8">#REF!</definedName>
    <definedName name="CARPDINTEL_6">#REF!</definedName>
    <definedName name="CARPDINTEL_8" localSheetId="8">#REF!</definedName>
    <definedName name="CARPDINTEL_8">#REF!</definedName>
    <definedName name="Carpintería.vigas.20x32">[23]Insumos!$E$172</definedName>
    <definedName name="Carpintería__Puntales_y_M.O.">'[18]LISTA DE PRECIO'!$C$16</definedName>
    <definedName name="CARPINTERIA_COL_PERIMETRO" localSheetId="8">#REF!</definedName>
    <definedName name="CARPINTERIA_COL_PERIMETRO">#REF!</definedName>
    <definedName name="CARPINTERIA_COL_PERIMETRO_10" localSheetId="8">#REF!</definedName>
    <definedName name="CARPINTERIA_COL_PERIMETRO_10">#REF!</definedName>
    <definedName name="CARPINTERIA_COL_PERIMETRO_11" localSheetId="8">#REF!</definedName>
    <definedName name="CARPINTERIA_COL_PERIMETRO_11">#REF!</definedName>
    <definedName name="CARPINTERIA_COL_PERIMETRO_6" localSheetId="8">#REF!</definedName>
    <definedName name="CARPINTERIA_COL_PERIMETRO_6">#REF!</definedName>
    <definedName name="CARPINTERIA_COL_PERIMETRO_7" localSheetId="8">#REF!</definedName>
    <definedName name="CARPINTERIA_COL_PERIMETRO_7">#REF!</definedName>
    <definedName name="CARPINTERIA_COL_PERIMETRO_8" localSheetId="8">#REF!</definedName>
    <definedName name="CARPINTERIA_COL_PERIMETRO_8">#REF!</definedName>
    <definedName name="CARPINTERIA_COL_PERIMETRO_9" localSheetId="8">#REF!</definedName>
    <definedName name="CARPINTERIA_COL_PERIMETRO_9">#REF!</definedName>
    <definedName name="Carpintería_de_Vigas_15x30">[23]Insumos!$E$170</definedName>
    <definedName name="Carpintería_de_Vigas_15x40">[23]Insumos!$E$171</definedName>
    <definedName name="Carpintería_de_Vigas_20x130">[23]Insumos!$E$177</definedName>
    <definedName name="Carpintería_de_Vigas_20x20">[23]Insumos!$E$173</definedName>
    <definedName name="Carpintería_de_Vigas_20x30">[23]Insumos!$E$175</definedName>
    <definedName name="Carpintería_de_Vigas_20x40">[23]Insumos!$E$174</definedName>
    <definedName name="Carpintería_de_Vigas_20x60">[23]Insumos!$E$176</definedName>
    <definedName name="Carpintería_de_Vigas_40x40">[23]Insumos!$E$178</definedName>
    <definedName name="Carpintería_de_Vigas_40x50">[23]Insumos!$E$179</definedName>
    <definedName name="Carpintería_de_Vigas_40x70">[23]Insumos!$E$180</definedName>
    <definedName name="CARPINTERIA_INSTAL_COL_PERIMETRO" localSheetId="8">#REF!</definedName>
    <definedName name="CARPINTERIA_INSTAL_COL_PERIMETRO">#REF!</definedName>
    <definedName name="CARPINTERIA_INSTAL_COL_PERIMETRO_10" localSheetId="8">#REF!</definedName>
    <definedName name="CARPINTERIA_INSTAL_COL_PERIMETRO_10">#REF!</definedName>
    <definedName name="CARPINTERIA_INSTAL_COL_PERIMETRO_11" localSheetId="8">#REF!</definedName>
    <definedName name="CARPINTERIA_INSTAL_COL_PERIMETRO_11">#REF!</definedName>
    <definedName name="CARPINTERIA_INSTAL_COL_PERIMETRO_6" localSheetId="8">#REF!</definedName>
    <definedName name="CARPINTERIA_INSTAL_COL_PERIMETRO_6">#REF!</definedName>
    <definedName name="CARPINTERIA_INSTAL_COL_PERIMETRO_7" localSheetId="8">#REF!</definedName>
    <definedName name="CARPINTERIA_INSTAL_COL_PERIMETRO_7">#REF!</definedName>
    <definedName name="CARPINTERIA_INSTAL_COL_PERIMETRO_8" localSheetId="8">#REF!</definedName>
    <definedName name="CARPINTERIA_INSTAL_COL_PERIMETRO_8">#REF!</definedName>
    <definedName name="CARPINTERIA_INSTAL_COL_PERIMETRO_9" localSheetId="8">#REF!</definedName>
    <definedName name="CARPINTERIA_INSTAL_COL_PERIMETRO_9">#REF!</definedName>
    <definedName name="CARPVIGA2040" localSheetId="8">[24]M.O.!#REF!</definedName>
    <definedName name="CARPVIGA2040">[24]M.O.!#REF!</definedName>
    <definedName name="CARPVIGA2040_6" localSheetId="8">#REF!</definedName>
    <definedName name="CARPVIGA2040_6">#REF!</definedName>
    <definedName name="CARPVIGA2040_8" localSheetId="8">#REF!</definedName>
    <definedName name="CARPVIGA2040_8">#REF!</definedName>
    <definedName name="CARPVIGA3050" localSheetId="8">[24]M.O.!#REF!</definedName>
    <definedName name="CARPVIGA3050">[24]M.O.!#REF!</definedName>
    <definedName name="CARPVIGA3050_6" localSheetId="8">#REF!</definedName>
    <definedName name="CARPVIGA3050_6">#REF!</definedName>
    <definedName name="CARPVIGA3050_8" localSheetId="8">#REF!</definedName>
    <definedName name="CARPVIGA3050_8">#REF!</definedName>
    <definedName name="CARPVIGA3060" localSheetId="8">[24]M.O.!#REF!</definedName>
    <definedName name="CARPVIGA3060">[24]M.O.!#REF!</definedName>
    <definedName name="CARPVIGA3060_6" localSheetId="8">#REF!</definedName>
    <definedName name="CARPVIGA3060_6">#REF!</definedName>
    <definedName name="CARPVIGA3060_8" localSheetId="8">#REF!</definedName>
    <definedName name="CARPVIGA3060_8">#REF!</definedName>
    <definedName name="CARPVIGA4080" localSheetId="8">[24]M.O.!#REF!</definedName>
    <definedName name="CARPVIGA4080">[24]M.O.!#REF!</definedName>
    <definedName name="CARPVIGA4080_6" localSheetId="8">#REF!</definedName>
    <definedName name="CARPVIGA4080_6">#REF!</definedName>
    <definedName name="CARPVIGA4080_8" localSheetId="8">#REF!</definedName>
    <definedName name="CARPVIGA4080_8">#REF!</definedName>
    <definedName name="CARRAMPA" localSheetId="8">[24]M.O.!#REF!</definedName>
    <definedName name="CARRAMPA">[24]M.O.!#REF!</definedName>
    <definedName name="CARRAMPA_6" localSheetId="8">#REF!</definedName>
    <definedName name="CARRAMPA_6">#REF!</definedName>
    <definedName name="CARRAMPA_8" localSheetId="8">#REF!</definedName>
    <definedName name="CARRAMPA_8">#REF!</definedName>
    <definedName name="CARRETILLA" localSheetId="8">#REF!</definedName>
    <definedName name="CARRETILLA">#REF!</definedName>
    <definedName name="CARRETILLA_10" localSheetId="8">#REF!</definedName>
    <definedName name="CARRETILLA_10">#REF!</definedName>
    <definedName name="CARRETILLA_11" localSheetId="8">#REF!</definedName>
    <definedName name="CARRETILLA_11">#REF!</definedName>
    <definedName name="CARRETILLA_6" localSheetId="8">#REF!</definedName>
    <definedName name="CARRETILLA_6">#REF!</definedName>
    <definedName name="CARRETILLA_7" localSheetId="8">#REF!</definedName>
    <definedName name="CARRETILLA_7">#REF!</definedName>
    <definedName name="CARRETILLA_8" localSheetId="8">#REF!</definedName>
    <definedName name="CARRETILLA_8">#REF!</definedName>
    <definedName name="CARRETILLA_9" localSheetId="8">#REF!</definedName>
    <definedName name="CARRETILLA_9">#REF!</definedName>
    <definedName name="CASABE" localSheetId="8">[24]M.O.!#REF!</definedName>
    <definedName name="CASABE">[24]M.O.!#REF!</definedName>
    <definedName name="CASABE_8" localSheetId="8">#REF!</definedName>
    <definedName name="CASABE_8">#REF!</definedName>
    <definedName name="CASBESTO" localSheetId="8">[24]M.O.!#REF!</definedName>
    <definedName name="CASBESTO">[24]M.O.!#REF!</definedName>
    <definedName name="CASBESTO_6" localSheetId="8">#REF!</definedName>
    <definedName name="CASBESTO_6">#REF!</definedName>
    <definedName name="CASBESTO_8" localSheetId="8">#REF!</definedName>
    <definedName name="CASBESTO_8">#REF!</definedName>
    <definedName name="caseta.planta.electrica">[23]Resumen!$D$26</definedName>
    <definedName name="CASETA_DE_PLANTA_ELECTRICA">'[23]Caseta de planta'!$H$71</definedName>
    <definedName name="CAT214BFT">[41]EQUIPOS!$I$15</definedName>
    <definedName name="Cat950B">[41]EQUIPOS!$I$14</definedName>
    <definedName name="CBLOCK10" localSheetId="8">[21]INS!#REF!</definedName>
    <definedName name="CBLOCK10">[21]INS!#REF!</definedName>
    <definedName name="CBLOCK10_6" localSheetId="8">#REF!</definedName>
    <definedName name="CBLOCK10_6">#REF!</definedName>
    <definedName name="CBLOCK10_8" localSheetId="8">#REF!</definedName>
    <definedName name="CBLOCK10_8">#REF!</definedName>
    <definedName name="CC">[42]Personalizar!$G$22:$G$25</definedName>
    <definedName name="cell" localSheetId="3">'[43]LISTADO INSUMOS DEL 2000'!$I$29</definedName>
    <definedName name="cell">'[44]LISTADO INSUMOS DEL 2000'!$I$29</definedName>
    <definedName name="cem">[11]Precio!$F$9</definedName>
    <definedName name="Cem.Bco.Rigas.88lb">[23]Insumos!$E$25</definedName>
    <definedName name="CEMENTO" localSheetId="8">#REF!</definedName>
    <definedName name="CEMENTO">#REF!</definedName>
    <definedName name="CEMENTO_10" localSheetId="8">#REF!</definedName>
    <definedName name="CEMENTO_10">#REF!</definedName>
    <definedName name="CEMENTO_11" localSheetId="8">#REF!</definedName>
    <definedName name="CEMENTO_11">#REF!</definedName>
    <definedName name="CEMENTO_6" localSheetId="8">#REF!</definedName>
    <definedName name="CEMENTO_6">#REF!</definedName>
    <definedName name="CEMENTO_7" localSheetId="8">#REF!</definedName>
    <definedName name="CEMENTO_7">#REF!</definedName>
    <definedName name="CEMENTO_8" localSheetId="8">#REF!</definedName>
    <definedName name="CEMENTO_8">#REF!</definedName>
    <definedName name="CEMENTO_9" localSheetId="8">#REF!</definedName>
    <definedName name="CEMENTO_9">#REF!</definedName>
    <definedName name="cemento_bco" localSheetId="8">#REF!</definedName>
    <definedName name="cemento_bco">#REF!</definedName>
    <definedName name="CEMENTO_BLANCO" localSheetId="8">#REF!</definedName>
    <definedName name="CEMENTO_BLANCO">#REF!</definedName>
    <definedName name="CEMENTO_BLANCO_10" localSheetId="8">#REF!</definedName>
    <definedName name="CEMENTO_BLANCO_10">#REF!</definedName>
    <definedName name="CEMENTO_BLANCO_11" localSheetId="8">#REF!</definedName>
    <definedName name="CEMENTO_BLANCO_11">#REF!</definedName>
    <definedName name="CEMENTO_BLANCO_6" localSheetId="8">#REF!</definedName>
    <definedName name="CEMENTO_BLANCO_6">#REF!</definedName>
    <definedName name="CEMENTO_BLANCO_7" localSheetId="8">#REF!</definedName>
    <definedName name="CEMENTO_BLANCO_7">#REF!</definedName>
    <definedName name="CEMENTO_BLANCO_8" localSheetId="8">#REF!</definedName>
    <definedName name="CEMENTO_BLANCO_8">#REF!</definedName>
    <definedName name="CEMENTO_BLANCO_9" localSheetId="8">#REF!</definedName>
    <definedName name="CEMENTO_BLANCO_9">#REF!</definedName>
    <definedName name="cemento_obra" localSheetId="8">#REF!</definedName>
    <definedName name="cemento_obra" localSheetId="9">'[19]ANALISIS PLANTA'!$E$14</definedName>
    <definedName name="cemento_obra">#REF!</definedName>
    <definedName name="CEMENTO_PVC" localSheetId="8">#REF!</definedName>
    <definedName name="CEMENTO_PVC">#REF!</definedName>
    <definedName name="CEMENTO_PVC_10" localSheetId="8">#REF!</definedName>
    <definedName name="CEMENTO_PVC_10">#REF!</definedName>
    <definedName name="CEMENTO_PVC_11" localSheetId="8">#REF!</definedName>
    <definedName name="CEMENTO_PVC_11">#REF!</definedName>
    <definedName name="CEMENTO_PVC_6" localSheetId="8">#REF!</definedName>
    <definedName name="CEMENTO_PVC_6">#REF!</definedName>
    <definedName name="CEMENTO_PVC_7" localSheetId="8">#REF!</definedName>
    <definedName name="CEMENTO_PVC_7">#REF!</definedName>
    <definedName name="CEMENTO_PVC_8" localSheetId="8">#REF!</definedName>
    <definedName name="CEMENTO_PVC_8">#REF!</definedName>
    <definedName name="CEMENTO_PVC_9" localSheetId="8">#REF!</definedName>
    <definedName name="CEMENTO_PVC_9">#REF!</definedName>
    <definedName name="CEMENTOP" localSheetId="3">[2]insumo!$D$13</definedName>
    <definedName name="CEMENTOP">[7]insumo!$D$13</definedName>
    <definedName name="CEN" localSheetId="8">#REF!</definedName>
    <definedName name="CEN">#REF!</definedName>
    <definedName name="Ceram.criolla.pared15x15">[23]Insumos!$E$66</definedName>
    <definedName name="Ceram.Etrusco.30x30">[23]Insumos!$E$63</definedName>
    <definedName name="Ceram.Gres.piso">[30]Insumos!$E$78</definedName>
    <definedName name="Ceram.Imperial.45x45">[23]Insumos!$E$60</definedName>
    <definedName name="Ceram.Ines.Gris30x30">[23]Insumos!$E$61</definedName>
    <definedName name="Ceram.Nevada.33x33">[23]Insumos!$E$64</definedName>
    <definedName name="Ceram.Ultra.Blanco.33x33">[23]Insumos!$E$62</definedName>
    <definedName name="Cerámica.para.Piso">[30]Insumos!$E$79</definedName>
    <definedName name="CERAMICA_20x20_BLANCA" localSheetId="8">#REF!</definedName>
    <definedName name="CERAMICA_20x20_BLANCA">#REF!</definedName>
    <definedName name="CERAMICA_20x20_BLANCA_10" localSheetId="8">#REF!</definedName>
    <definedName name="CERAMICA_20x20_BLANCA_10">#REF!</definedName>
    <definedName name="CERAMICA_20x20_BLANCA_11" localSheetId="8">#REF!</definedName>
    <definedName name="CERAMICA_20x20_BLANCA_11">#REF!</definedName>
    <definedName name="CERAMICA_20x20_BLANCA_6" localSheetId="8">#REF!</definedName>
    <definedName name="CERAMICA_20x20_BLANCA_6">#REF!</definedName>
    <definedName name="CERAMICA_20x20_BLANCA_7" localSheetId="8">#REF!</definedName>
    <definedName name="CERAMICA_20x20_BLANCA_7">#REF!</definedName>
    <definedName name="CERAMICA_20x20_BLANCA_8" localSheetId="8">#REF!</definedName>
    <definedName name="CERAMICA_20x20_BLANCA_8">#REF!</definedName>
    <definedName name="CERAMICA_20x20_BLANCA_9" localSheetId="8">#REF!</definedName>
    <definedName name="CERAMICA_20x20_BLANCA_9">#REF!</definedName>
    <definedName name="CERAMICA_ANTIDESLIZANTE" localSheetId="8">#REF!</definedName>
    <definedName name="CERAMICA_ANTIDESLIZANTE">#REF!</definedName>
    <definedName name="CERAMICA_ANTIDESLIZANTE_10" localSheetId="8">#REF!</definedName>
    <definedName name="CERAMICA_ANTIDESLIZANTE_10">#REF!</definedName>
    <definedName name="CERAMICA_ANTIDESLIZANTE_11" localSheetId="8">#REF!</definedName>
    <definedName name="CERAMICA_ANTIDESLIZANTE_11">#REF!</definedName>
    <definedName name="CERAMICA_ANTIDESLIZANTE_6" localSheetId="8">#REF!</definedName>
    <definedName name="CERAMICA_ANTIDESLIZANTE_6">#REF!</definedName>
    <definedName name="CERAMICA_ANTIDESLIZANTE_7" localSheetId="8">#REF!</definedName>
    <definedName name="CERAMICA_ANTIDESLIZANTE_7">#REF!</definedName>
    <definedName name="CERAMICA_ANTIDESLIZANTE_8" localSheetId="8">#REF!</definedName>
    <definedName name="CERAMICA_ANTIDESLIZANTE_8">#REF!</definedName>
    <definedName name="CERAMICA_ANTIDESLIZANTE_9" localSheetId="8">#REF!</definedName>
    <definedName name="CERAMICA_ANTIDESLIZANTE_9">#REF!</definedName>
    <definedName name="CERAMICA_PISOS_40x40" localSheetId="8">#REF!</definedName>
    <definedName name="CERAMICA_PISOS_40x40">#REF!</definedName>
    <definedName name="CERAMICA_PISOS_40x40_10" localSheetId="8">#REF!</definedName>
    <definedName name="CERAMICA_PISOS_40x40_10">#REF!</definedName>
    <definedName name="CERAMICA_PISOS_40x40_11" localSheetId="8">#REF!</definedName>
    <definedName name="CERAMICA_PISOS_40x40_11">#REF!</definedName>
    <definedName name="CERAMICA_PISOS_40x40_6" localSheetId="8">#REF!</definedName>
    <definedName name="CERAMICA_PISOS_40x40_6">#REF!</definedName>
    <definedName name="CERAMICA_PISOS_40x40_7" localSheetId="8">#REF!</definedName>
    <definedName name="CERAMICA_PISOS_40x40_7">#REF!</definedName>
    <definedName name="CERAMICA_PISOS_40x40_8" localSheetId="8">#REF!</definedName>
    <definedName name="CERAMICA_PISOS_40x40_8">#REF!</definedName>
    <definedName name="CERAMICA_PISOS_40x40_9" localSheetId="8">#REF!</definedName>
    <definedName name="CERAMICA_PISOS_40x40_9">#REF!</definedName>
    <definedName name="CERAMICAPAREDP" localSheetId="3">[2]insumo!$D$16</definedName>
    <definedName name="CERAMICAPAREDP">[7]insumo!$D$16</definedName>
    <definedName name="CERAMICAPAREDS" localSheetId="3">[2]insumo!$D$17</definedName>
    <definedName name="CERAMICAPAREDS">[7]insumo!$D$17</definedName>
    <definedName name="CERAMICAPISOP" localSheetId="3">[2]insumo!$D$14</definedName>
    <definedName name="CERAMICAPISOP">[7]insumo!$D$14</definedName>
    <definedName name="CERAMICAPISOS" localSheetId="3">[2]insumo!$D$15</definedName>
    <definedName name="CERAMICAPISOS">[7]insumo!$D$15</definedName>
    <definedName name="CHAZO" localSheetId="3">[31]INSU!$B$104</definedName>
    <definedName name="CHAZO">[32]INSU!$B$104</definedName>
    <definedName name="CHAZOS" localSheetId="8">#REF!</definedName>
    <definedName name="CHAZOS">#REF!</definedName>
    <definedName name="CHAZOS_10" localSheetId="8">#REF!</definedName>
    <definedName name="CHAZOS_10">#REF!</definedName>
    <definedName name="CHAZOS_11" localSheetId="8">#REF!</definedName>
    <definedName name="CHAZOS_11">#REF!</definedName>
    <definedName name="CHAZOS_6" localSheetId="8">#REF!</definedName>
    <definedName name="CHAZOS_6">#REF!</definedName>
    <definedName name="CHAZOS_7" localSheetId="8">#REF!</definedName>
    <definedName name="CHAZOS_7">#REF!</definedName>
    <definedName name="CHAZOS_8" localSheetId="8">#REF!</definedName>
    <definedName name="CHAZOS_8">#REF!</definedName>
    <definedName name="CHAZOS_9" localSheetId="8">#REF!</definedName>
    <definedName name="CHAZOS_9">#REF!</definedName>
    <definedName name="CHEQUE_HORZ_34" localSheetId="8">#REF!</definedName>
    <definedName name="CHEQUE_HORZ_34">#REF!</definedName>
    <definedName name="CHEQUE_HORZ_34_10" localSheetId="8">#REF!</definedName>
    <definedName name="CHEQUE_HORZ_34_10">#REF!</definedName>
    <definedName name="CHEQUE_HORZ_34_11" localSheetId="8">#REF!</definedName>
    <definedName name="CHEQUE_HORZ_34_11">#REF!</definedName>
    <definedName name="CHEQUE_HORZ_34_6" localSheetId="8">#REF!</definedName>
    <definedName name="CHEQUE_HORZ_34_6">#REF!</definedName>
    <definedName name="CHEQUE_HORZ_34_7" localSheetId="8">#REF!</definedName>
    <definedName name="CHEQUE_HORZ_34_7">#REF!</definedName>
    <definedName name="CHEQUE_HORZ_34_8" localSheetId="8">#REF!</definedName>
    <definedName name="CHEQUE_HORZ_34_8">#REF!</definedName>
    <definedName name="CHEQUE_HORZ_34_9" localSheetId="8">#REF!</definedName>
    <definedName name="CHEQUE_HORZ_34_9">#REF!</definedName>
    <definedName name="CHEQUE_VERT_34" localSheetId="8">#REF!</definedName>
    <definedName name="CHEQUE_VERT_34">#REF!</definedName>
    <definedName name="CHEQUE_VERT_34_10" localSheetId="8">#REF!</definedName>
    <definedName name="CHEQUE_VERT_34_10">#REF!</definedName>
    <definedName name="CHEQUE_VERT_34_11" localSheetId="8">#REF!</definedName>
    <definedName name="CHEQUE_VERT_34_11">#REF!</definedName>
    <definedName name="CHEQUE_VERT_34_6" localSheetId="8">#REF!</definedName>
    <definedName name="CHEQUE_VERT_34_6">#REF!</definedName>
    <definedName name="CHEQUE_VERT_34_7" localSheetId="8">#REF!</definedName>
    <definedName name="CHEQUE_VERT_34_7">#REF!</definedName>
    <definedName name="CHEQUE_VERT_34_8" localSheetId="8">#REF!</definedName>
    <definedName name="CHEQUE_VERT_34_8">#REF!</definedName>
    <definedName name="CHEQUE_VERT_34_9" localSheetId="8">#REF!</definedName>
    <definedName name="CHEQUE_VERT_34_9">#REF!</definedName>
    <definedName name="cinta.sheetrock">[45]Insumos!$L$41</definedName>
    <definedName name="CLAVO_ACERO" localSheetId="8">#REF!</definedName>
    <definedName name="CLAVO_ACERO" localSheetId="3">[20]INSU!$D$130</definedName>
    <definedName name="CLAVO_ACERO">#REF!</definedName>
    <definedName name="CLAVO_ACERO_10" localSheetId="8">#REF!</definedName>
    <definedName name="CLAVO_ACERO_10">#REF!</definedName>
    <definedName name="CLAVO_ACERO_11" localSheetId="8">#REF!</definedName>
    <definedName name="CLAVO_ACERO_11">#REF!</definedName>
    <definedName name="CLAVO_ACERO_5" localSheetId="8">#REF!</definedName>
    <definedName name="CLAVO_ACERO_5">#REF!</definedName>
    <definedName name="CLAVO_ACERO_6" localSheetId="8">#REF!</definedName>
    <definedName name="CLAVO_ACERO_6">#REF!</definedName>
    <definedName name="CLAVO_ACERO_7" localSheetId="8">#REF!</definedName>
    <definedName name="CLAVO_ACERO_7">#REF!</definedName>
    <definedName name="CLAVO_ACERO_8" localSheetId="8">#REF!</definedName>
    <definedName name="CLAVO_ACERO_8">#REF!</definedName>
    <definedName name="CLAVO_ACERO_9" localSheetId="8">#REF!</definedName>
    <definedName name="CLAVO_ACERO_9">#REF!</definedName>
    <definedName name="CLAVO_CORRIENTE" localSheetId="8">#REF!</definedName>
    <definedName name="CLAVO_CORRIENTE" localSheetId="3">[20]INSU!$D$131</definedName>
    <definedName name="CLAVO_CORRIENTE">#REF!</definedName>
    <definedName name="CLAVO_CORRIENTE_10" localSheetId="8">#REF!</definedName>
    <definedName name="CLAVO_CORRIENTE_10">#REF!</definedName>
    <definedName name="CLAVO_CORRIENTE_11" localSheetId="8">#REF!</definedName>
    <definedName name="CLAVO_CORRIENTE_11">#REF!</definedName>
    <definedName name="CLAVO_CORRIENTE_5" localSheetId="8">#REF!</definedName>
    <definedName name="CLAVO_CORRIENTE_5">#REF!</definedName>
    <definedName name="CLAVO_CORRIENTE_6" localSheetId="8">#REF!</definedName>
    <definedName name="CLAVO_CORRIENTE_6">#REF!</definedName>
    <definedName name="CLAVO_CORRIENTE_7" localSheetId="8">#REF!</definedName>
    <definedName name="CLAVO_CORRIENTE_7">#REF!</definedName>
    <definedName name="CLAVO_CORRIENTE_8" localSheetId="8">#REF!</definedName>
    <definedName name="CLAVO_CORRIENTE_8">#REF!</definedName>
    <definedName name="CLAVO_CORRIENTE_9" localSheetId="8">#REF!</definedName>
    <definedName name="CLAVO_CORRIENTE_9">#REF!</definedName>
    <definedName name="CLAVO_ZINC" localSheetId="8">#REF!</definedName>
    <definedName name="CLAVO_ZINC">#REF!</definedName>
    <definedName name="CLAVO_ZINC_10" localSheetId="8">#REF!</definedName>
    <definedName name="CLAVO_ZINC_10">#REF!</definedName>
    <definedName name="CLAVO_ZINC_11" localSheetId="8">#REF!</definedName>
    <definedName name="CLAVO_ZINC_11">#REF!</definedName>
    <definedName name="CLAVO_ZINC_6" localSheetId="8">#REF!</definedName>
    <definedName name="CLAVO_ZINC_6">#REF!</definedName>
    <definedName name="CLAVO_ZINC_7" localSheetId="8">#REF!</definedName>
    <definedName name="CLAVO_ZINC_7">#REF!</definedName>
    <definedName name="CLAVO_ZINC_8" localSheetId="8">#REF!</definedName>
    <definedName name="CLAVO_ZINC_8">#REF!</definedName>
    <definedName name="CLAVO_ZINC_9" localSheetId="8">#REF!</definedName>
    <definedName name="CLAVO_ZINC_9">#REF!</definedName>
    <definedName name="clavos" localSheetId="8">#REF!</definedName>
    <definedName name="clavos">#REF!</definedName>
    <definedName name="clavos.con.fulminantes">[45]Insumos!$L$36</definedName>
    <definedName name="clavos_6" localSheetId="8">#REF!</definedName>
    <definedName name="clavos_6">#REF!</definedName>
    <definedName name="clavos_8" localSheetId="8">#REF!</definedName>
    <definedName name="clavos_8">#REF!</definedName>
    <definedName name="clavos_dulce" localSheetId="8">#REF!</definedName>
    <definedName name="clavos_dulce">#REF!</definedName>
    <definedName name="CLAVOSACERO">[7]insumo!$D$18</definedName>
    <definedName name="CLAVOSCORRIENTES" localSheetId="3">[2]insumo!$D$19</definedName>
    <definedName name="CLAVOSCORRIENTES">[7]insumo!$D$19</definedName>
    <definedName name="CLAVOZINC" localSheetId="3">[46]INS!$D$767</definedName>
    <definedName name="CLAVOZINC">[47]INS!$D$767</definedName>
    <definedName name="Clear">[23]Insumos!$E$70</definedName>
    <definedName name="CODIGO">#N/A</definedName>
    <definedName name="CODIGO_6">NA()</definedName>
    <definedName name="CODO_ACERO_16x25a70" localSheetId="8">#REF!</definedName>
    <definedName name="CODO_ACERO_16x25a70">#REF!</definedName>
    <definedName name="CODO_ACERO_16x25a70_10" localSheetId="8">#REF!</definedName>
    <definedName name="CODO_ACERO_16x25a70_10">#REF!</definedName>
    <definedName name="CODO_ACERO_16x25a70_11" localSheetId="8">#REF!</definedName>
    <definedName name="CODO_ACERO_16x25a70_11">#REF!</definedName>
    <definedName name="CODO_ACERO_16x25a70_6" localSheetId="8">#REF!</definedName>
    <definedName name="CODO_ACERO_16x25a70_6">#REF!</definedName>
    <definedName name="CODO_ACERO_16x25a70_7" localSheetId="8">#REF!</definedName>
    <definedName name="CODO_ACERO_16x25a70_7">#REF!</definedName>
    <definedName name="CODO_ACERO_16x25a70_8" localSheetId="8">#REF!</definedName>
    <definedName name="CODO_ACERO_16x25a70_8">#REF!</definedName>
    <definedName name="CODO_ACERO_16x25a70_9" localSheetId="8">#REF!</definedName>
    <definedName name="CODO_ACERO_16x25a70_9">#REF!</definedName>
    <definedName name="CODO_ACERO_16x25menos" localSheetId="8">#REF!</definedName>
    <definedName name="CODO_ACERO_16x25menos">#REF!</definedName>
    <definedName name="CODO_ACERO_16x25menos_10" localSheetId="8">#REF!</definedName>
    <definedName name="CODO_ACERO_16x25menos_10">#REF!</definedName>
    <definedName name="CODO_ACERO_16x25menos_11" localSheetId="8">#REF!</definedName>
    <definedName name="CODO_ACERO_16x25menos_11">#REF!</definedName>
    <definedName name="CODO_ACERO_16x25menos_6" localSheetId="8">#REF!</definedName>
    <definedName name="CODO_ACERO_16x25menos_6">#REF!</definedName>
    <definedName name="CODO_ACERO_16x25menos_7" localSheetId="8">#REF!</definedName>
    <definedName name="CODO_ACERO_16x25menos_7">#REF!</definedName>
    <definedName name="CODO_ACERO_16x25menos_8" localSheetId="8">#REF!</definedName>
    <definedName name="CODO_ACERO_16x25menos_8">#REF!</definedName>
    <definedName name="CODO_ACERO_16x25menos_9" localSheetId="8">#REF!</definedName>
    <definedName name="CODO_ACERO_16x25menos_9">#REF!</definedName>
    <definedName name="CODO_ACERO_16x45" localSheetId="8">#REF!</definedName>
    <definedName name="CODO_ACERO_16x45">#REF!</definedName>
    <definedName name="CODO_ACERO_16x45_10" localSheetId="8">#REF!</definedName>
    <definedName name="CODO_ACERO_16x45_10">#REF!</definedName>
    <definedName name="CODO_ACERO_16x45_11" localSheetId="8">#REF!</definedName>
    <definedName name="CODO_ACERO_16x45_11">#REF!</definedName>
    <definedName name="CODO_ACERO_16x45_6" localSheetId="8">#REF!</definedName>
    <definedName name="CODO_ACERO_16x45_6">#REF!</definedName>
    <definedName name="CODO_ACERO_16x45_7" localSheetId="8">#REF!</definedName>
    <definedName name="CODO_ACERO_16x45_7">#REF!</definedName>
    <definedName name="CODO_ACERO_16x45_8" localSheetId="8">#REF!</definedName>
    <definedName name="CODO_ACERO_16x45_8">#REF!</definedName>
    <definedName name="CODO_ACERO_16x45_9" localSheetId="8">#REF!</definedName>
    <definedName name="CODO_ACERO_16x45_9">#REF!</definedName>
    <definedName name="CODO_ACERO_16x70mas" localSheetId="8">#REF!</definedName>
    <definedName name="CODO_ACERO_16x70mas">#REF!</definedName>
    <definedName name="CODO_ACERO_16x70mas_10" localSheetId="8">#REF!</definedName>
    <definedName name="CODO_ACERO_16x70mas_10">#REF!</definedName>
    <definedName name="CODO_ACERO_16x70mas_11" localSheetId="8">#REF!</definedName>
    <definedName name="CODO_ACERO_16x70mas_11">#REF!</definedName>
    <definedName name="CODO_ACERO_16x70mas_6" localSheetId="8">#REF!</definedName>
    <definedName name="CODO_ACERO_16x70mas_6">#REF!</definedName>
    <definedName name="CODO_ACERO_16x70mas_7" localSheetId="8">#REF!</definedName>
    <definedName name="CODO_ACERO_16x70mas_7">#REF!</definedName>
    <definedName name="CODO_ACERO_16x70mas_8" localSheetId="8">#REF!</definedName>
    <definedName name="CODO_ACERO_16x70mas_8">#REF!</definedName>
    <definedName name="CODO_ACERO_16x70mas_9" localSheetId="8">#REF!</definedName>
    <definedName name="CODO_ACERO_16x70mas_9">#REF!</definedName>
    <definedName name="CODO_ACERO_16x90" localSheetId="8">#REF!</definedName>
    <definedName name="CODO_ACERO_16x90">#REF!</definedName>
    <definedName name="CODO_ACERO_16x90_10" localSheetId="8">#REF!</definedName>
    <definedName name="CODO_ACERO_16x90_10">#REF!</definedName>
    <definedName name="CODO_ACERO_16x90_11" localSheetId="8">#REF!</definedName>
    <definedName name="CODO_ACERO_16x90_11">#REF!</definedName>
    <definedName name="CODO_ACERO_16x90_6" localSheetId="8">#REF!</definedName>
    <definedName name="CODO_ACERO_16x90_6">#REF!</definedName>
    <definedName name="CODO_ACERO_16x90_7" localSheetId="8">#REF!</definedName>
    <definedName name="CODO_ACERO_16x90_7">#REF!</definedName>
    <definedName name="CODO_ACERO_16x90_8" localSheetId="8">#REF!</definedName>
    <definedName name="CODO_ACERO_16x90_8">#REF!</definedName>
    <definedName name="CODO_ACERO_16x90_9" localSheetId="8">#REF!</definedName>
    <definedName name="CODO_ACERO_16x90_9">#REF!</definedName>
    <definedName name="CODO_ACERO_20x90" localSheetId="8">#REF!</definedName>
    <definedName name="CODO_ACERO_20x90">#REF!</definedName>
    <definedName name="CODO_ACERO_20x90_10" localSheetId="8">#REF!</definedName>
    <definedName name="CODO_ACERO_20x90_10">#REF!</definedName>
    <definedName name="CODO_ACERO_20x90_11" localSheetId="8">#REF!</definedName>
    <definedName name="CODO_ACERO_20x90_11">#REF!</definedName>
    <definedName name="CODO_ACERO_20x90_6" localSheetId="8">#REF!</definedName>
    <definedName name="CODO_ACERO_20x90_6">#REF!</definedName>
    <definedName name="CODO_ACERO_20x90_7" localSheetId="8">#REF!</definedName>
    <definedName name="CODO_ACERO_20x90_7">#REF!</definedName>
    <definedName name="CODO_ACERO_20x90_8" localSheetId="8">#REF!</definedName>
    <definedName name="CODO_ACERO_20x90_8">#REF!</definedName>
    <definedName name="CODO_ACERO_20x90_9" localSheetId="8">#REF!</definedName>
    <definedName name="CODO_ACERO_20x90_9">#REF!</definedName>
    <definedName name="CODO_ACERO_3x45" localSheetId="8">#REF!</definedName>
    <definedName name="CODO_ACERO_3x45">#REF!</definedName>
    <definedName name="CODO_ACERO_3x45_10" localSheetId="8">#REF!</definedName>
    <definedName name="CODO_ACERO_3x45_10">#REF!</definedName>
    <definedName name="CODO_ACERO_3x45_11" localSheetId="8">#REF!</definedName>
    <definedName name="CODO_ACERO_3x45_11">#REF!</definedName>
    <definedName name="CODO_ACERO_3x45_6" localSheetId="8">#REF!</definedName>
    <definedName name="CODO_ACERO_3x45_6">#REF!</definedName>
    <definedName name="CODO_ACERO_3x45_7" localSheetId="8">#REF!</definedName>
    <definedName name="CODO_ACERO_3x45_7">#REF!</definedName>
    <definedName name="CODO_ACERO_3x45_8" localSheetId="8">#REF!</definedName>
    <definedName name="CODO_ACERO_3x45_8">#REF!</definedName>
    <definedName name="CODO_ACERO_3x45_9" localSheetId="8">#REF!</definedName>
    <definedName name="CODO_ACERO_3x45_9">#REF!</definedName>
    <definedName name="CODO_ACERO_3x90" localSheetId="8">#REF!</definedName>
    <definedName name="CODO_ACERO_3x90">#REF!</definedName>
    <definedName name="CODO_ACERO_3x90_10" localSheetId="8">#REF!</definedName>
    <definedName name="CODO_ACERO_3x90_10">#REF!</definedName>
    <definedName name="CODO_ACERO_3x90_11" localSheetId="8">#REF!</definedName>
    <definedName name="CODO_ACERO_3x90_11">#REF!</definedName>
    <definedName name="CODO_ACERO_3x90_6" localSheetId="8">#REF!</definedName>
    <definedName name="CODO_ACERO_3x90_6">#REF!</definedName>
    <definedName name="CODO_ACERO_3x90_7" localSheetId="8">#REF!</definedName>
    <definedName name="CODO_ACERO_3x90_7">#REF!</definedName>
    <definedName name="CODO_ACERO_3x90_8" localSheetId="8">#REF!</definedName>
    <definedName name="CODO_ACERO_3x90_8">#REF!</definedName>
    <definedName name="CODO_ACERO_3x90_9" localSheetId="8">#REF!</definedName>
    <definedName name="CODO_ACERO_3x90_9">#REF!</definedName>
    <definedName name="CODO_ACERO_4X45" localSheetId="8">#REF!</definedName>
    <definedName name="CODO_ACERO_4X45">#REF!</definedName>
    <definedName name="CODO_ACERO_4X45_10" localSheetId="8">#REF!</definedName>
    <definedName name="CODO_ACERO_4X45_10">#REF!</definedName>
    <definedName name="CODO_ACERO_4X45_11" localSheetId="8">#REF!</definedName>
    <definedName name="CODO_ACERO_4X45_11">#REF!</definedName>
    <definedName name="CODO_ACERO_4X45_6" localSheetId="8">#REF!</definedName>
    <definedName name="CODO_ACERO_4X45_6">#REF!</definedName>
    <definedName name="CODO_ACERO_4X45_7" localSheetId="8">#REF!</definedName>
    <definedName name="CODO_ACERO_4X45_7">#REF!</definedName>
    <definedName name="CODO_ACERO_4X45_8" localSheetId="8">#REF!</definedName>
    <definedName name="CODO_ACERO_4X45_8">#REF!</definedName>
    <definedName name="CODO_ACERO_4X45_9" localSheetId="8">#REF!</definedName>
    <definedName name="CODO_ACERO_4X45_9">#REF!</definedName>
    <definedName name="CODO_ACERO_4X90" localSheetId="8">#REF!</definedName>
    <definedName name="CODO_ACERO_4X90">#REF!</definedName>
    <definedName name="CODO_ACERO_4X90_10" localSheetId="8">#REF!</definedName>
    <definedName name="CODO_ACERO_4X90_10">#REF!</definedName>
    <definedName name="CODO_ACERO_4X90_11" localSheetId="8">#REF!</definedName>
    <definedName name="CODO_ACERO_4X90_11">#REF!</definedName>
    <definedName name="CODO_ACERO_4X90_6" localSheetId="8">#REF!</definedName>
    <definedName name="CODO_ACERO_4X90_6">#REF!</definedName>
    <definedName name="CODO_ACERO_4X90_7" localSheetId="8">#REF!</definedName>
    <definedName name="CODO_ACERO_4X90_7">#REF!</definedName>
    <definedName name="CODO_ACERO_4X90_8" localSheetId="8">#REF!</definedName>
    <definedName name="CODO_ACERO_4X90_8">#REF!</definedName>
    <definedName name="CODO_ACERO_4X90_9" localSheetId="8">#REF!</definedName>
    <definedName name="CODO_ACERO_4X90_9">#REF!</definedName>
    <definedName name="CODO_ACERO_6x25a70" localSheetId="8">#REF!</definedName>
    <definedName name="CODO_ACERO_6x25a70">#REF!</definedName>
    <definedName name="CODO_ACERO_6x25a70_10" localSheetId="8">#REF!</definedName>
    <definedName name="CODO_ACERO_6x25a70_10">#REF!</definedName>
    <definedName name="CODO_ACERO_6x25a70_11" localSheetId="8">#REF!</definedName>
    <definedName name="CODO_ACERO_6x25a70_11">#REF!</definedName>
    <definedName name="CODO_ACERO_6x25a70_6" localSheetId="8">#REF!</definedName>
    <definedName name="CODO_ACERO_6x25a70_6">#REF!</definedName>
    <definedName name="CODO_ACERO_6x25a70_7" localSheetId="8">#REF!</definedName>
    <definedName name="CODO_ACERO_6x25a70_7">#REF!</definedName>
    <definedName name="CODO_ACERO_6x25a70_8" localSheetId="8">#REF!</definedName>
    <definedName name="CODO_ACERO_6x25a70_8">#REF!</definedName>
    <definedName name="CODO_ACERO_6x25a70_9" localSheetId="8">#REF!</definedName>
    <definedName name="CODO_ACERO_6x25a70_9">#REF!</definedName>
    <definedName name="CODO_ACERO_6x25menos" localSheetId="8">#REF!</definedName>
    <definedName name="CODO_ACERO_6x25menos">#REF!</definedName>
    <definedName name="CODO_ACERO_6x25menos_10" localSheetId="8">#REF!</definedName>
    <definedName name="CODO_ACERO_6x25menos_10">#REF!</definedName>
    <definedName name="CODO_ACERO_6x25menos_11" localSheetId="8">#REF!</definedName>
    <definedName name="CODO_ACERO_6x25menos_11">#REF!</definedName>
    <definedName name="CODO_ACERO_6x25menos_6" localSheetId="8">#REF!</definedName>
    <definedName name="CODO_ACERO_6x25menos_6">#REF!</definedName>
    <definedName name="CODO_ACERO_6x25menos_7" localSheetId="8">#REF!</definedName>
    <definedName name="CODO_ACERO_6x25menos_7">#REF!</definedName>
    <definedName name="CODO_ACERO_6x25menos_8" localSheetId="8">#REF!</definedName>
    <definedName name="CODO_ACERO_6x25menos_8">#REF!</definedName>
    <definedName name="CODO_ACERO_6x25menos_9" localSheetId="8">#REF!</definedName>
    <definedName name="CODO_ACERO_6x25menos_9">#REF!</definedName>
    <definedName name="CODO_ACERO_6x70mas" localSheetId="8">#REF!</definedName>
    <definedName name="CODO_ACERO_6x70mas">#REF!</definedName>
    <definedName name="CODO_ACERO_6x70mas_10" localSheetId="8">#REF!</definedName>
    <definedName name="CODO_ACERO_6x70mas_10">#REF!</definedName>
    <definedName name="CODO_ACERO_6x70mas_11" localSheetId="8">#REF!</definedName>
    <definedName name="CODO_ACERO_6x70mas_11">#REF!</definedName>
    <definedName name="CODO_ACERO_6x70mas_6" localSheetId="8">#REF!</definedName>
    <definedName name="CODO_ACERO_6x70mas_6">#REF!</definedName>
    <definedName name="CODO_ACERO_6x70mas_7" localSheetId="8">#REF!</definedName>
    <definedName name="CODO_ACERO_6x70mas_7">#REF!</definedName>
    <definedName name="CODO_ACERO_6x70mas_8" localSheetId="8">#REF!</definedName>
    <definedName name="CODO_ACERO_6x70mas_8">#REF!</definedName>
    <definedName name="CODO_ACERO_6x70mas_9" localSheetId="8">#REF!</definedName>
    <definedName name="CODO_ACERO_6x70mas_9">#REF!</definedName>
    <definedName name="CODO_ACERO_8x25a70" localSheetId="8">#REF!</definedName>
    <definedName name="CODO_ACERO_8x25a70">#REF!</definedName>
    <definedName name="CODO_ACERO_8x25a70_10" localSheetId="8">#REF!</definedName>
    <definedName name="CODO_ACERO_8x25a70_10">#REF!</definedName>
    <definedName name="CODO_ACERO_8x25a70_11" localSheetId="8">#REF!</definedName>
    <definedName name="CODO_ACERO_8x25a70_11">#REF!</definedName>
    <definedName name="CODO_ACERO_8x25a70_6" localSheetId="8">#REF!</definedName>
    <definedName name="CODO_ACERO_8x25a70_6">#REF!</definedName>
    <definedName name="CODO_ACERO_8x25a70_7" localSheetId="8">#REF!</definedName>
    <definedName name="CODO_ACERO_8x25a70_7">#REF!</definedName>
    <definedName name="CODO_ACERO_8x25a70_8" localSheetId="8">#REF!</definedName>
    <definedName name="CODO_ACERO_8x25a70_8">#REF!</definedName>
    <definedName name="CODO_ACERO_8x25a70_9" localSheetId="8">#REF!</definedName>
    <definedName name="CODO_ACERO_8x25a70_9">#REF!</definedName>
    <definedName name="CODO_ACERO_8x25menos" localSheetId="8">#REF!</definedName>
    <definedName name="CODO_ACERO_8x25menos">#REF!</definedName>
    <definedName name="CODO_ACERO_8x25menos_10" localSheetId="8">#REF!</definedName>
    <definedName name="CODO_ACERO_8x25menos_10">#REF!</definedName>
    <definedName name="CODO_ACERO_8x25menos_11" localSheetId="8">#REF!</definedName>
    <definedName name="CODO_ACERO_8x25menos_11">#REF!</definedName>
    <definedName name="CODO_ACERO_8x25menos_6" localSheetId="8">#REF!</definedName>
    <definedName name="CODO_ACERO_8x25menos_6">#REF!</definedName>
    <definedName name="CODO_ACERO_8x25menos_7" localSheetId="8">#REF!</definedName>
    <definedName name="CODO_ACERO_8x25menos_7">#REF!</definedName>
    <definedName name="CODO_ACERO_8x25menos_8" localSheetId="8">#REF!</definedName>
    <definedName name="CODO_ACERO_8x25menos_8">#REF!</definedName>
    <definedName name="CODO_ACERO_8x25menos_9" localSheetId="8">#REF!</definedName>
    <definedName name="CODO_ACERO_8x25menos_9">#REF!</definedName>
    <definedName name="CODO_ACERO_8x45" localSheetId="8">#REF!</definedName>
    <definedName name="CODO_ACERO_8x45">#REF!</definedName>
    <definedName name="CODO_ACERO_8x45_10" localSheetId="8">#REF!</definedName>
    <definedName name="CODO_ACERO_8x45_10">#REF!</definedName>
    <definedName name="CODO_ACERO_8x45_11" localSheetId="8">#REF!</definedName>
    <definedName name="CODO_ACERO_8x45_11">#REF!</definedName>
    <definedName name="CODO_ACERO_8x45_6" localSheetId="8">#REF!</definedName>
    <definedName name="CODO_ACERO_8x45_6">#REF!</definedName>
    <definedName name="CODO_ACERO_8x45_7" localSheetId="8">#REF!</definedName>
    <definedName name="CODO_ACERO_8x45_7">#REF!</definedName>
    <definedName name="CODO_ACERO_8x45_8" localSheetId="8">#REF!</definedName>
    <definedName name="CODO_ACERO_8x45_8">#REF!</definedName>
    <definedName name="CODO_ACERO_8x45_9" localSheetId="8">#REF!</definedName>
    <definedName name="CODO_ACERO_8x45_9">#REF!</definedName>
    <definedName name="CODO_ACERO_8x70mas" localSheetId="8">#REF!</definedName>
    <definedName name="CODO_ACERO_8x70mas">#REF!</definedName>
    <definedName name="CODO_ACERO_8x70mas_10" localSheetId="8">#REF!</definedName>
    <definedName name="CODO_ACERO_8x70mas_10">#REF!</definedName>
    <definedName name="CODO_ACERO_8x70mas_11" localSheetId="8">#REF!</definedName>
    <definedName name="CODO_ACERO_8x70mas_11">#REF!</definedName>
    <definedName name="CODO_ACERO_8x70mas_6" localSheetId="8">#REF!</definedName>
    <definedName name="CODO_ACERO_8x70mas_6">#REF!</definedName>
    <definedName name="CODO_ACERO_8x70mas_7" localSheetId="8">#REF!</definedName>
    <definedName name="CODO_ACERO_8x70mas_7">#REF!</definedName>
    <definedName name="CODO_ACERO_8x70mas_8" localSheetId="8">#REF!</definedName>
    <definedName name="CODO_ACERO_8x70mas_8">#REF!</definedName>
    <definedName name="CODO_ACERO_8x70mas_9" localSheetId="8">#REF!</definedName>
    <definedName name="CODO_ACERO_8x70mas_9">#REF!</definedName>
    <definedName name="CODO_ACERO_8x90" localSheetId="8">#REF!</definedName>
    <definedName name="CODO_ACERO_8x90">#REF!</definedName>
    <definedName name="CODO_ACERO_8x90_10" localSheetId="8">#REF!</definedName>
    <definedName name="CODO_ACERO_8x90_10">#REF!</definedName>
    <definedName name="CODO_ACERO_8x90_11" localSheetId="8">#REF!</definedName>
    <definedName name="CODO_ACERO_8x90_11">#REF!</definedName>
    <definedName name="CODO_ACERO_8x90_6" localSheetId="8">#REF!</definedName>
    <definedName name="CODO_ACERO_8x90_6">#REF!</definedName>
    <definedName name="CODO_ACERO_8x90_7" localSheetId="8">#REF!</definedName>
    <definedName name="CODO_ACERO_8x90_7">#REF!</definedName>
    <definedName name="CODO_ACERO_8x90_8" localSheetId="8">#REF!</definedName>
    <definedName name="CODO_ACERO_8x90_8">#REF!</definedName>
    <definedName name="CODO_ACERO_8x90_9" localSheetId="8">#REF!</definedName>
    <definedName name="CODO_ACERO_8x90_9">#REF!</definedName>
    <definedName name="CODO_CPVC_12x90" localSheetId="8">#REF!</definedName>
    <definedName name="CODO_CPVC_12x90">#REF!</definedName>
    <definedName name="CODO_CPVC_12x90_10" localSheetId="8">#REF!</definedName>
    <definedName name="CODO_CPVC_12x90_10">#REF!</definedName>
    <definedName name="CODO_CPVC_12x90_11" localSheetId="8">#REF!</definedName>
    <definedName name="CODO_CPVC_12x90_11">#REF!</definedName>
    <definedName name="CODO_CPVC_12x90_6" localSheetId="8">#REF!</definedName>
    <definedName name="CODO_CPVC_12x90_6">#REF!</definedName>
    <definedName name="CODO_CPVC_12x90_7" localSheetId="8">#REF!</definedName>
    <definedName name="CODO_CPVC_12x90_7">#REF!</definedName>
    <definedName name="CODO_CPVC_12x90_8" localSheetId="8">#REF!</definedName>
    <definedName name="CODO_CPVC_12x90_8">#REF!</definedName>
    <definedName name="CODO_CPVC_12x90_9" localSheetId="8">#REF!</definedName>
    <definedName name="CODO_CPVC_12x90_9">#REF!</definedName>
    <definedName name="CODO_ELEC_1" localSheetId="8">#REF!</definedName>
    <definedName name="CODO_ELEC_1">#REF!</definedName>
    <definedName name="CODO_ELEC_1_10" localSheetId="8">#REF!</definedName>
    <definedName name="CODO_ELEC_1_10">#REF!</definedName>
    <definedName name="CODO_ELEC_1_11" localSheetId="8">#REF!</definedName>
    <definedName name="CODO_ELEC_1_11">#REF!</definedName>
    <definedName name="CODO_ELEC_1_6" localSheetId="8">#REF!</definedName>
    <definedName name="CODO_ELEC_1_6">#REF!</definedName>
    <definedName name="CODO_ELEC_1_7" localSheetId="8">#REF!</definedName>
    <definedName name="CODO_ELEC_1_7">#REF!</definedName>
    <definedName name="CODO_ELEC_1_8" localSheetId="8">#REF!</definedName>
    <definedName name="CODO_ELEC_1_8">#REF!</definedName>
    <definedName name="CODO_ELEC_1_9" localSheetId="8">#REF!</definedName>
    <definedName name="CODO_ELEC_1_9">#REF!</definedName>
    <definedName name="CODO_ELEC_12" localSheetId="8">#REF!</definedName>
    <definedName name="CODO_ELEC_12">#REF!</definedName>
    <definedName name="CODO_ELEC_12_10" localSheetId="8">#REF!</definedName>
    <definedName name="CODO_ELEC_12_10">#REF!</definedName>
    <definedName name="CODO_ELEC_12_11" localSheetId="8">#REF!</definedName>
    <definedName name="CODO_ELEC_12_11">#REF!</definedName>
    <definedName name="CODO_ELEC_12_6" localSheetId="8">#REF!</definedName>
    <definedName name="CODO_ELEC_12_6">#REF!</definedName>
    <definedName name="CODO_ELEC_12_7" localSheetId="8">#REF!</definedName>
    <definedName name="CODO_ELEC_12_7">#REF!</definedName>
    <definedName name="CODO_ELEC_12_8" localSheetId="8">#REF!</definedName>
    <definedName name="CODO_ELEC_12_8">#REF!</definedName>
    <definedName name="CODO_ELEC_12_9" localSheetId="8">#REF!</definedName>
    <definedName name="CODO_ELEC_12_9">#REF!</definedName>
    <definedName name="CODO_ELEC_1y12" localSheetId="8">#REF!</definedName>
    <definedName name="CODO_ELEC_1y12">#REF!</definedName>
    <definedName name="CODO_ELEC_1y12_10" localSheetId="8">#REF!</definedName>
    <definedName name="CODO_ELEC_1y12_10">#REF!</definedName>
    <definedName name="CODO_ELEC_1y12_11" localSheetId="8">#REF!</definedName>
    <definedName name="CODO_ELEC_1y12_11">#REF!</definedName>
    <definedName name="CODO_ELEC_1y12_6" localSheetId="8">#REF!</definedName>
    <definedName name="CODO_ELEC_1y12_6">#REF!</definedName>
    <definedName name="CODO_ELEC_1y12_7" localSheetId="8">#REF!</definedName>
    <definedName name="CODO_ELEC_1y12_7">#REF!</definedName>
    <definedName name="CODO_ELEC_1y12_8" localSheetId="8">#REF!</definedName>
    <definedName name="CODO_ELEC_1y12_8">#REF!</definedName>
    <definedName name="CODO_ELEC_1y12_9" localSheetId="8">#REF!</definedName>
    <definedName name="CODO_ELEC_1y12_9">#REF!</definedName>
    <definedName name="CODO_ELEC_2" localSheetId="8">#REF!</definedName>
    <definedName name="CODO_ELEC_2">#REF!</definedName>
    <definedName name="CODO_ELEC_2_10" localSheetId="8">#REF!</definedName>
    <definedName name="CODO_ELEC_2_10">#REF!</definedName>
    <definedName name="CODO_ELEC_2_11" localSheetId="8">#REF!</definedName>
    <definedName name="CODO_ELEC_2_11">#REF!</definedName>
    <definedName name="CODO_ELEC_2_6" localSheetId="8">#REF!</definedName>
    <definedName name="CODO_ELEC_2_6">#REF!</definedName>
    <definedName name="CODO_ELEC_2_7" localSheetId="8">#REF!</definedName>
    <definedName name="CODO_ELEC_2_7">#REF!</definedName>
    <definedName name="CODO_ELEC_2_8" localSheetId="8">#REF!</definedName>
    <definedName name="CODO_ELEC_2_8">#REF!</definedName>
    <definedName name="CODO_ELEC_2_9" localSheetId="8">#REF!</definedName>
    <definedName name="CODO_ELEC_2_9">#REF!</definedName>
    <definedName name="CODO_ELEC_34" localSheetId="8">#REF!</definedName>
    <definedName name="CODO_ELEC_34">#REF!</definedName>
    <definedName name="CODO_ELEC_34_10" localSheetId="8">#REF!</definedName>
    <definedName name="CODO_ELEC_34_10">#REF!</definedName>
    <definedName name="CODO_ELEC_34_11" localSheetId="8">#REF!</definedName>
    <definedName name="CODO_ELEC_34_11">#REF!</definedName>
    <definedName name="CODO_ELEC_34_6" localSheetId="8">#REF!</definedName>
    <definedName name="CODO_ELEC_34_6">#REF!</definedName>
    <definedName name="CODO_ELEC_34_7" localSheetId="8">#REF!</definedName>
    <definedName name="CODO_ELEC_34_7">#REF!</definedName>
    <definedName name="CODO_ELEC_34_8" localSheetId="8">#REF!</definedName>
    <definedName name="CODO_ELEC_34_8">#REF!</definedName>
    <definedName name="CODO_ELEC_34_9" localSheetId="8">#REF!</definedName>
    <definedName name="CODO_ELEC_34_9">#REF!</definedName>
    <definedName name="CODO_HG_1_12_x90" localSheetId="8">#REF!</definedName>
    <definedName name="CODO_HG_1_12_x90">#REF!</definedName>
    <definedName name="CODO_HG_1_12_x90_10" localSheetId="8">#REF!</definedName>
    <definedName name="CODO_HG_1_12_x90_10">#REF!</definedName>
    <definedName name="CODO_HG_1_12_x90_11" localSheetId="8">#REF!</definedName>
    <definedName name="CODO_HG_1_12_x90_11">#REF!</definedName>
    <definedName name="CODO_HG_1_12_x90_6" localSheetId="8">#REF!</definedName>
    <definedName name="CODO_HG_1_12_x90_6">#REF!</definedName>
    <definedName name="CODO_HG_1_12_x90_7" localSheetId="8">#REF!</definedName>
    <definedName name="CODO_HG_1_12_x90_7">#REF!</definedName>
    <definedName name="CODO_HG_1_12_x90_8" localSheetId="8">#REF!</definedName>
    <definedName name="CODO_HG_1_12_x90_8">#REF!</definedName>
    <definedName name="CODO_HG_1_12_x90_9" localSheetId="8">#REF!</definedName>
    <definedName name="CODO_HG_1_12_x90_9">#REF!</definedName>
    <definedName name="CODO_HG_12x90" localSheetId="8">#REF!</definedName>
    <definedName name="CODO_HG_12x90">#REF!</definedName>
    <definedName name="CODO_HG_12x90_10" localSheetId="8">#REF!</definedName>
    <definedName name="CODO_HG_12x90_10">#REF!</definedName>
    <definedName name="CODO_HG_12x90_11" localSheetId="8">#REF!</definedName>
    <definedName name="CODO_HG_12x90_11">#REF!</definedName>
    <definedName name="CODO_HG_12x90_6" localSheetId="8">#REF!</definedName>
    <definedName name="CODO_HG_12x90_6">#REF!</definedName>
    <definedName name="CODO_HG_12x90_7" localSheetId="8">#REF!</definedName>
    <definedName name="CODO_HG_12x90_7">#REF!</definedName>
    <definedName name="CODO_HG_12x90_8" localSheetId="8">#REF!</definedName>
    <definedName name="CODO_HG_12x90_8">#REF!</definedName>
    <definedName name="CODO_HG_12x90_9" localSheetId="8">#REF!</definedName>
    <definedName name="CODO_HG_12x90_9">#REF!</definedName>
    <definedName name="CODO_HG_1x90" localSheetId="8">#REF!</definedName>
    <definedName name="CODO_HG_1x90">#REF!</definedName>
    <definedName name="CODO_HG_1x90_10" localSheetId="8">#REF!</definedName>
    <definedName name="CODO_HG_1x90_10">#REF!</definedName>
    <definedName name="CODO_HG_1x90_11" localSheetId="8">#REF!</definedName>
    <definedName name="CODO_HG_1x90_11">#REF!</definedName>
    <definedName name="CODO_HG_1x90_6" localSheetId="8">#REF!</definedName>
    <definedName name="CODO_HG_1x90_6">#REF!</definedName>
    <definedName name="CODO_HG_1x90_7" localSheetId="8">#REF!</definedName>
    <definedName name="CODO_HG_1x90_7">#REF!</definedName>
    <definedName name="CODO_HG_1x90_8" localSheetId="8">#REF!</definedName>
    <definedName name="CODO_HG_1x90_8">#REF!</definedName>
    <definedName name="CODO_HG_1x90_9" localSheetId="8">#REF!</definedName>
    <definedName name="CODO_HG_1x90_9">#REF!</definedName>
    <definedName name="CODO_HG_1y12x90" localSheetId="8">#REF!</definedName>
    <definedName name="CODO_HG_1y12x90">#REF!</definedName>
    <definedName name="CODO_HG_1y12x90_10" localSheetId="8">#REF!</definedName>
    <definedName name="CODO_HG_1y12x90_10">#REF!</definedName>
    <definedName name="CODO_HG_1y12x90_11" localSheetId="8">#REF!</definedName>
    <definedName name="CODO_HG_1y12x90_11">#REF!</definedName>
    <definedName name="CODO_HG_1y12x90_6" localSheetId="8">#REF!</definedName>
    <definedName name="CODO_HG_1y12x90_6">#REF!</definedName>
    <definedName name="CODO_HG_1y12x90_7" localSheetId="8">#REF!</definedName>
    <definedName name="CODO_HG_1y12x90_7">#REF!</definedName>
    <definedName name="CODO_HG_1y12x90_8" localSheetId="8">#REF!</definedName>
    <definedName name="CODO_HG_1y12x90_8">#REF!</definedName>
    <definedName name="CODO_HG_1y12x90_9" localSheetId="8">#REF!</definedName>
    <definedName name="CODO_HG_1y12x90_9">#REF!</definedName>
    <definedName name="CODO_HG_2x90" localSheetId="8">#REF!</definedName>
    <definedName name="CODO_HG_2x90">#REF!</definedName>
    <definedName name="CODO_HG_2x90_10" localSheetId="8">#REF!</definedName>
    <definedName name="CODO_HG_2x90_10">#REF!</definedName>
    <definedName name="CODO_HG_2x90_11" localSheetId="8">#REF!</definedName>
    <definedName name="CODO_HG_2x90_11">#REF!</definedName>
    <definedName name="CODO_HG_2x90_6" localSheetId="8">#REF!</definedName>
    <definedName name="CODO_HG_2x90_6">#REF!</definedName>
    <definedName name="CODO_HG_2x90_7" localSheetId="8">#REF!</definedName>
    <definedName name="CODO_HG_2x90_7">#REF!</definedName>
    <definedName name="CODO_HG_2x90_8" localSheetId="8">#REF!</definedName>
    <definedName name="CODO_HG_2x90_8">#REF!</definedName>
    <definedName name="CODO_HG_2x90_9" localSheetId="8">#REF!</definedName>
    <definedName name="CODO_HG_2x90_9">#REF!</definedName>
    <definedName name="CODO_HG_34x90" localSheetId="8">#REF!</definedName>
    <definedName name="CODO_HG_34x90">#REF!</definedName>
    <definedName name="CODO_HG_34x90_10" localSheetId="8">#REF!</definedName>
    <definedName name="CODO_HG_34x90_10">#REF!</definedName>
    <definedName name="CODO_HG_34x90_11" localSheetId="8">#REF!</definedName>
    <definedName name="CODO_HG_34x90_11">#REF!</definedName>
    <definedName name="CODO_HG_34x90_6" localSheetId="8">#REF!</definedName>
    <definedName name="CODO_HG_34x90_6">#REF!</definedName>
    <definedName name="CODO_HG_34x90_7" localSheetId="8">#REF!</definedName>
    <definedName name="CODO_HG_34x90_7">#REF!</definedName>
    <definedName name="CODO_HG_34x90_8" localSheetId="8">#REF!</definedName>
    <definedName name="CODO_HG_34x90_8">#REF!</definedName>
    <definedName name="CODO_HG_34x90_9" localSheetId="8">#REF!</definedName>
    <definedName name="CODO_HG_34x90_9">#REF!</definedName>
    <definedName name="CODO_PVC_DRE_2x45" localSheetId="8">#REF!</definedName>
    <definedName name="CODO_PVC_DRE_2x45">#REF!</definedName>
    <definedName name="CODO_PVC_DRE_2x45_10" localSheetId="8">#REF!</definedName>
    <definedName name="CODO_PVC_DRE_2x45_10">#REF!</definedName>
    <definedName name="CODO_PVC_DRE_2x45_11" localSheetId="8">#REF!</definedName>
    <definedName name="CODO_PVC_DRE_2x45_11">#REF!</definedName>
    <definedName name="CODO_PVC_DRE_2x45_6" localSheetId="8">#REF!</definedName>
    <definedName name="CODO_PVC_DRE_2x45_6">#REF!</definedName>
    <definedName name="CODO_PVC_DRE_2x45_7" localSheetId="8">#REF!</definedName>
    <definedName name="CODO_PVC_DRE_2x45_7">#REF!</definedName>
    <definedName name="CODO_PVC_DRE_2x45_8" localSheetId="8">#REF!</definedName>
    <definedName name="CODO_PVC_DRE_2x45_8">#REF!</definedName>
    <definedName name="CODO_PVC_DRE_2x45_9" localSheetId="8">#REF!</definedName>
    <definedName name="CODO_PVC_DRE_2x45_9">#REF!</definedName>
    <definedName name="CODO_PVC_DRE_2x90" localSheetId="8">#REF!</definedName>
    <definedName name="CODO_PVC_DRE_2x90">#REF!</definedName>
    <definedName name="CODO_PVC_DRE_2x90_10" localSheetId="8">#REF!</definedName>
    <definedName name="CODO_PVC_DRE_2x90_10">#REF!</definedName>
    <definedName name="CODO_PVC_DRE_2x90_11" localSheetId="8">#REF!</definedName>
    <definedName name="CODO_PVC_DRE_2x90_11">#REF!</definedName>
    <definedName name="CODO_PVC_DRE_2x90_6" localSheetId="8">#REF!</definedName>
    <definedName name="CODO_PVC_DRE_2x90_6">#REF!</definedName>
    <definedName name="CODO_PVC_DRE_2x90_7" localSheetId="8">#REF!</definedName>
    <definedName name="CODO_PVC_DRE_2x90_7">#REF!</definedName>
    <definedName name="CODO_PVC_DRE_2x90_8" localSheetId="8">#REF!</definedName>
    <definedName name="CODO_PVC_DRE_2x90_8">#REF!</definedName>
    <definedName name="CODO_PVC_DRE_2x90_9" localSheetId="8">#REF!</definedName>
    <definedName name="CODO_PVC_DRE_2x90_9">#REF!</definedName>
    <definedName name="CODO_PVC_DRE_3x45" localSheetId="8">#REF!</definedName>
    <definedName name="CODO_PVC_DRE_3x45">#REF!</definedName>
    <definedName name="CODO_PVC_DRE_3x45_10" localSheetId="8">#REF!</definedName>
    <definedName name="CODO_PVC_DRE_3x45_10">#REF!</definedName>
    <definedName name="CODO_PVC_DRE_3x45_11" localSheetId="8">#REF!</definedName>
    <definedName name="CODO_PVC_DRE_3x45_11">#REF!</definedName>
    <definedName name="CODO_PVC_DRE_3x45_6" localSheetId="8">#REF!</definedName>
    <definedName name="CODO_PVC_DRE_3x45_6">#REF!</definedName>
    <definedName name="CODO_PVC_DRE_3x45_7" localSheetId="8">#REF!</definedName>
    <definedName name="CODO_PVC_DRE_3x45_7">#REF!</definedName>
    <definedName name="CODO_PVC_DRE_3x45_8" localSheetId="8">#REF!</definedName>
    <definedName name="CODO_PVC_DRE_3x45_8">#REF!</definedName>
    <definedName name="CODO_PVC_DRE_3x45_9" localSheetId="8">#REF!</definedName>
    <definedName name="CODO_PVC_DRE_3x45_9">#REF!</definedName>
    <definedName name="CODO_PVC_DRE_3x90" localSheetId="8">#REF!</definedName>
    <definedName name="CODO_PVC_DRE_3x90">#REF!</definedName>
    <definedName name="CODO_PVC_DRE_3x90_10" localSheetId="8">#REF!</definedName>
    <definedName name="CODO_PVC_DRE_3x90_10">#REF!</definedName>
    <definedName name="CODO_PVC_DRE_3x90_11" localSheetId="8">#REF!</definedName>
    <definedName name="CODO_PVC_DRE_3x90_11">#REF!</definedName>
    <definedName name="CODO_PVC_DRE_3x90_6" localSheetId="8">#REF!</definedName>
    <definedName name="CODO_PVC_DRE_3x90_6">#REF!</definedName>
    <definedName name="CODO_PVC_DRE_3x90_7" localSheetId="8">#REF!</definedName>
    <definedName name="CODO_PVC_DRE_3x90_7">#REF!</definedName>
    <definedName name="CODO_PVC_DRE_3x90_8" localSheetId="8">#REF!</definedName>
    <definedName name="CODO_PVC_DRE_3x90_8">#REF!</definedName>
    <definedName name="CODO_PVC_DRE_3x90_9" localSheetId="8">#REF!</definedName>
    <definedName name="CODO_PVC_DRE_3x90_9">#REF!</definedName>
    <definedName name="CODO_PVC_DRE_4x45" localSheetId="8">#REF!</definedName>
    <definedName name="CODO_PVC_DRE_4x45">#REF!</definedName>
    <definedName name="CODO_PVC_DRE_4x45_10" localSheetId="8">#REF!</definedName>
    <definedName name="CODO_PVC_DRE_4x45_10">#REF!</definedName>
    <definedName name="CODO_PVC_DRE_4x45_11" localSheetId="8">#REF!</definedName>
    <definedName name="CODO_PVC_DRE_4x45_11">#REF!</definedName>
    <definedName name="CODO_PVC_DRE_4x45_6" localSheetId="8">#REF!</definedName>
    <definedName name="CODO_PVC_DRE_4x45_6">#REF!</definedName>
    <definedName name="CODO_PVC_DRE_4x45_7" localSheetId="8">#REF!</definedName>
    <definedName name="CODO_PVC_DRE_4x45_7">#REF!</definedName>
    <definedName name="CODO_PVC_DRE_4x45_8" localSheetId="8">#REF!</definedName>
    <definedName name="CODO_PVC_DRE_4x45_8">#REF!</definedName>
    <definedName name="CODO_PVC_DRE_4x45_9" localSheetId="8">#REF!</definedName>
    <definedName name="CODO_PVC_DRE_4x45_9">#REF!</definedName>
    <definedName name="CODO_PVC_DRE_4x90" localSheetId="8">#REF!</definedName>
    <definedName name="CODO_PVC_DRE_4x90">#REF!</definedName>
    <definedName name="CODO_PVC_DRE_4x90_10" localSheetId="8">#REF!</definedName>
    <definedName name="CODO_PVC_DRE_4x90_10">#REF!</definedName>
    <definedName name="CODO_PVC_DRE_4x90_11" localSheetId="8">#REF!</definedName>
    <definedName name="CODO_PVC_DRE_4x90_11">#REF!</definedName>
    <definedName name="CODO_PVC_DRE_4x90_6" localSheetId="8">#REF!</definedName>
    <definedName name="CODO_PVC_DRE_4x90_6">#REF!</definedName>
    <definedName name="CODO_PVC_DRE_4x90_7" localSheetId="8">#REF!</definedName>
    <definedName name="CODO_PVC_DRE_4x90_7">#REF!</definedName>
    <definedName name="CODO_PVC_DRE_4x90_8" localSheetId="8">#REF!</definedName>
    <definedName name="CODO_PVC_DRE_4x90_8">#REF!</definedName>
    <definedName name="CODO_PVC_DRE_4x90_9" localSheetId="8">#REF!</definedName>
    <definedName name="CODO_PVC_DRE_4x90_9">#REF!</definedName>
    <definedName name="CODO_PVC_PRES_12x90" localSheetId="8">#REF!</definedName>
    <definedName name="CODO_PVC_PRES_12x90">#REF!</definedName>
    <definedName name="CODO_PVC_PRES_12x90_10" localSheetId="8">#REF!</definedName>
    <definedName name="CODO_PVC_PRES_12x90_10">#REF!</definedName>
    <definedName name="CODO_PVC_PRES_12x90_11" localSheetId="8">#REF!</definedName>
    <definedName name="CODO_PVC_PRES_12x90_11">#REF!</definedName>
    <definedName name="CODO_PVC_PRES_12x90_6" localSheetId="8">#REF!</definedName>
    <definedName name="CODO_PVC_PRES_12x90_6">#REF!</definedName>
    <definedName name="CODO_PVC_PRES_12x90_7" localSheetId="8">#REF!</definedName>
    <definedName name="CODO_PVC_PRES_12x90_7">#REF!</definedName>
    <definedName name="CODO_PVC_PRES_12x90_8" localSheetId="8">#REF!</definedName>
    <definedName name="CODO_PVC_PRES_12x90_8">#REF!</definedName>
    <definedName name="CODO_PVC_PRES_12x90_9" localSheetId="8">#REF!</definedName>
    <definedName name="CODO_PVC_PRES_12x90_9">#REF!</definedName>
    <definedName name="CODO_PVC_PRES_1x90" localSheetId="8">#REF!</definedName>
    <definedName name="CODO_PVC_PRES_1x90">#REF!</definedName>
    <definedName name="CODO_PVC_PRES_1x90_10" localSheetId="8">#REF!</definedName>
    <definedName name="CODO_PVC_PRES_1x90_10">#REF!</definedName>
    <definedName name="CODO_PVC_PRES_1x90_11" localSheetId="8">#REF!</definedName>
    <definedName name="CODO_PVC_PRES_1x90_11">#REF!</definedName>
    <definedName name="CODO_PVC_PRES_1x90_6" localSheetId="8">#REF!</definedName>
    <definedName name="CODO_PVC_PRES_1x90_6">#REF!</definedName>
    <definedName name="CODO_PVC_PRES_1x90_7" localSheetId="8">#REF!</definedName>
    <definedName name="CODO_PVC_PRES_1x90_7">#REF!</definedName>
    <definedName name="CODO_PVC_PRES_1x90_8" localSheetId="8">#REF!</definedName>
    <definedName name="CODO_PVC_PRES_1x90_8">#REF!</definedName>
    <definedName name="CODO_PVC_PRES_1x90_9" localSheetId="8">#REF!</definedName>
    <definedName name="CODO_PVC_PRES_1x90_9">#REF!</definedName>
    <definedName name="Col.20.20.2nivel">[48]Análisis!$D$261</definedName>
    <definedName name="col.25cm.diam.">[49]Análisis!$D$324</definedName>
    <definedName name="col.50cm">[49]Análisis!$D$345</definedName>
    <definedName name="Col.C11.edif.Oficinas">[23]Análisis!$D$775</definedName>
    <definedName name="Col.C5.triangular">[23]Análisis!$D$765</definedName>
    <definedName name="col.GFRC.red.25">[49]Insumos!$C$65</definedName>
    <definedName name="COLA_EXT_LAVAMANOS_PVC_1_14x8" localSheetId="8">#REF!</definedName>
    <definedName name="COLA_EXT_LAVAMANOS_PVC_1_14x8">#REF!</definedName>
    <definedName name="COLA_EXT_LAVAMANOS_PVC_1_14x8_10" localSheetId="8">#REF!</definedName>
    <definedName name="COLA_EXT_LAVAMANOS_PVC_1_14x8_10">#REF!</definedName>
    <definedName name="COLA_EXT_LAVAMANOS_PVC_1_14x8_11" localSheetId="8">#REF!</definedName>
    <definedName name="COLA_EXT_LAVAMANOS_PVC_1_14x8_11">#REF!</definedName>
    <definedName name="COLA_EXT_LAVAMANOS_PVC_1_14x8_6" localSheetId="8">#REF!</definedName>
    <definedName name="COLA_EXT_LAVAMANOS_PVC_1_14x8_6">#REF!</definedName>
    <definedName name="COLA_EXT_LAVAMANOS_PVC_1_14x8_7" localSheetId="8">#REF!</definedName>
    <definedName name="COLA_EXT_LAVAMANOS_PVC_1_14x8_7">#REF!</definedName>
    <definedName name="COLA_EXT_LAVAMANOS_PVC_1_14x8_8" localSheetId="8">#REF!</definedName>
    <definedName name="COLA_EXT_LAVAMANOS_PVC_1_14x8_8">#REF!</definedName>
    <definedName name="COLA_EXT_LAVAMANOS_PVC_1_14x8_9" localSheetId="8">#REF!</definedName>
    <definedName name="COLA_EXT_LAVAMANOS_PVC_1_14x8_9">#REF!</definedName>
    <definedName name="Colc.Bloque.10cm">[23]Insumos!$E$84</definedName>
    <definedName name="Colc.Hormigón.Grua">[23]Análisis!$D$49</definedName>
    <definedName name="COLC1" localSheetId="8">#REF!</definedName>
    <definedName name="COLC1">#REF!</definedName>
    <definedName name="COLC1_6" localSheetId="8">#REF!</definedName>
    <definedName name="COLC1_6">#REF!</definedName>
    <definedName name="COLC2" localSheetId="8">#REF!</definedName>
    <definedName name="COLC2">#REF!</definedName>
    <definedName name="COLC2_6" localSheetId="8">#REF!</definedName>
    <definedName name="COLC2_6">#REF!</definedName>
    <definedName name="COLC3CIR" localSheetId="8">#REF!</definedName>
    <definedName name="COLC3CIR">#REF!</definedName>
    <definedName name="COLC3CIR_6" localSheetId="8">#REF!</definedName>
    <definedName name="COLC3CIR_6">#REF!</definedName>
    <definedName name="COLC4" localSheetId="8">#REF!</definedName>
    <definedName name="COLC4">#REF!</definedName>
    <definedName name="COLC4_6" localSheetId="8">#REF!</definedName>
    <definedName name="COLC4_6">#REF!</definedName>
    <definedName name="Coloc.Ceramica.Pisos">'[50]Costos Mano de Obra'!$O$46</definedName>
    <definedName name="COLOC_BLOCK4" localSheetId="8">#REF!</definedName>
    <definedName name="COLOC_BLOCK4">#REF!</definedName>
    <definedName name="COLOC_BLOCK4_10" localSheetId="8">#REF!</definedName>
    <definedName name="COLOC_BLOCK4_10">#REF!</definedName>
    <definedName name="COLOC_BLOCK4_11" localSheetId="8">#REF!</definedName>
    <definedName name="COLOC_BLOCK4_11">#REF!</definedName>
    <definedName name="COLOC_BLOCK4_6" localSheetId="8">#REF!</definedName>
    <definedName name="COLOC_BLOCK4_6">#REF!</definedName>
    <definedName name="COLOC_BLOCK4_7" localSheetId="8">#REF!</definedName>
    <definedName name="COLOC_BLOCK4_7">#REF!</definedName>
    <definedName name="COLOC_BLOCK4_8" localSheetId="8">#REF!</definedName>
    <definedName name="COLOC_BLOCK4_8">#REF!</definedName>
    <definedName name="COLOC_BLOCK4_9" localSheetId="8">#REF!</definedName>
    <definedName name="COLOC_BLOCK4_9">#REF!</definedName>
    <definedName name="COLOC_BLOCK6" localSheetId="8">#REF!</definedName>
    <definedName name="COLOC_BLOCK6">#REF!</definedName>
    <definedName name="COLOC_BLOCK6_10" localSheetId="8">#REF!</definedName>
    <definedName name="COLOC_BLOCK6_10">#REF!</definedName>
    <definedName name="COLOC_BLOCK6_11" localSheetId="8">#REF!</definedName>
    <definedName name="COLOC_BLOCK6_11">#REF!</definedName>
    <definedName name="COLOC_BLOCK6_6" localSheetId="8">#REF!</definedName>
    <definedName name="COLOC_BLOCK6_6">#REF!</definedName>
    <definedName name="COLOC_BLOCK6_7" localSheetId="8">#REF!</definedName>
    <definedName name="COLOC_BLOCK6_7">#REF!</definedName>
    <definedName name="COLOC_BLOCK6_8" localSheetId="8">#REF!</definedName>
    <definedName name="COLOC_BLOCK6_8">#REF!</definedName>
    <definedName name="COLOC_BLOCK6_9" localSheetId="8">#REF!</definedName>
    <definedName name="COLOC_BLOCK6_9">#REF!</definedName>
    <definedName name="COLOC_BLOCK8" localSheetId="8">#REF!</definedName>
    <definedName name="COLOC_BLOCK8">#REF!</definedName>
    <definedName name="COLOC_BLOCK8_10" localSheetId="8">#REF!</definedName>
    <definedName name="COLOC_BLOCK8_10">#REF!</definedName>
    <definedName name="COLOC_BLOCK8_11" localSheetId="8">#REF!</definedName>
    <definedName name="COLOC_BLOCK8_11">#REF!</definedName>
    <definedName name="COLOC_BLOCK8_6" localSheetId="8">#REF!</definedName>
    <definedName name="COLOC_BLOCK8_6">#REF!</definedName>
    <definedName name="COLOC_BLOCK8_7" localSheetId="8">#REF!</definedName>
    <definedName name="COLOC_BLOCK8_7">#REF!</definedName>
    <definedName name="COLOC_BLOCK8_8" localSheetId="8">#REF!</definedName>
    <definedName name="COLOC_BLOCK8_8">#REF!</definedName>
    <definedName name="COLOC_BLOCK8_9" localSheetId="8">#REF!</definedName>
    <definedName name="COLOC_BLOCK8_9">#REF!</definedName>
    <definedName name="COLOC_TUB_PEAD_16" localSheetId="8">#REF!</definedName>
    <definedName name="COLOC_TUB_PEAD_16">#REF!</definedName>
    <definedName name="COLOC_TUB_PEAD_16_10" localSheetId="8">#REF!</definedName>
    <definedName name="COLOC_TUB_PEAD_16_10">#REF!</definedName>
    <definedName name="COLOC_TUB_PEAD_16_11" localSheetId="8">#REF!</definedName>
    <definedName name="COLOC_TUB_PEAD_16_11">#REF!</definedName>
    <definedName name="COLOC_TUB_PEAD_16_6" localSheetId="8">#REF!</definedName>
    <definedName name="COLOC_TUB_PEAD_16_6">#REF!</definedName>
    <definedName name="COLOC_TUB_PEAD_16_7" localSheetId="8">#REF!</definedName>
    <definedName name="COLOC_TUB_PEAD_16_7">#REF!</definedName>
    <definedName name="COLOC_TUB_PEAD_16_8" localSheetId="8">#REF!</definedName>
    <definedName name="COLOC_TUB_PEAD_16_8">#REF!</definedName>
    <definedName name="COLOC_TUB_PEAD_16_9" localSheetId="8">#REF!</definedName>
    <definedName name="COLOC_TUB_PEAD_16_9">#REF!</definedName>
    <definedName name="COLOC_TUB_PEAD_20" localSheetId="8">#REF!</definedName>
    <definedName name="COLOC_TUB_PEAD_20">#REF!</definedName>
    <definedName name="COLOC_TUB_PEAD_20_10" localSheetId="8">#REF!</definedName>
    <definedName name="COLOC_TUB_PEAD_20_10">#REF!</definedName>
    <definedName name="COLOC_TUB_PEAD_20_11" localSheetId="8">#REF!</definedName>
    <definedName name="COLOC_TUB_PEAD_20_11">#REF!</definedName>
    <definedName name="COLOC_TUB_PEAD_20_6" localSheetId="8">#REF!</definedName>
    <definedName name="COLOC_TUB_PEAD_20_6">#REF!</definedName>
    <definedName name="COLOC_TUB_PEAD_20_7" localSheetId="8">#REF!</definedName>
    <definedName name="COLOC_TUB_PEAD_20_7">#REF!</definedName>
    <definedName name="COLOC_TUB_PEAD_20_8" localSheetId="8">#REF!</definedName>
    <definedName name="COLOC_TUB_PEAD_20_8">#REF!</definedName>
    <definedName name="COLOC_TUB_PEAD_20_9" localSheetId="8">#REF!</definedName>
    <definedName name="COLOC_TUB_PEAD_20_9">#REF!</definedName>
    <definedName name="COLOC_TUB_PEAD_8" localSheetId="8">#REF!</definedName>
    <definedName name="COLOC_TUB_PEAD_8">#REF!</definedName>
    <definedName name="COLOC_TUB_PEAD_8_10" localSheetId="8">#REF!</definedName>
    <definedName name="COLOC_TUB_PEAD_8_10">#REF!</definedName>
    <definedName name="COLOC_TUB_PEAD_8_11" localSheetId="8">#REF!</definedName>
    <definedName name="COLOC_TUB_PEAD_8_11">#REF!</definedName>
    <definedName name="COLOC_TUB_PEAD_8_6" localSheetId="8">#REF!</definedName>
    <definedName name="COLOC_TUB_PEAD_8_6">#REF!</definedName>
    <definedName name="COLOC_TUB_PEAD_8_7" localSheetId="8">#REF!</definedName>
    <definedName name="COLOC_TUB_PEAD_8_7">#REF!</definedName>
    <definedName name="COLOC_TUB_PEAD_8_8" localSheetId="8">#REF!</definedName>
    <definedName name="COLOC_TUB_PEAD_8_8">#REF!</definedName>
    <definedName name="COLOC_TUB_PEAD_8_9" localSheetId="8">#REF!</definedName>
    <definedName name="COLOC_TUB_PEAD_8_9">#REF!</definedName>
    <definedName name="Colorante">[23]Insumos!$E$69</definedName>
    <definedName name="Colum.60cm.Espectaculos">[23]Análisis!$D$1004</definedName>
    <definedName name="Colum.Cuad.Edif.Oficinas">[23]Análisis!$D$755</definedName>
    <definedName name="Colum.Horm.Convenc.Espectaculos">[23]Análisis!$D$1018</definedName>
    <definedName name="Colum.Ø45.Edif.Oficina">[23]Análisis!$D$785</definedName>
    <definedName name="Columna.C1.15x20">[23]Análisis!$D$148</definedName>
    <definedName name="Columna.Cc.20x20">[23]Análisis!$D$156</definedName>
    <definedName name="Columna.Cr">[23]Análisis!$D$182</definedName>
    <definedName name="Columna.Lavanderia">[23]Análisis!$D$933</definedName>
    <definedName name="columna.pergolado">[51]Análisis!$D$1625</definedName>
    <definedName name="Columnas.C1s.C2s">[23]Análisis!$D$164</definedName>
    <definedName name="Columnas.Redonda.30cm">[23]Análisis!$D$173</definedName>
    <definedName name="COMPRESOR" localSheetId="8">#REF!</definedName>
    <definedName name="COMPRESOR">#REF!</definedName>
    <definedName name="COMPRESOR_10" localSheetId="8">#REF!</definedName>
    <definedName name="COMPRESOR_10">#REF!</definedName>
    <definedName name="COMPRESOR_11" localSheetId="8">#REF!</definedName>
    <definedName name="COMPRESOR_11">#REF!</definedName>
    <definedName name="COMPRESOR_6" localSheetId="8">#REF!</definedName>
    <definedName name="COMPRESOR_6">#REF!</definedName>
    <definedName name="COMPRESOR_7" localSheetId="8">#REF!</definedName>
    <definedName name="COMPRESOR_7">#REF!</definedName>
    <definedName name="COMPRESOR_8" localSheetId="8">#REF!</definedName>
    <definedName name="COMPRESOR_8">#REF!</definedName>
    <definedName name="COMPRESOR_9" localSheetId="8">#REF!</definedName>
    <definedName name="COMPRESOR_9">#REF!</definedName>
    <definedName name="COMPUERTA_1x1_VOLANTA" localSheetId="8">#REF!</definedName>
    <definedName name="COMPUERTA_1x1_VOLANTA">#REF!</definedName>
    <definedName name="COMPUERTA_1x1_VOLANTA_10" localSheetId="8">#REF!</definedName>
    <definedName name="COMPUERTA_1x1_VOLANTA_10">#REF!</definedName>
    <definedName name="COMPUERTA_1x1_VOLANTA_11" localSheetId="8">#REF!</definedName>
    <definedName name="COMPUERTA_1x1_VOLANTA_11">#REF!</definedName>
    <definedName name="COMPUERTA_1x1_VOLANTA_6" localSheetId="8">#REF!</definedName>
    <definedName name="COMPUERTA_1x1_VOLANTA_6">#REF!</definedName>
    <definedName name="COMPUERTA_1x1_VOLANTA_7" localSheetId="8">#REF!</definedName>
    <definedName name="COMPUERTA_1x1_VOLANTA_7">#REF!</definedName>
    <definedName name="COMPUERTA_1x1_VOLANTA_8" localSheetId="8">#REF!</definedName>
    <definedName name="COMPUERTA_1x1_VOLANTA_8">#REF!</definedName>
    <definedName name="COMPUERTA_1x1_VOLANTA_9" localSheetId="8">#REF!</definedName>
    <definedName name="COMPUERTA_1x1_VOLANTA_9">#REF!</definedName>
    <definedName name="concreto.nivelacion">[49]Análisis!$D$207</definedName>
    <definedName name="CONTEN" localSheetId="8">#REF!</definedName>
    <definedName name="CONTEN">#REF!</definedName>
    <definedName name="CONTEN_10" localSheetId="8">#REF!</definedName>
    <definedName name="CONTEN_10">#REF!</definedName>
    <definedName name="CONTEN_11" localSheetId="8">#REF!</definedName>
    <definedName name="CONTEN_11">#REF!</definedName>
    <definedName name="CONTEN_6" localSheetId="8">#REF!</definedName>
    <definedName name="CONTEN_6">#REF!</definedName>
    <definedName name="CONTEN_7" localSheetId="8">#REF!</definedName>
    <definedName name="CONTEN_7">#REF!</definedName>
    <definedName name="CONTEN_8" localSheetId="8">#REF!</definedName>
    <definedName name="CONTEN_8">#REF!</definedName>
    <definedName name="CONTEN_9" localSheetId="8">#REF!</definedName>
    <definedName name="CONTEN_9">#REF!</definedName>
    <definedName name="control_3">"$#REF!.$#REF!$#REF!:#REF!#REF!"</definedName>
    <definedName name="COPIA" localSheetId="8">[21]INS!#REF!</definedName>
    <definedName name="COPIA">[21]INS!#REF!</definedName>
    <definedName name="COPIA_8" localSheetId="8">#REF!</definedName>
    <definedName name="COPIA_8">#REF!</definedName>
    <definedName name="corniza.2.62pies">'[52]Cornisa de 2.62 pie'!$E$60</definedName>
    <definedName name="corniza.2pies">'[52]Cornisa de 2 pie'!$E$60</definedName>
    <definedName name="costocapataz">'[40]Analisis Unit. '!$G$3</definedName>
    <definedName name="costoobrero">'[40]Analisis Unit. '!$G$5</definedName>
    <definedName name="costotecesp">'[40]Analisis Unit. '!$G$4</definedName>
    <definedName name="Cristalizado.marmol">[23]Insumos!$E$136</definedName>
    <definedName name="CRUZ_HG_1_12" localSheetId="8">#REF!</definedName>
    <definedName name="CRUZ_HG_1_12">#REF!</definedName>
    <definedName name="CRUZ_HG_1_12_10" localSheetId="8">#REF!</definedName>
    <definedName name="CRUZ_HG_1_12_10">#REF!</definedName>
    <definedName name="CRUZ_HG_1_12_11" localSheetId="8">#REF!</definedName>
    <definedName name="CRUZ_HG_1_12_11">#REF!</definedName>
    <definedName name="CRUZ_HG_1_12_6" localSheetId="8">#REF!</definedName>
    <definedName name="CRUZ_HG_1_12_6">#REF!</definedName>
    <definedName name="CRUZ_HG_1_12_7" localSheetId="8">#REF!</definedName>
    <definedName name="CRUZ_HG_1_12_7">#REF!</definedName>
    <definedName name="CRUZ_HG_1_12_8" localSheetId="8">#REF!</definedName>
    <definedName name="CRUZ_HG_1_12_8">#REF!</definedName>
    <definedName name="CRUZ_HG_1_12_9" localSheetId="8">#REF!</definedName>
    <definedName name="CRUZ_HG_1_12_9">#REF!</definedName>
    <definedName name="cuadro" localSheetId="8">[29]ADDENDA!#REF!</definedName>
    <definedName name="cuadro">[29]ADDENDA!#REF!</definedName>
    <definedName name="cuadro_6" localSheetId="8">#REF!</definedName>
    <definedName name="cuadro_6">#REF!</definedName>
    <definedName name="cuadro_8" localSheetId="8">#REF!</definedName>
    <definedName name="cuadro_8">#REF!</definedName>
    <definedName name="CUBETA_5Gls" localSheetId="8">#REF!</definedName>
    <definedName name="CUBETA_5Gls">#REF!</definedName>
    <definedName name="CUBETA_5Gls_10" localSheetId="8">#REF!</definedName>
    <definedName name="CUBETA_5Gls_10">#REF!</definedName>
    <definedName name="CUBETA_5Gls_11" localSheetId="8">#REF!</definedName>
    <definedName name="CUBETA_5Gls_11">#REF!</definedName>
    <definedName name="CUBETA_5Gls_6" localSheetId="8">#REF!</definedName>
    <definedName name="CUBETA_5Gls_6">#REF!</definedName>
    <definedName name="CUBETA_5Gls_7" localSheetId="8">#REF!</definedName>
    <definedName name="CUBETA_5Gls_7">#REF!</definedName>
    <definedName name="CUBETA_5Gls_8" localSheetId="8">#REF!</definedName>
    <definedName name="CUBETA_5Gls_8">#REF!</definedName>
    <definedName name="CUBETA_5Gls_9" localSheetId="8">#REF!</definedName>
    <definedName name="CUBETA_5Gls_9">#REF!</definedName>
    <definedName name="CUBIC._ANTERIOR">#N/A</definedName>
    <definedName name="CUBIC._ANTERIOR_6">NA()</definedName>
    <definedName name="CUBICACION">#N/A</definedName>
    <definedName name="CUBICACION_6">NA()</definedName>
    <definedName name="CUBICADO">#N/A</definedName>
    <definedName name="CUBICADO_6">NA()</definedName>
    <definedName name="CUBO_GOMA" localSheetId="8">#REF!</definedName>
    <definedName name="CUBO_GOMA">#REF!</definedName>
    <definedName name="CUBO_GOMA_10" localSheetId="8">#REF!</definedName>
    <definedName name="CUBO_GOMA_10">#REF!</definedName>
    <definedName name="CUBO_GOMA_11" localSheetId="8">#REF!</definedName>
    <definedName name="CUBO_GOMA_11">#REF!</definedName>
    <definedName name="CUBO_GOMA_6" localSheetId="8">#REF!</definedName>
    <definedName name="CUBO_GOMA_6">#REF!</definedName>
    <definedName name="CUBO_GOMA_7" localSheetId="8">#REF!</definedName>
    <definedName name="CUBO_GOMA_7">#REF!</definedName>
    <definedName name="CUBO_GOMA_8" localSheetId="8">#REF!</definedName>
    <definedName name="CUBO_GOMA_8">#REF!</definedName>
    <definedName name="CUBO_GOMA_9" localSheetId="8">#REF!</definedName>
    <definedName name="CUBO_GOMA_9">#REF!</definedName>
    <definedName name="CUBREFALTA_INODORO_CROMO_38" localSheetId="8">#REF!</definedName>
    <definedName name="CUBREFALTA_INODORO_CROMO_38">#REF!</definedName>
    <definedName name="CUBREFALTA_INODORO_CROMO_38_10" localSheetId="8">#REF!</definedName>
    <definedName name="CUBREFALTA_INODORO_CROMO_38_10">#REF!</definedName>
    <definedName name="CUBREFALTA_INODORO_CROMO_38_11" localSheetId="8">#REF!</definedName>
    <definedName name="CUBREFALTA_INODORO_CROMO_38_11">#REF!</definedName>
    <definedName name="CUBREFALTA_INODORO_CROMO_38_6" localSheetId="8">#REF!</definedName>
    <definedName name="CUBREFALTA_INODORO_CROMO_38_6">#REF!</definedName>
    <definedName name="CUBREFALTA_INODORO_CROMO_38_7" localSheetId="8">#REF!</definedName>
    <definedName name="CUBREFALTA_INODORO_CROMO_38_7">#REF!</definedName>
    <definedName name="CUBREFALTA_INODORO_CROMO_38_8" localSheetId="8">#REF!</definedName>
    <definedName name="CUBREFALTA_INODORO_CROMO_38_8">#REF!</definedName>
    <definedName name="CUBREFALTA_INODORO_CROMO_38_9" localSheetId="8">#REF!</definedName>
    <definedName name="CUBREFALTA_INODORO_CROMO_38_9">#REF!</definedName>
    <definedName name="Curado.Resane.Horm.Visto">[23]Insumos!$E$137</definedName>
    <definedName name="CURVA_ELEC_PVC_12" localSheetId="8">#REF!</definedName>
    <definedName name="CURVA_ELEC_PVC_12">#REF!</definedName>
    <definedName name="CURVA_ELEC_PVC_12_10" localSheetId="8">#REF!</definedName>
    <definedName name="CURVA_ELEC_PVC_12_10">#REF!</definedName>
    <definedName name="CURVA_ELEC_PVC_12_11" localSheetId="8">#REF!</definedName>
    <definedName name="CURVA_ELEC_PVC_12_11">#REF!</definedName>
    <definedName name="CURVA_ELEC_PVC_12_6" localSheetId="8">#REF!</definedName>
    <definedName name="CURVA_ELEC_PVC_12_6">#REF!</definedName>
    <definedName name="CURVA_ELEC_PVC_12_7" localSheetId="8">#REF!</definedName>
    <definedName name="CURVA_ELEC_PVC_12_7">#REF!</definedName>
    <definedName name="CURVA_ELEC_PVC_12_8" localSheetId="8">#REF!</definedName>
    <definedName name="CURVA_ELEC_PVC_12_8">#REF!</definedName>
    <definedName name="CURVA_ELEC_PVC_12_9" localSheetId="8">#REF!</definedName>
    <definedName name="CURVA_ELEC_PVC_12_9">#REF!</definedName>
    <definedName name="CURVA_ELEC_PVC_34" localSheetId="8">#REF!</definedName>
    <definedName name="CURVA_ELEC_PVC_34">#REF!</definedName>
    <definedName name="CURVA_ELEC_PVC_34_10" localSheetId="8">#REF!</definedName>
    <definedName name="CURVA_ELEC_PVC_34_10">#REF!</definedName>
    <definedName name="CURVA_ELEC_PVC_34_11" localSheetId="8">#REF!</definedName>
    <definedName name="CURVA_ELEC_PVC_34_11">#REF!</definedName>
    <definedName name="CURVA_ELEC_PVC_34_6" localSheetId="8">#REF!</definedName>
    <definedName name="CURVA_ELEC_PVC_34_6">#REF!</definedName>
    <definedName name="CURVA_ELEC_PVC_34_7" localSheetId="8">#REF!</definedName>
    <definedName name="CURVA_ELEC_PVC_34_7">#REF!</definedName>
    <definedName name="CURVA_ELEC_PVC_34_8" localSheetId="8">#REF!</definedName>
    <definedName name="CURVA_ELEC_PVC_34_8">#REF!</definedName>
    <definedName name="CURVA_ELEC_PVC_34_9" localSheetId="8">#REF!</definedName>
    <definedName name="CURVA_ELEC_PVC_34_9">#REF!</definedName>
    <definedName name="CUT_OUT_100AMP" localSheetId="8">#REF!</definedName>
    <definedName name="CUT_OUT_100AMP">#REF!</definedName>
    <definedName name="CUT_OUT_100AMP_10" localSheetId="8">#REF!</definedName>
    <definedName name="CUT_OUT_100AMP_10">#REF!</definedName>
    <definedName name="CUT_OUT_100AMP_11" localSheetId="8">#REF!</definedName>
    <definedName name="CUT_OUT_100AMP_11">#REF!</definedName>
    <definedName name="CUT_OUT_100AMP_6" localSheetId="8">#REF!</definedName>
    <definedName name="CUT_OUT_100AMP_6">#REF!</definedName>
    <definedName name="CUT_OUT_100AMP_7" localSheetId="8">#REF!</definedName>
    <definedName name="CUT_OUT_100AMP_7">#REF!</definedName>
    <definedName name="CUT_OUT_100AMP_8" localSheetId="8">#REF!</definedName>
    <definedName name="CUT_OUT_100AMP_8">#REF!</definedName>
    <definedName name="CUT_OUT_100AMP_9" localSheetId="8">#REF!</definedName>
    <definedName name="CUT_OUT_100AMP_9">#REF!</definedName>
    <definedName name="CUT_OUT_200AMP" localSheetId="8">#REF!</definedName>
    <definedName name="CUT_OUT_200AMP">#REF!</definedName>
    <definedName name="CUT_OUT_200AMP_10" localSheetId="8">#REF!</definedName>
    <definedName name="CUT_OUT_200AMP_10">#REF!</definedName>
    <definedName name="CUT_OUT_200AMP_11" localSheetId="8">#REF!</definedName>
    <definedName name="CUT_OUT_200AMP_11">#REF!</definedName>
    <definedName name="CUT_OUT_200AMP_6" localSheetId="8">#REF!</definedName>
    <definedName name="CUT_OUT_200AMP_6">#REF!</definedName>
    <definedName name="CUT_OUT_200AMP_7" localSheetId="8">#REF!</definedName>
    <definedName name="CUT_OUT_200AMP_7">#REF!</definedName>
    <definedName name="CUT_OUT_200AMP_8" localSheetId="8">#REF!</definedName>
    <definedName name="CUT_OUT_200AMP_8">#REF!</definedName>
    <definedName name="CUT_OUT_200AMP_9" localSheetId="8">#REF!</definedName>
    <definedName name="CUT_OUT_200AMP_9">#REF!</definedName>
    <definedName name="CZINC" localSheetId="8">[24]M.O.!#REF!</definedName>
    <definedName name="CZINC">[24]M.O.!#REF!</definedName>
    <definedName name="CZINC_6" localSheetId="8">#REF!</definedName>
    <definedName name="CZINC_6">#REF!</definedName>
    <definedName name="CZINC_8" localSheetId="8">#REF!</definedName>
    <definedName name="CZINC_8">#REF!</definedName>
    <definedName name="D" localSheetId="8">#REF!</definedName>
    <definedName name="D">#REF!</definedName>
    <definedName name="D7H">[41]EQUIPOS!$I$9</definedName>
    <definedName name="D8K">[41]EQUIPOS!$I$8</definedName>
    <definedName name="deducciones_3">"$#REF!.$M$62"</definedName>
    <definedName name="derop" localSheetId="8">[28]M.O.!#REF!</definedName>
    <definedName name="derop">[28]M.O.!#REF!</definedName>
    <definedName name="derop_10" localSheetId="8">#REF!</definedName>
    <definedName name="derop_10">#REF!</definedName>
    <definedName name="derop_11" localSheetId="8">#REF!</definedName>
    <definedName name="derop_11">#REF!</definedName>
    <definedName name="derop_5" localSheetId="8">#REF!</definedName>
    <definedName name="derop_5">#REF!</definedName>
    <definedName name="derop_6" localSheetId="8">#REF!</definedName>
    <definedName name="derop_6">#REF!</definedName>
    <definedName name="derop_7" localSheetId="8">#REF!</definedName>
    <definedName name="derop_7">#REF!</definedName>
    <definedName name="derop_8" localSheetId="8">#REF!</definedName>
    <definedName name="derop_8">#REF!</definedName>
    <definedName name="derop_9" localSheetId="8">#REF!</definedName>
    <definedName name="derop_9">#REF!</definedName>
    <definedName name="DERRETIDO_BCO" localSheetId="8">#REF!</definedName>
    <definedName name="DERRETIDO_BCO">#REF!</definedName>
    <definedName name="DERRETIDO_BCO_10" localSheetId="8">#REF!</definedName>
    <definedName name="DERRETIDO_BCO_10">#REF!</definedName>
    <definedName name="DERRETIDO_BCO_11" localSheetId="8">#REF!</definedName>
    <definedName name="DERRETIDO_BCO_11">#REF!</definedName>
    <definedName name="DERRETIDO_BCO_6" localSheetId="8">#REF!</definedName>
    <definedName name="DERRETIDO_BCO_6">#REF!</definedName>
    <definedName name="DERRETIDO_BCO_7" localSheetId="8">#REF!</definedName>
    <definedName name="DERRETIDO_BCO_7">#REF!</definedName>
    <definedName name="DERRETIDO_BCO_8" localSheetId="8">#REF!</definedName>
    <definedName name="DERRETIDO_BCO_8">#REF!</definedName>
    <definedName name="DERRETIDO_BCO_9" localSheetId="8">#REF!</definedName>
    <definedName name="DERRETIDO_BCO_9">#REF!</definedName>
    <definedName name="DERRETIDOBLANCO">[7]insumo!$D$20</definedName>
    <definedName name="DESAGUE_DOBLE_FREGADERO_PVC" localSheetId="8">#REF!</definedName>
    <definedName name="DESAGUE_DOBLE_FREGADERO_PVC">#REF!</definedName>
    <definedName name="DESAGUE_DOBLE_FREGADERO_PVC_10" localSheetId="8">#REF!</definedName>
    <definedName name="DESAGUE_DOBLE_FREGADERO_PVC_10">#REF!</definedName>
    <definedName name="DESAGUE_DOBLE_FREGADERO_PVC_11" localSheetId="8">#REF!</definedName>
    <definedName name="DESAGUE_DOBLE_FREGADERO_PVC_11">#REF!</definedName>
    <definedName name="DESAGUE_DOBLE_FREGADERO_PVC_6" localSheetId="8">#REF!</definedName>
    <definedName name="DESAGUE_DOBLE_FREGADERO_PVC_6">#REF!</definedName>
    <definedName name="DESAGUE_DOBLE_FREGADERO_PVC_7" localSheetId="8">#REF!</definedName>
    <definedName name="DESAGUE_DOBLE_FREGADERO_PVC_7">#REF!</definedName>
    <definedName name="DESAGUE_DOBLE_FREGADERO_PVC_8" localSheetId="8">#REF!</definedName>
    <definedName name="DESAGUE_DOBLE_FREGADERO_PVC_8">#REF!</definedName>
    <definedName name="DESAGUE_DOBLE_FREGADERO_PVC_9" localSheetId="8">#REF!</definedName>
    <definedName name="DESAGUE_DOBLE_FREGADERO_PVC_9">#REF!</definedName>
    <definedName name="DESCRIPCION">#N/A</definedName>
    <definedName name="DESCRIPCION_6">NA()</definedName>
    <definedName name="desencofrado" localSheetId="8">#REF!</definedName>
    <definedName name="desencofrado">#REF!</definedName>
    <definedName name="desencofrado_8" localSheetId="8">#REF!</definedName>
    <definedName name="desencofrado_8">#REF!</definedName>
    <definedName name="DESENCOFRADO_COLS" localSheetId="8">#REF!</definedName>
    <definedName name="DESENCOFRADO_COLS" localSheetId="3">[20]MO!$B$256</definedName>
    <definedName name="DESENCOFRADO_COLS">#REF!</definedName>
    <definedName name="DESENCOFRADO_COLS_10" localSheetId="8">#REF!</definedName>
    <definedName name="DESENCOFRADO_COLS_10">#REF!</definedName>
    <definedName name="DESENCOFRADO_COLS_11" localSheetId="8">#REF!</definedName>
    <definedName name="DESENCOFRADO_COLS_11">#REF!</definedName>
    <definedName name="DESENCOFRADO_COLS_5" localSheetId="8">#REF!</definedName>
    <definedName name="DESENCOFRADO_COLS_5">#REF!</definedName>
    <definedName name="DESENCOFRADO_COLS_6" localSheetId="8">#REF!</definedName>
    <definedName name="DESENCOFRADO_COLS_6">#REF!</definedName>
    <definedName name="DESENCOFRADO_COLS_7" localSheetId="8">#REF!</definedName>
    <definedName name="DESENCOFRADO_COLS_7">#REF!</definedName>
    <definedName name="DESENCOFRADO_COLS_8" localSheetId="8">#REF!</definedName>
    <definedName name="DESENCOFRADO_COLS_8">#REF!</definedName>
    <definedName name="DESENCOFRADO_COLS_9" localSheetId="8">#REF!</definedName>
    <definedName name="DESENCOFRADO_COLS_9">#REF!</definedName>
    <definedName name="DESENCOFRADO_LOSA" localSheetId="8">#REF!</definedName>
    <definedName name="DESENCOFRADO_LOSA">#REF!</definedName>
    <definedName name="DESENCOFRADO_LOSA_10" localSheetId="8">#REF!</definedName>
    <definedName name="DESENCOFRADO_LOSA_10">#REF!</definedName>
    <definedName name="DESENCOFRADO_LOSA_11" localSheetId="8">#REF!</definedName>
    <definedName name="DESENCOFRADO_LOSA_11">#REF!</definedName>
    <definedName name="DESENCOFRADO_LOSA_6" localSheetId="8">#REF!</definedName>
    <definedName name="DESENCOFRADO_LOSA_6">#REF!</definedName>
    <definedName name="DESENCOFRADO_LOSA_7" localSheetId="8">#REF!</definedName>
    <definedName name="DESENCOFRADO_LOSA_7">#REF!</definedName>
    <definedName name="DESENCOFRADO_LOSA_8" localSheetId="8">#REF!</definedName>
    <definedName name="DESENCOFRADO_LOSA_8">#REF!</definedName>
    <definedName name="DESENCOFRADO_LOSA_9" localSheetId="8">#REF!</definedName>
    <definedName name="DESENCOFRADO_LOSA_9">#REF!</definedName>
    <definedName name="DESENCOFRADO_MURO" localSheetId="8">#REF!</definedName>
    <definedName name="DESENCOFRADO_MURO">#REF!</definedName>
    <definedName name="DESENCOFRADO_MURO_10" localSheetId="8">#REF!</definedName>
    <definedName name="DESENCOFRADO_MURO_10">#REF!</definedName>
    <definedName name="DESENCOFRADO_MURO_11" localSheetId="8">#REF!</definedName>
    <definedName name="DESENCOFRADO_MURO_11">#REF!</definedName>
    <definedName name="DESENCOFRADO_MURO_6" localSheetId="8">#REF!</definedName>
    <definedName name="DESENCOFRADO_MURO_6">#REF!</definedName>
    <definedName name="DESENCOFRADO_MURO_7" localSheetId="8">#REF!</definedName>
    <definedName name="DESENCOFRADO_MURO_7">#REF!</definedName>
    <definedName name="DESENCOFRADO_MURO_8" localSheetId="8">#REF!</definedName>
    <definedName name="DESENCOFRADO_MURO_8">#REF!</definedName>
    <definedName name="DESENCOFRADO_MURO_9" localSheetId="8">#REF!</definedName>
    <definedName name="DESENCOFRADO_MURO_9">#REF!</definedName>
    <definedName name="DESENCOFRADO_VIGA" localSheetId="8">#REF!</definedName>
    <definedName name="DESENCOFRADO_VIGA">#REF!</definedName>
    <definedName name="DESENCOFRADO_VIGA_10" localSheetId="8">#REF!</definedName>
    <definedName name="DESENCOFRADO_VIGA_10">#REF!</definedName>
    <definedName name="DESENCOFRADO_VIGA_11" localSheetId="8">#REF!</definedName>
    <definedName name="DESENCOFRADO_VIGA_11">#REF!</definedName>
    <definedName name="DESENCOFRADO_VIGA_6" localSheetId="8">#REF!</definedName>
    <definedName name="DESENCOFRADO_VIGA_6">#REF!</definedName>
    <definedName name="DESENCOFRADO_VIGA_7" localSheetId="8">#REF!</definedName>
    <definedName name="DESENCOFRADO_VIGA_7">#REF!</definedName>
    <definedName name="DESENCOFRADO_VIGA_8" localSheetId="8">#REF!</definedName>
    <definedName name="DESENCOFRADO_VIGA_8">#REF!</definedName>
    <definedName name="DESENCOFRADO_VIGA_9" localSheetId="8">#REF!</definedName>
    <definedName name="DESENCOFRADO_VIGA_9">#REF!</definedName>
    <definedName name="desencofradovigas" localSheetId="8">#REF!</definedName>
    <definedName name="desencofradovigas">#REF!</definedName>
    <definedName name="desencofradovigas_8" localSheetId="8">#REF!</definedName>
    <definedName name="desencofradovigas_8">#REF!</definedName>
    <definedName name="DIA" localSheetId="8">#REF!</definedName>
    <definedName name="DIA">#REF!</definedName>
    <definedName name="DIA_10" localSheetId="8">#REF!</definedName>
    <definedName name="DIA_10">#REF!</definedName>
    <definedName name="DIA_11" localSheetId="8">#REF!</definedName>
    <definedName name="DIA_11">#REF!</definedName>
    <definedName name="DIA_6" localSheetId="8">#REF!</definedName>
    <definedName name="DIA_6">#REF!</definedName>
    <definedName name="DIA_7" localSheetId="8">#REF!</definedName>
    <definedName name="DIA_7">#REF!</definedName>
    <definedName name="DIA_8" localSheetId="8">#REF!</definedName>
    <definedName name="DIA_8">#REF!</definedName>
    <definedName name="DIA_9" localSheetId="8">#REF!</definedName>
    <definedName name="DIA_9">#REF!</definedName>
    <definedName name="Dintel20x20.ml">[49]Análisis!$D$557</definedName>
    <definedName name="Dintel20x40">[23]Análisis!$D$230</definedName>
    <definedName name="DIOS" localSheetId="8">#REF!</definedName>
    <definedName name="DIOS">#REF!</definedName>
    <definedName name="DISTRIBUCION_DE_AREAS_POR_NIVEL" localSheetId="8">#REF!</definedName>
    <definedName name="DISTRIBUCION_DE_AREAS_POR_NIVEL">#REF!</definedName>
    <definedName name="DISTRIBUCION_DE_AREAS_POR_NIVEL_8" localSheetId="8">#REF!</definedName>
    <definedName name="DISTRIBUCION_DE_AREAS_POR_NIVEL_8">#REF!</definedName>
    <definedName name="donatelo" localSheetId="8">[53]INS!#REF!</definedName>
    <definedName name="donatelo">[53]INS!#REF!</definedName>
    <definedName name="donatelo_10" localSheetId="8">#REF!</definedName>
    <definedName name="donatelo_10">#REF!</definedName>
    <definedName name="donatelo_11" localSheetId="8">#REF!</definedName>
    <definedName name="donatelo_11">#REF!</definedName>
    <definedName name="donatelo_5" localSheetId="8">#REF!</definedName>
    <definedName name="donatelo_5">#REF!</definedName>
    <definedName name="donatelo_6" localSheetId="8">#REF!</definedName>
    <definedName name="donatelo_6">#REF!</definedName>
    <definedName name="donatelo_7" localSheetId="8">#REF!</definedName>
    <definedName name="donatelo_7">#REF!</definedName>
    <definedName name="donatelo_8" localSheetId="8">#REF!</definedName>
    <definedName name="donatelo_8">#REF!</definedName>
    <definedName name="donatelo_9" localSheetId="8">#REF!</definedName>
    <definedName name="donatelo_9">#REF!</definedName>
    <definedName name="DUCHA_PLASTICA_CALIENTE_CROMO_12" localSheetId="8">#REF!</definedName>
    <definedName name="DUCHA_PLASTICA_CALIENTE_CROMO_12">#REF!</definedName>
    <definedName name="DUCHA_PLASTICA_CALIENTE_CROMO_12_10" localSheetId="8">#REF!</definedName>
    <definedName name="DUCHA_PLASTICA_CALIENTE_CROMO_12_10">#REF!</definedName>
    <definedName name="DUCHA_PLASTICA_CALIENTE_CROMO_12_11" localSheetId="8">#REF!</definedName>
    <definedName name="DUCHA_PLASTICA_CALIENTE_CROMO_12_11">#REF!</definedName>
    <definedName name="DUCHA_PLASTICA_CALIENTE_CROMO_12_6" localSheetId="8">#REF!</definedName>
    <definedName name="DUCHA_PLASTICA_CALIENTE_CROMO_12_6">#REF!</definedName>
    <definedName name="DUCHA_PLASTICA_CALIENTE_CROMO_12_7" localSheetId="8">#REF!</definedName>
    <definedName name="DUCHA_PLASTICA_CALIENTE_CROMO_12_7">#REF!</definedName>
    <definedName name="DUCHA_PLASTICA_CALIENTE_CROMO_12_8" localSheetId="8">#REF!</definedName>
    <definedName name="DUCHA_PLASTICA_CALIENTE_CROMO_12_8">#REF!</definedName>
    <definedName name="DUCHA_PLASTICA_CALIENTE_CROMO_12_9" localSheetId="8">#REF!</definedName>
    <definedName name="DUCHA_PLASTICA_CALIENTE_CROMO_12_9">#REF!</definedName>
    <definedName name="e" localSheetId="8">#REF!</definedName>
    <definedName name="e">#REF!</definedName>
    <definedName name="Edificio.Administracion">'[23]Edificio Administracion'!$G$112</definedName>
    <definedName name="Edificio.de.Entrada">'[23]Edificio de Entrada'!$G$77</definedName>
    <definedName name="ELECTRODOS" localSheetId="8">#REF!</definedName>
    <definedName name="ELECTRODOS">#REF!</definedName>
    <definedName name="ELECTRODOS_10" localSheetId="8">#REF!</definedName>
    <definedName name="ELECTRODOS_10">#REF!</definedName>
    <definedName name="ELECTRODOS_11" localSheetId="8">#REF!</definedName>
    <definedName name="ELECTRODOS_11">#REF!</definedName>
    <definedName name="ELECTRODOS_6" localSheetId="8">#REF!</definedName>
    <definedName name="ELECTRODOS_6">#REF!</definedName>
    <definedName name="ELECTRODOS_7" localSheetId="8">#REF!</definedName>
    <definedName name="ELECTRODOS_7">#REF!</definedName>
    <definedName name="ELECTRODOS_8" localSheetId="8">#REF!</definedName>
    <definedName name="ELECTRODOS_8">#REF!</definedName>
    <definedName name="ELECTRODOS_9" localSheetId="8">#REF!</definedName>
    <definedName name="ELECTRODOS_9">#REF!</definedName>
    <definedName name="ELVIRA" localSheetId="8">#REF!</definedName>
    <definedName name="ELVIRA">#REF!</definedName>
    <definedName name="ENCACHE" localSheetId="8">#REF!</definedName>
    <definedName name="ENCACHE">#REF!</definedName>
    <definedName name="ENCACHE_10" localSheetId="8">#REF!</definedName>
    <definedName name="ENCACHE_10">#REF!</definedName>
    <definedName name="ENCACHE_11" localSheetId="8">#REF!</definedName>
    <definedName name="ENCACHE_11">#REF!</definedName>
    <definedName name="ENCACHE_6" localSheetId="8">#REF!</definedName>
    <definedName name="ENCACHE_6">#REF!</definedName>
    <definedName name="ENCACHE_7" localSheetId="8">#REF!</definedName>
    <definedName name="ENCACHE_7">#REF!</definedName>
    <definedName name="ENCACHE_8" localSheetId="8">#REF!</definedName>
    <definedName name="ENCACHE_8">#REF!</definedName>
    <definedName name="ENCACHE_9" localSheetId="8">#REF!</definedName>
    <definedName name="ENCACHE_9">#REF!</definedName>
    <definedName name="ENCOF_COLS_1" localSheetId="8">#REF!</definedName>
    <definedName name="ENCOF_COLS_1" localSheetId="3">[20]MO!$B$247</definedName>
    <definedName name="ENCOF_COLS_1">#REF!</definedName>
    <definedName name="ENCOF_COLS_1_10" localSheetId="8">#REF!</definedName>
    <definedName name="ENCOF_COLS_1_10">#REF!</definedName>
    <definedName name="ENCOF_COLS_1_11" localSheetId="8">#REF!</definedName>
    <definedName name="ENCOF_COLS_1_11">#REF!</definedName>
    <definedName name="ENCOF_COLS_1_5" localSheetId="8">#REF!</definedName>
    <definedName name="ENCOF_COLS_1_5">#REF!</definedName>
    <definedName name="ENCOF_COLS_1_6" localSheetId="8">#REF!</definedName>
    <definedName name="ENCOF_COLS_1_6">#REF!</definedName>
    <definedName name="ENCOF_COLS_1_7" localSheetId="8">#REF!</definedName>
    <definedName name="ENCOF_COLS_1_7">#REF!</definedName>
    <definedName name="ENCOF_COLS_1_8" localSheetId="8">#REF!</definedName>
    <definedName name="ENCOF_COLS_1_8">#REF!</definedName>
    <definedName name="ENCOF_COLS_1_9" localSheetId="8">#REF!</definedName>
    <definedName name="ENCOF_COLS_1_9">#REF!</definedName>
    <definedName name="ENCOF_DES_TC_COL_VIGA_AMARRE" localSheetId="8">#REF!</definedName>
    <definedName name="ENCOF_DES_TC_COL_VIGA_AMARRE">#REF!</definedName>
    <definedName name="ENCOF_DES_TC_COL_VIGA_AMARRE_10" localSheetId="8">#REF!</definedName>
    <definedName name="ENCOF_DES_TC_COL_VIGA_AMARRE_10">#REF!</definedName>
    <definedName name="ENCOF_DES_TC_COL_VIGA_AMARRE_11" localSheetId="8">#REF!</definedName>
    <definedName name="ENCOF_DES_TC_COL_VIGA_AMARRE_11">#REF!</definedName>
    <definedName name="ENCOF_DES_TC_COL_VIGA_AMARRE_6" localSheetId="8">#REF!</definedName>
    <definedName name="ENCOF_DES_TC_COL_VIGA_AMARRE_6">#REF!</definedName>
    <definedName name="ENCOF_DES_TC_COL_VIGA_AMARRE_7" localSheetId="8">#REF!</definedName>
    <definedName name="ENCOF_DES_TC_COL_VIGA_AMARRE_7">#REF!</definedName>
    <definedName name="ENCOF_DES_TC_COL_VIGA_AMARRE_8" localSheetId="8">#REF!</definedName>
    <definedName name="ENCOF_DES_TC_COL_VIGA_AMARRE_8">#REF!</definedName>
    <definedName name="ENCOF_DES_TC_COL_VIGA_AMARRE_9" localSheetId="8">#REF!</definedName>
    <definedName name="ENCOF_DES_TC_COL_VIGA_AMARRE_9">#REF!</definedName>
    <definedName name="ENCOF_DES_TC_COL50" localSheetId="8">#REF!</definedName>
    <definedName name="ENCOF_DES_TC_COL50">#REF!</definedName>
    <definedName name="ENCOF_DES_TC_COL50_10" localSheetId="8">#REF!</definedName>
    <definedName name="ENCOF_DES_TC_COL50_10">#REF!</definedName>
    <definedName name="ENCOF_DES_TC_COL50_11" localSheetId="8">#REF!</definedName>
    <definedName name="ENCOF_DES_TC_COL50_11">#REF!</definedName>
    <definedName name="ENCOF_DES_TC_COL50_6" localSheetId="8">#REF!</definedName>
    <definedName name="ENCOF_DES_TC_COL50_6">#REF!</definedName>
    <definedName name="ENCOF_DES_TC_COL50_7" localSheetId="8">#REF!</definedName>
    <definedName name="ENCOF_DES_TC_COL50_7">#REF!</definedName>
    <definedName name="ENCOF_DES_TC_COL50_8" localSheetId="8">#REF!</definedName>
    <definedName name="ENCOF_DES_TC_COL50_8">#REF!</definedName>
    <definedName name="ENCOF_DES_TC_COL50_9" localSheetId="8">#REF!</definedName>
    <definedName name="ENCOF_DES_TC_COL50_9">#REF!</definedName>
    <definedName name="ENCOF_DES_TC_DINTEL_ML" localSheetId="8">#REF!</definedName>
    <definedName name="ENCOF_DES_TC_DINTEL_ML">#REF!</definedName>
    <definedName name="ENCOF_DES_TC_DINTEL_ML_10" localSheetId="8">#REF!</definedName>
    <definedName name="ENCOF_DES_TC_DINTEL_ML_10">#REF!</definedName>
    <definedName name="ENCOF_DES_TC_DINTEL_ML_11" localSheetId="8">#REF!</definedName>
    <definedName name="ENCOF_DES_TC_DINTEL_ML_11">#REF!</definedName>
    <definedName name="ENCOF_DES_TC_DINTEL_ML_6" localSheetId="8">#REF!</definedName>
    <definedName name="ENCOF_DES_TC_DINTEL_ML_6">#REF!</definedName>
    <definedName name="ENCOF_DES_TC_DINTEL_ML_7" localSheetId="8">#REF!</definedName>
    <definedName name="ENCOF_DES_TC_DINTEL_ML_7">#REF!</definedName>
    <definedName name="ENCOF_DES_TC_DINTEL_ML_8" localSheetId="8">#REF!</definedName>
    <definedName name="ENCOF_DES_TC_DINTEL_ML_8">#REF!</definedName>
    <definedName name="ENCOF_DES_TC_DINTEL_ML_9" localSheetId="8">#REF!</definedName>
    <definedName name="ENCOF_DES_TC_DINTEL_ML_9">#REF!</definedName>
    <definedName name="ENCOF_DES_TC_MUROS" localSheetId="8">#REF!</definedName>
    <definedName name="ENCOF_DES_TC_MUROS">#REF!</definedName>
    <definedName name="ENCOF_DES_TC_MUROS_10" localSheetId="8">#REF!</definedName>
    <definedName name="ENCOF_DES_TC_MUROS_10">#REF!</definedName>
    <definedName name="ENCOF_DES_TC_MUROS_11" localSheetId="8">#REF!</definedName>
    <definedName name="ENCOF_DES_TC_MUROS_11">#REF!</definedName>
    <definedName name="ENCOF_DES_TC_MUROS_6" localSheetId="8">#REF!</definedName>
    <definedName name="ENCOF_DES_TC_MUROS_6">#REF!</definedName>
    <definedName name="ENCOF_DES_TC_MUROS_7" localSheetId="8">#REF!</definedName>
    <definedName name="ENCOF_DES_TC_MUROS_7">#REF!</definedName>
    <definedName name="ENCOF_DES_TC_MUROS_8" localSheetId="8">#REF!</definedName>
    <definedName name="ENCOF_DES_TC_MUROS_8">#REF!</definedName>
    <definedName name="ENCOF_DES_TC_MUROS_9" localSheetId="8">#REF!</definedName>
    <definedName name="ENCOF_DES_TC_MUROS_9">#REF!</definedName>
    <definedName name="ENCOF_TC_LOSA" localSheetId="8">#REF!</definedName>
    <definedName name="ENCOF_TC_LOSA">#REF!</definedName>
    <definedName name="ENCOF_TC_LOSA_10" localSheetId="8">#REF!</definedName>
    <definedName name="ENCOF_TC_LOSA_10">#REF!</definedName>
    <definedName name="ENCOF_TC_LOSA_11" localSheetId="8">#REF!</definedName>
    <definedName name="ENCOF_TC_LOSA_11">#REF!</definedName>
    <definedName name="ENCOF_TC_LOSA_6" localSheetId="8">#REF!</definedName>
    <definedName name="ENCOF_TC_LOSA_6">#REF!</definedName>
    <definedName name="ENCOF_TC_LOSA_7" localSheetId="8">#REF!</definedName>
    <definedName name="ENCOF_TC_LOSA_7">#REF!</definedName>
    <definedName name="ENCOF_TC_LOSA_8" localSheetId="8">#REF!</definedName>
    <definedName name="ENCOF_TC_LOSA_8">#REF!</definedName>
    <definedName name="ENCOF_TC_LOSA_9" localSheetId="8">#REF!</definedName>
    <definedName name="ENCOF_TC_LOSA_9">#REF!</definedName>
    <definedName name="ENCOF_TC_MURO_1" localSheetId="8">#REF!</definedName>
    <definedName name="ENCOF_TC_MURO_1">#REF!</definedName>
    <definedName name="ENCOF_TC_MURO_1_10" localSheetId="8">#REF!</definedName>
    <definedName name="ENCOF_TC_MURO_1_10">#REF!</definedName>
    <definedName name="ENCOF_TC_MURO_1_11" localSheetId="8">#REF!</definedName>
    <definedName name="ENCOF_TC_MURO_1_11">#REF!</definedName>
    <definedName name="ENCOF_TC_MURO_1_6" localSheetId="8">#REF!</definedName>
    <definedName name="ENCOF_TC_MURO_1_6">#REF!</definedName>
    <definedName name="ENCOF_TC_MURO_1_7" localSheetId="8">#REF!</definedName>
    <definedName name="ENCOF_TC_MURO_1_7">#REF!</definedName>
    <definedName name="ENCOF_TC_MURO_1_8" localSheetId="8">#REF!</definedName>
    <definedName name="ENCOF_TC_MURO_1_8">#REF!</definedName>
    <definedName name="ENCOF_TC_MURO_1_9" localSheetId="8">#REF!</definedName>
    <definedName name="ENCOF_TC_MURO_1_9">#REF!</definedName>
    <definedName name="ENCOFRADO_COL_RETALLE_0.10" localSheetId="8">#REF!</definedName>
    <definedName name="ENCOFRADO_COL_RETALLE_0.10">#REF!</definedName>
    <definedName name="ENCOFRADO_COL_RETALLE_0.10_10" localSheetId="8">#REF!</definedName>
    <definedName name="ENCOFRADO_COL_RETALLE_0.10_10">#REF!</definedName>
    <definedName name="ENCOFRADO_COL_RETALLE_0.10_11" localSheetId="8">#REF!</definedName>
    <definedName name="ENCOFRADO_COL_RETALLE_0.10_11">#REF!</definedName>
    <definedName name="ENCOFRADO_COL_RETALLE_0.10_6" localSheetId="8">#REF!</definedName>
    <definedName name="ENCOFRADO_COL_RETALLE_0.10_6">#REF!</definedName>
    <definedName name="ENCOFRADO_COL_RETALLE_0.10_7" localSheetId="8">#REF!</definedName>
    <definedName name="ENCOFRADO_COL_RETALLE_0.10_7">#REF!</definedName>
    <definedName name="ENCOFRADO_COL_RETALLE_0.10_8" localSheetId="8">#REF!</definedName>
    <definedName name="ENCOFRADO_COL_RETALLE_0.10_8">#REF!</definedName>
    <definedName name="ENCOFRADO_COL_RETALLE_0.10_9" localSheetId="8">#REF!</definedName>
    <definedName name="ENCOFRADO_COL_RETALLE_0.10_9">#REF!</definedName>
    <definedName name="ENCOFRADO_ESCALERA" localSheetId="8">#REF!</definedName>
    <definedName name="ENCOFRADO_ESCALERA">#REF!</definedName>
    <definedName name="ENCOFRADO_ESCALERA_10" localSheetId="8">#REF!</definedName>
    <definedName name="ENCOFRADO_ESCALERA_10">#REF!</definedName>
    <definedName name="ENCOFRADO_ESCALERA_11" localSheetId="8">#REF!</definedName>
    <definedName name="ENCOFRADO_ESCALERA_11">#REF!</definedName>
    <definedName name="ENCOFRADO_ESCALERA_6" localSheetId="8">#REF!</definedName>
    <definedName name="ENCOFRADO_ESCALERA_6">#REF!</definedName>
    <definedName name="ENCOFRADO_ESCALERA_7" localSheetId="8">#REF!</definedName>
    <definedName name="ENCOFRADO_ESCALERA_7">#REF!</definedName>
    <definedName name="ENCOFRADO_ESCALERA_8" localSheetId="8">#REF!</definedName>
    <definedName name="ENCOFRADO_ESCALERA_8">#REF!</definedName>
    <definedName name="ENCOFRADO_ESCALERA_9" localSheetId="8">#REF!</definedName>
    <definedName name="ENCOFRADO_ESCALERA_9">#REF!</definedName>
    <definedName name="ENCOFRADO_LOSA" localSheetId="8">#REF!</definedName>
    <definedName name="ENCOFRADO_LOSA">#REF!</definedName>
    <definedName name="ENCOFRADO_LOSA_10" localSheetId="8">#REF!</definedName>
    <definedName name="ENCOFRADO_LOSA_10">#REF!</definedName>
    <definedName name="ENCOFRADO_LOSA_11" localSheetId="8">#REF!</definedName>
    <definedName name="ENCOFRADO_LOSA_11">#REF!</definedName>
    <definedName name="ENCOFRADO_LOSA_6" localSheetId="8">#REF!</definedName>
    <definedName name="ENCOFRADO_LOSA_6">#REF!</definedName>
    <definedName name="ENCOFRADO_LOSA_7" localSheetId="8">#REF!</definedName>
    <definedName name="ENCOFRADO_LOSA_7">#REF!</definedName>
    <definedName name="ENCOFRADO_LOSA_8" localSheetId="8">#REF!</definedName>
    <definedName name="ENCOFRADO_LOSA_8">#REF!</definedName>
    <definedName name="ENCOFRADO_LOSA_9" localSheetId="8">#REF!</definedName>
    <definedName name="ENCOFRADO_LOSA_9">#REF!</definedName>
    <definedName name="ENCOFRADO_MUROS" localSheetId="8">#REF!</definedName>
    <definedName name="ENCOFRADO_MUROS">#REF!</definedName>
    <definedName name="ENCOFRADO_MUROS_10" localSheetId="8">#REF!</definedName>
    <definedName name="ENCOFRADO_MUROS_10">#REF!</definedName>
    <definedName name="ENCOFRADO_MUROS_11" localSheetId="8">#REF!</definedName>
    <definedName name="ENCOFRADO_MUROS_11">#REF!</definedName>
    <definedName name="ENCOFRADO_MUROS_6" localSheetId="8">#REF!</definedName>
    <definedName name="ENCOFRADO_MUROS_6">#REF!</definedName>
    <definedName name="ENCOFRADO_MUROS_7" localSheetId="8">#REF!</definedName>
    <definedName name="ENCOFRADO_MUROS_7">#REF!</definedName>
    <definedName name="ENCOFRADO_MUROS_8" localSheetId="8">#REF!</definedName>
    <definedName name="ENCOFRADO_MUROS_8">#REF!</definedName>
    <definedName name="ENCOFRADO_MUROS_9" localSheetId="8">#REF!</definedName>
    <definedName name="ENCOFRADO_MUROS_9">#REF!</definedName>
    <definedName name="ENCOFRADO_MUROS_CONFECC" localSheetId="8">#REF!</definedName>
    <definedName name="ENCOFRADO_MUROS_CONFECC">#REF!</definedName>
    <definedName name="ENCOFRADO_MUROS_CONFECC_10" localSheetId="8">#REF!</definedName>
    <definedName name="ENCOFRADO_MUROS_CONFECC_10">#REF!</definedName>
    <definedName name="ENCOFRADO_MUROS_CONFECC_11" localSheetId="8">#REF!</definedName>
    <definedName name="ENCOFRADO_MUROS_CONFECC_11">#REF!</definedName>
    <definedName name="ENCOFRADO_MUROS_CONFECC_6" localSheetId="8">#REF!</definedName>
    <definedName name="ENCOFRADO_MUROS_CONFECC_6">#REF!</definedName>
    <definedName name="ENCOFRADO_MUROS_CONFECC_7" localSheetId="8">#REF!</definedName>
    <definedName name="ENCOFRADO_MUROS_CONFECC_7">#REF!</definedName>
    <definedName name="ENCOFRADO_MUROS_CONFECC_8" localSheetId="8">#REF!</definedName>
    <definedName name="ENCOFRADO_MUROS_CONFECC_8">#REF!</definedName>
    <definedName name="ENCOFRADO_MUROS_CONFECC_9" localSheetId="8">#REF!</definedName>
    <definedName name="ENCOFRADO_MUROS_CONFECC_9">#REF!</definedName>
    <definedName name="ENCOFRADO_MUROS_instalacion" localSheetId="8">#REF!</definedName>
    <definedName name="ENCOFRADO_MUROS_instalacion">#REF!</definedName>
    <definedName name="ENCOFRADO_MUROS_instalacion_10" localSheetId="8">#REF!</definedName>
    <definedName name="ENCOFRADO_MUROS_instalacion_10">#REF!</definedName>
    <definedName name="ENCOFRADO_MUROS_instalacion_11" localSheetId="8">#REF!</definedName>
    <definedName name="ENCOFRADO_MUROS_instalacion_11">#REF!</definedName>
    <definedName name="ENCOFRADO_MUROS_instalacion_6" localSheetId="8">#REF!</definedName>
    <definedName name="ENCOFRADO_MUROS_instalacion_6">#REF!</definedName>
    <definedName name="ENCOFRADO_MUROS_instalacion_7" localSheetId="8">#REF!</definedName>
    <definedName name="ENCOFRADO_MUROS_instalacion_7">#REF!</definedName>
    <definedName name="ENCOFRADO_MUROS_instalacion_8" localSheetId="8">#REF!</definedName>
    <definedName name="ENCOFRADO_MUROS_instalacion_8">#REF!</definedName>
    <definedName name="ENCOFRADO_MUROS_instalacion_9" localSheetId="8">#REF!</definedName>
    <definedName name="ENCOFRADO_MUROS_instalacion_9">#REF!</definedName>
    <definedName name="ENCOFRADO_VIGA" localSheetId="8">#REF!</definedName>
    <definedName name="ENCOFRADO_VIGA">#REF!</definedName>
    <definedName name="ENCOFRADO_VIGA_10" localSheetId="8">#REF!</definedName>
    <definedName name="ENCOFRADO_VIGA_10">#REF!</definedName>
    <definedName name="ENCOFRADO_VIGA_11" localSheetId="8">#REF!</definedName>
    <definedName name="ENCOFRADO_VIGA_11">#REF!</definedName>
    <definedName name="ENCOFRADO_VIGA_6" localSheetId="8">#REF!</definedName>
    <definedName name="ENCOFRADO_VIGA_6">#REF!</definedName>
    <definedName name="ENCOFRADO_VIGA_7" localSheetId="8">#REF!</definedName>
    <definedName name="ENCOFRADO_VIGA_7">#REF!</definedName>
    <definedName name="ENCOFRADO_VIGA_8" localSheetId="8">#REF!</definedName>
    <definedName name="ENCOFRADO_VIGA_8">#REF!</definedName>
    <definedName name="ENCOFRADO_VIGA_9" localSheetId="8">#REF!</definedName>
    <definedName name="ENCOFRADO_VIGA_9">#REF!</definedName>
    <definedName name="ENCOFRADO_VIGA_AMARRE_20x20" localSheetId="8">#REF!</definedName>
    <definedName name="ENCOFRADO_VIGA_AMARRE_20x20">#REF!</definedName>
    <definedName name="ENCOFRADO_VIGA_AMARRE_20x20_10" localSheetId="8">#REF!</definedName>
    <definedName name="ENCOFRADO_VIGA_AMARRE_20x20_10">#REF!</definedName>
    <definedName name="ENCOFRADO_VIGA_AMARRE_20x20_11" localSheetId="8">#REF!</definedName>
    <definedName name="ENCOFRADO_VIGA_AMARRE_20x20_11">#REF!</definedName>
    <definedName name="ENCOFRADO_VIGA_AMARRE_20x20_6" localSheetId="8">#REF!</definedName>
    <definedName name="ENCOFRADO_VIGA_AMARRE_20x20_6">#REF!</definedName>
    <definedName name="ENCOFRADO_VIGA_AMARRE_20x20_7" localSheetId="8">#REF!</definedName>
    <definedName name="ENCOFRADO_VIGA_AMARRE_20x20_7">#REF!</definedName>
    <definedName name="ENCOFRADO_VIGA_AMARRE_20x20_8" localSheetId="8">#REF!</definedName>
    <definedName name="ENCOFRADO_VIGA_AMARRE_20x20_8">#REF!</definedName>
    <definedName name="ENCOFRADO_VIGA_AMARRE_20x20_9" localSheetId="8">#REF!</definedName>
    <definedName name="ENCOFRADO_VIGA_AMARRE_20x20_9">#REF!</definedName>
    <definedName name="ENCOFRADO_VIGA_FONDO" localSheetId="8">#REF!</definedName>
    <definedName name="ENCOFRADO_VIGA_FONDO">#REF!</definedName>
    <definedName name="ENCOFRADO_VIGA_FONDO_10" localSheetId="8">#REF!</definedName>
    <definedName name="ENCOFRADO_VIGA_FONDO_10">#REF!</definedName>
    <definedName name="ENCOFRADO_VIGA_FONDO_11" localSheetId="8">#REF!</definedName>
    <definedName name="ENCOFRADO_VIGA_FONDO_11">#REF!</definedName>
    <definedName name="ENCOFRADO_VIGA_FONDO_6" localSheetId="8">#REF!</definedName>
    <definedName name="ENCOFRADO_VIGA_FONDO_6">#REF!</definedName>
    <definedName name="ENCOFRADO_VIGA_FONDO_7" localSheetId="8">#REF!</definedName>
    <definedName name="ENCOFRADO_VIGA_FONDO_7">#REF!</definedName>
    <definedName name="ENCOFRADO_VIGA_FONDO_8" localSheetId="8">#REF!</definedName>
    <definedName name="ENCOFRADO_VIGA_FONDO_8">#REF!</definedName>
    <definedName name="ENCOFRADO_VIGA_FONDO_9" localSheetId="8">#REF!</definedName>
    <definedName name="ENCOFRADO_VIGA_FONDO_9">#REF!</definedName>
    <definedName name="ENCOFRADO_VIGA_GUARDERA" localSheetId="8">#REF!</definedName>
    <definedName name="ENCOFRADO_VIGA_GUARDERA">#REF!</definedName>
    <definedName name="ENCOFRADO_VIGA_GUARDERA_10" localSheetId="8">#REF!</definedName>
    <definedName name="ENCOFRADO_VIGA_GUARDERA_10">#REF!</definedName>
    <definedName name="ENCOFRADO_VIGA_GUARDERA_11" localSheetId="8">#REF!</definedName>
    <definedName name="ENCOFRADO_VIGA_GUARDERA_11">#REF!</definedName>
    <definedName name="ENCOFRADO_VIGA_GUARDERA_6" localSheetId="8">#REF!</definedName>
    <definedName name="ENCOFRADO_VIGA_GUARDERA_6">#REF!</definedName>
    <definedName name="ENCOFRADO_VIGA_GUARDERA_7" localSheetId="8">#REF!</definedName>
    <definedName name="ENCOFRADO_VIGA_GUARDERA_7">#REF!</definedName>
    <definedName name="ENCOFRADO_VIGA_GUARDERA_8" localSheetId="8">#REF!</definedName>
    <definedName name="ENCOFRADO_VIGA_GUARDERA_8">#REF!</definedName>
    <definedName name="ENCOFRADO_VIGA_GUARDERA_9" localSheetId="8">#REF!</definedName>
    <definedName name="ENCOFRADO_VIGA_GUARDERA_9">#REF!</definedName>
    <definedName name="encofradocolumna" localSheetId="8">#REF!</definedName>
    <definedName name="encofradocolumna">#REF!</definedName>
    <definedName name="encofradocolumna_6" localSheetId="8">#REF!</definedName>
    <definedName name="encofradocolumna_6">#REF!</definedName>
    <definedName name="encofradocolumna_8" localSheetId="8">#REF!</definedName>
    <definedName name="encofradocolumna_8">#REF!</definedName>
    <definedName name="encofradorampa" localSheetId="8">#REF!</definedName>
    <definedName name="encofradorampa">#REF!</definedName>
    <definedName name="encofradorampa_8" localSheetId="8">#REF!</definedName>
    <definedName name="encofradorampa_8">#REF!</definedName>
    <definedName name="escalon.de1.0">[51]Análisis!$D$1354</definedName>
    <definedName name="escalon.de1.2">[51]Análisis!$D$1344</definedName>
    <definedName name="escalon.de1.6">[51]Análisis!$D$1334</definedName>
    <definedName name="escalon.de1.8">[51]Análisis!$D$1324</definedName>
    <definedName name="escalon.de2.0">[51]Análisis!$D$1314</definedName>
    <definedName name="escalon.de30">[51]Análisis!$D$1293</definedName>
    <definedName name="escalon.de60">[51]Análisis!$D$1304</definedName>
    <definedName name="ESCALON_17x30" localSheetId="8">#REF!</definedName>
    <definedName name="ESCALON_17x30">#REF!</definedName>
    <definedName name="ESCALON_17x30_10" localSheetId="8">#REF!</definedName>
    <definedName name="ESCALON_17x30_10">#REF!</definedName>
    <definedName name="ESCALON_17x30_11" localSheetId="8">#REF!</definedName>
    <definedName name="ESCALON_17x30_11">#REF!</definedName>
    <definedName name="ESCALON_17x30_6" localSheetId="8">#REF!</definedName>
    <definedName name="ESCALON_17x30_6">#REF!</definedName>
    <definedName name="ESCALON_17x30_7" localSheetId="8">#REF!</definedName>
    <definedName name="ESCALON_17x30_7">#REF!</definedName>
    <definedName name="ESCALON_17x30_8" localSheetId="8">#REF!</definedName>
    <definedName name="ESCALON_17x30_8">#REF!</definedName>
    <definedName name="ESCALON_17x30_9" localSheetId="8">#REF!</definedName>
    <definedName name="ESCALON_17x30_9">#REF!</definedName>
    <definedName name="escalones.ant.60cm">[51]Análisis!$D$1278</definedName>
    <definedName name="escalones.ceramica">[49]Análisis!$D$1340</definedName>
    <definedName name="ESCOBILLON" localSheetId="8">#REF!</definedName>
    <definedName name="ESCOBILLON">#REF!</definedName>
    <definedName name="ESCOBILLON_10" localSheetId="8">#REF!</definedName>
    <definedName name="ESCOBILLON_10">#REF!</definedName>
    <definedName name="ESCOBILLON_11" localSheetId="8">#REF!</definedName>
    <definedName name="ESCOBILLON_11">#REF!</definedName>
    <definedName name="ESCOBILLON_6" localSheetId="8">#REF!</definedName>
    <definedName name="ESCOBILLON_6">#REF!</definedName>
    <definedName name="ESCOBILLON_7" localSheetId="8">#REF!</definedName>
    <definedName name="ESCOBILLON_7">#REF!</definedName>
    <definedName name="ESCOBILLON_8" localSheetId="8">#REF!</definedName>
    <definedName name="ESCOBILLON_8">#REF!</definedName>
    <definedName name="ESCOBILLON_9" localSheetId="8">#REF!</definedName>
    <definedName name="ESCOBILLON_9">#REF!</definedName>
    <definedName name="esquineros">[45]Insumos!$L$43</definedName>
    <definedName name="ESTAMPADO" localSheetId="8">#REF!</definedName>
    <definedName name="ESTAMPADO">#REF!</definedName>
    <definedName name="ESTAMPADO_10" localSheetId="8">#REF!</definedName>
    <definedName name="ESTAMPADO_10">#REF!</definedName>
    <definedName name="ESTAMPADO_11" localSheetId="8">#REF!</definedName>
    <definedName name="ESTAMPADO_11">#REF!</definedName>
    <definedName name="ESTAMPADO_6" localSheetId="8">#REF!</definedName>
    <definedName name="ESTAMPADO_6">#REF!</definedName>
    <definedName name="ESTAMPADO_7" localSheetId="8">#REF!</definedName>
    <definedName name="ESTAMPADO_7">#REF!</definedName>
    <definedName name="ESTAMPADO_8" localSheetId="8">#REF!</definedName>
    <definedName name="ESTAMPADO_8">#REF!</definedName>
    <definedName name="ESTAMPADO_9" localSheetId="8">#REF!</definedName>
    <definedName name="ESTAMPADO_9">#REF!</definedName>
    <definedName name="ESTOPA" localSheetId="8">#REF!</definedName>
    <definedName name="ESTOPA">#REF!</definedName>
    <definedName name="ESTOPA_10" localSheetId="8">#REF!</definedName>
    <definedName name="ESTOPA_10">#REF!</definedName>
    <definedName name="ESTOPA_11" localSheetId="8">#REF!</definedName>
    <definedName name="ESTOPA_11">#REF!</definedName>
    <definedName name="ESTOPA_6" localSheetId="8">#REF!</definedName>
    <definedName name="ESTOPA_6">#REF!</definedName>
    <definedName name="ESTOPA_7" localSheetId="8">#REF!</definedName>
    <definedName name="ESTOPA_7">#REF!</definedName>
    <definedName name="ESTOPA_8" localSheetId="8">#REF!</definedName>
    <definedName name="ESTOPA_8">#REF!</definedName>
    <definedName name="ESTOPA_9" localSheetId="8">#REF!</definedName>
    <definedName name="ESTOPA_9">#REF!</definedName>
    <definedName name="ETAPA3" localSheetId="8">#REF!</definedName>
    <definedName name="ETAPA3">#REF!</definedName>
    <definedName name="Excel_BuiltIn_Extract" localSheetId="8">#REF!</definedName>
    <definedName name="Excel_BuiltIn_Extract">#REF!</definedName>
    <definedName name="Excel_BuiltIn_Extract_10" localSheetId="8">#REF!</definedName>
    <definedName name="Excel_BuiltIn_Extract_10">#REF!</definedName>
    <definedName name="Excel_BuiltIn_Extract_11" localSheetId="8">#REF!</definedName>
    <definedName name="Excel_BuiltIn_Extract_11">#REF!</definedName>
    <definedName name="Excel_BuiltIn_Extract_5" localSheetId="8">#REF!</definedName>
    <definedName name="Excel_BuiltIn_Extract_5">#REF!</definedName>
    <definedName name="Excel_BuiltIn_Extract_6" localSheetId="8">#REF!</definedName>
    <definedName name="Excel_BuiltIn_Extract_6">#REF!</definedName>
    <definedName name="Excel_BuiltIn_Extract_7" localSheetId="8">#REF!</definedName>
    <definedName name="Excel_BuiltIn_Extract_7">#REF!</definedName>
    <definedName name="Excel_BuiltIn_Extract_8" localSheetId="8">#REF!</definedName>
    <definedName name="Excel_BuiltIn_Extract_8">#REF!</definedName>
    <definedName name="Excel_BuiltIn_Extract_9" localSheetId="8">#REF!</definedName>
    <definedName name="Excel_BuiltIn_Extract_9">#REF!</definedName>
    <definedName name="Excel_BuiltIn_Print_Area" localSheetId="8">#REF!</definedName>
    <definedName name="Excel_BuiltIn_Print_Area">#REF!</definedName>
    <definedName name="Excel_BuiltIn_Print_Area_13" localSheetId="8">#REF!</definedName>
    <definedName name="Excel_BuiltIn_Print_Area_13">#REF!</definedName>
    <definedName name="Excel_BuiltIn_Print_Titles">NA()</definedName>
    <definedName name="Excel_BuiltIn_Print_Titles_3" localSheetId="8">#REF!</definedName>
    <definedName name="Excel_BuiltIn_Print_Titles_3">#REF!</definedName>
    <definedName name="expansiones.3.8">[45]Insumos!$L$35</definedName>
    <definedName name="expl" localSheetId="8">[29]ADDENDA!#REF!</definedName>
    <definedName name="expl">[29]ADDENDA!#REF!</definedName>
    <definedName name="expl_6" localSheetId="8">#REF!</definedName>
    <definedName name="expl_6">#REF!</definedName>
    <definedName name="expl_8" localSheetId="8">#REF!</definedName>
    <definedName name="expl_8">#REF!</definedName>
    <definedName name="Exteriores">[23]Resumen!$F$32</definedName>
    <definedName name="Extracción_IM" localSheetId="8">#REF!</definedName>
    <definedName name="Extracción_IM" localSheetId="3">[1]CUB02!$S$13:$AN$415</definedName>
    <definedName name="Extracción_IM">#REF!</definedName>
    <definedName name="Extracción_IM_10" localSheetId="8">#REF!</definedName>
    <definedName name="Extracción_IM_10">#REF!</definedName>
    <definedName name="Extracción_IM_11" localSheetId="8">#REF!</definedName>
    <definedName name="Extracción_IM_11">#REF!</definedName>
    <definedName name="Extracción_IM_5" localSheetId="8">#REF!</definedName>
    <definedName name="Extracción_IM_5">#REF!</definedName>
    <definedName name="Extracción_IM_6" localSheetId="8">#REF!</definedName>
    <definedName name="Extracción_IM_6">#REF!</definedName>
    <definedName name="Extracción_IM_7" localSheetId="8">#REF!</definedName>
    <definedName name="Extracción_IM_7">#REF!</definedName>
    <definedName name="Extracción_IM_8" localSheetId="8">#REF!</definedName>
    <definedName name="Extracción_IM_8">#REF!</definedName>
    <definedName name="Extracción_IM_9" localSheetId="8">#REF!</definedName>
    <definedName name="Extracción_IM_9">#REF!</definedName>
    <definedName name="Fac.optimi.obras.arte">'[54]ANALISIS A USAR'!$J$17</definedName>
    <definedName name="FE">'[55]med.mov.de tierras2'!$D$12</definedName>
    <definedName name="fino">[23]Insumos!$E$108</definedName>
    <definedName name="Fino.Techo.bermuda">[23]Análisis!$D$1202</definedName>
    <definedName name="FIOR" localSheetId="8">#REF!</definedName>
    <definedName name="FIOR">#REF!</definedName>
    <definedName name="FIOR_8" localSheetId="8">#REF!</definedName>
    <definedName name="FIOR_8">#REF!</definedName>
    <definedName name="fraguache">[49]Análisis!$D$1042</definedName>
    <definedName name="FREGADERO_DOBLE_ACERO_INOX" localSheetId="8">#REF!</definedName>
    <definedName name="FREGADERO_DOBLE_ACERO_INOX">#REF!</definedName>
    <definedName name="FREGADERO_DOBLE_ACERO_INOX_10" localSheetId="8">#REF!</definedName>
    <definedName name="FREGADERO_DOBLE_ACERO_INOX_10">#REF!</definedName>
    <definedName name="FREGADERO_DOBLE_ACERO_INOX_11" localSheetId="8">#REF!</definedName>
    <definedName name="FREGADERO_DOBLE_ACERO_INOX_11">#REF!</definedName>
    <definedName name="FREGADERO_DOBLE_ACERO_INOX_6" localSheetId="8">#REF!</definedName>
    <definedName name="FREGADERO_DOBLE_ACERO_INOX_6">#REF!</definedName>
    <definedName name="FREGADERO_DOBLE_ACERO_INOX_7" localSheetId="8">#REF!</definedName>
    <definedName name="FREGADERO_DOBLE_ACERO_INOX_7">#REF!</definedName>
    <definedName name="FREGADERO_DOBLE_ACERO_INOX_8" localSheetId="8">#REF!</definedName>
    <definedName name="FREGADERO_DOBLE_ACERO_INOX_8">#REF!</definedName>
    <definedName name="FREGADERO_DOBLE_ACERO_INOX_9" localSheetId="8">#REF!</definedName>
    <definedName name="FREGADERO_DOBLE_ACERO_INOX_9">#REF!</definedName>
    <definedName name="FREGADERO_SENCILLO_ACERO_INOX" localSheetId="8">#REF!</definedName>
    <definedName name="FREGADERO_SENCILLO_ACERO_INOX">#REF!</definedName>
    <definedName name="FREGADERO_SENCILLO_ACERO_INOX_10" localSheetId="8">#REF!</definedName>
    <definedName name="FREGADERO_SENCILLO_ACERO_INOX_10">#REF!</definedName>
    <definedName name="FREGADERO_SENCILLO_ACERO_INOX_11" localSheetId="8">#REF!</definedName>
    <definedName name="FREGADERO_SENCILLO_ACERO_INOX_11">#REF!</definedName>
    <definedName name="FREGADERO_SENCILLO_ACERO_INOX_6" localSheetId="8">#REF!</definedName>
    <definedName name="FREGADERO_SENCILLO_ACERO_INOX_6">#REF!</definedName>
    <definedName name="FREGADERO_SENCILLO_ACERO_INOX_7" localSheetId="8">#REF!</definedName>
    <definedName name="FREGADERO_SENCILLO_ACERO_INOX_7">#REF!</definedName>
    <definedName name="FREGADERO_SENCILLO_ACERO_INOX_8" localSheetId="8">#REF!</definedName>
    <definedName name="FREGADERO_SENCILLO_ACERO_INOX_8">#REF!</definedName>
    <definedName name="FREGADERO_SENCILLO_ACERO_INOX_9" localSheetId="8">#REF!</definedName>
    <definedName name="FREGADERO_SENCILLO_ACERO_INOX_9">#REF!</definedName>
    <definedName name="FREGRADERODOBLE">[7]insumo!$D$21</definedName>
    <definedName name="FSDFS" localSheetId="8">#REF!</definedName>
    <definedName name="FSDFS">#REF!</definedName>
    <definedName name="FSDFS_6" localSheetId="8">#REF!</definedName>
    <definedName name="FSDFS_6">#REF!</definedName>
    <definedName name="fuente.entrada">[23]Resumen!$D$21</definedName>
    <definedName name="FUNCION">[56]FUNCION!$C$16</definedName>
    <definedName name="gabinetesandiroba">[57]INSUMOS!$F$303</definedName>
    <definedName name="GAS_CIL" localSheetId="8">#REF!</definedName>
    <definedName name="GAS_CIL">#REF!</definedName>
    <definedName name="GAS_CIL_10" localSheetId="8">#REF!</definedName>
    <definedName name="GAS_CIL_10">#REF!</definedName>
    <definedName name="GAS_CIL_11" localSheetId="8">#REF!</definedName>
    <definedName name="GAS_CIL_11">#REF!</definedName>
    <definedName name="GAS_CIL_6" localSheetId="8">#REF!</definedName>
    <definedName name="GAS_CIL_6">#REF!</definedName>
    <definedName name="GAS_CIL_7" localSheetId="8">#REF!</definedName>
    <definedName name="GAS_CIL_7">#REF!</definedName>
    <definedName name="GAS_CIL_8" localSheetId="8">#REF!</definedName>
    <definedName name="GAS_CIL_8">#REF!</definedName>
    <definedName name="GAS_CIL_9" localSheetId="8">#REF!</definedName>
    <definedName name="GAS_CIL_9">#REF!</definedName>
    <definedName name="GASOIL" localSheetId="8">#REF!</definedName>
    <definedName name="GASOIL">#REF!</definedName>
    <definedName name="GASOIL_10" localSheetId="8">#REF!</definedName>
    <definedName name="GASOIL_10">#REF!</definedName>
    <definedName name="GASOIL_11" localSheetId="8">#REF!</definedName>
    <definedName name="GASOIL_11">#REF!</definedName>
    <definedName name="GASOIL_6" localSheetId="8">#REF!</definedName>
    <definedName name="GASOIL_6">#REF!</definedName>
    <definedName name="GASOIL_7" localSheetId="8">#REF!</definedName>
    <definedName name="GASOIL_7">#REF!</definedName>
    <definedName name="GASOIL_8" localSheetId="8">#REF!</definedName>
    <definedName name="GASOIL_8">#REF!</definedName>
    <definedName name="GASOIL_9" localSheetId="8">#REF!</definedName>
    <definedName name="GASOIL_9">#REF!</definedName>
    <definedName name="gasoil_reg" localSheetId="8">#REF!</definedName>
    <definedName name="gasoil_reg">#REF!</definedName>
    <definedName name="GASOLINA" localSheetId="8">#REF!</definedName>
    <definedName name="GASOLINA" localSheetId="3">[58]INS!$D$561</definedName>
    <definedName name="GASOLINA">#REF!</definedName>
    <definedName name="GASOLINA_6" localSheetId="8">#REF!</definedName>
    <definedName name="GASOLINA_6">#REF!</definedName>
    <definedName name="gasolina_reg" localSheetId="8">#REF!</definedName>
    <definedName name="gasolina_reg">#REF!</definedName>
    <definedName name="GASTOSGENERALES_3">"$#REF!.$#REF!$#REF!"</definedName>
    <definedName name="GASTOSGENERALESA_3">"$#REF!.$#REF!$#REF!"</definedName>
    <definedName name="GAVIONES" localSheetId="8">#REF!</definedName>
    <definedName name="GAVIONES">#REF!</definedName>
    <definedName name="GAVIONES_10" localSheetId="8">#REF!</definedName>
    <definedName name="GAVIONES_10">#REF!</definedName>
    <definedName name="GAVIONES_11" localSheetId="8">#REF!</definedName>
    <definedName name="GAVIONES_11">#REF!</definedName>
    <definedName name="GAVIONES_6" localSheetId="8">#REF!</definedName>
    <definedName name="GAVIONES_6">#REF!</definedName>
    <definedName name="GAVIONES_7" localSheetId="8">#REF!</definedName>
    <definedName name="GAVIONES_7">#REF!</definedName>
    <definedName name="GAVIONES_8" localSheetId="8">#REF!</definedName>
    <definedName name="GAVIONES_8">#REF!</definedName>
    <definedName name="GAVIONES_9" localSheetId="8">#REF!</definedName>
    <definedName name="GAVIONES_9">#REF!</definedName>
    <definedName name="GENERADOR_DIESEL_400KW" localSheetId="8">#REF!</definedName>
    <definedName name="GENERADOR_DIESEL_400KW">#REF!</definedName>
    <definedName name="GENERADOR_DIESEL_400KW_10" localSheetId="8">#REF!</definedName>
    <definedName name="GENERADOR_DIESEL_400KW_10">#REF!</definedName>
    <definedName name="GENERADOR_DIESEL_400KW_11" localSheetId="8">#REF!</definedName>
    <definedName name="GENERADOR_DIESEL_400KW_11">#REF!</definedName>
    <definedName name="GENERADOR_DIESEL_400KW_6" localSheetId="8">#REF!</definedName>
    <definedName name="GENERADOR_DIESEL_400KW_6">#REF!</definedName>
    <definedName name="GENERADOR_DIESEL_400KW_7" localSheetId="8">#REF!</definedName>
    <definedName name="GENERADOR_DIESEL_400KW_7">#REF!</definedName>
    <definedName name="GENERADOR_DIESEL_400KW_8" localSheetId="8">#REF!</definedName>
    <definedName name="GENERADOR_DIESEL_400KW_8">#REF!</definedName>
    <definedName name="GENERADOR_DIESEL_400KW_9" localSheetId="8">#REF!</definedName>
    <definedName name="GENERADOR_DIESEL_400KW_9">#REF!</definedName>
    <definedName name="GLP" localSheetId="8">#REF!</definedName>
    <definedName name="GLP">#REF!</definedName>
    <definedName name="glpintura">'[40]Analisis Unit. '!$F$49</definedName>
    <definedName name="GRADER12G">[41]EQUIPOS!$I$11</definedName>
    <definedName name="GRANITO_30x30" localSheetId="8">#REF!</definedName>
    <definedName name="GRANITO_30x30">#REF!</definedName>
    <definedName name="GRANITO_30x30_10" localSheetId="8">#REF!</definedName>
    <definedName name="GRANITO_30x30_10">#REF!</definedName>
    <definedName name="GRANITO_30x30_11" localSheetId="8">#REF!</definedName>
    <definedName name="GRANITO_30x30_11">#REF!</definedName>
    <definedName name="GRANITO_30x30_6" localSheetId="8">#REF!</definedName>
    <definedName name="GRANITO_30x30_6">#REF!</definedName>
    <definedName name="GRANITO_30x30_7" localSheetId="8">#REF!</definedName>
    <definedName name="GRANITO_30x30_7">#REF!</definedName>
    <definedName name="GRANITO_30x30_8" localSheetId="8">#REF!</definedName>
    <definedName name="GRANITO_30x30_8">#REF!</definedName>
    <definedName name="GRANITO_30x30_9" localSheetId="8">#REF!</definedName>
    <definedName name="GRANITO_30x30_9">#REF!</definedName>
    <definedName name="GRANITO_40x40" localSheetId="8">#REF!</definedName>
    <definedName name="GRANITO_40x40">#REF!</definedName>
    <definedName name="GRANITO_40x40_10" localSheetId="8">#REF!</definedName>
    <definedName name="GRANITO_40x40_10">#REF!</definedName>
    <definedName name="GRANITO_40x40_11" localSheetId="8">#REF!</definedName>
    <definedName name="GRANITO_40x40_11">#REF!</definedName>
    <definedName name="GRANITO_40x40_6" localSheetId="8">#REF!</definedName>
    <definedName name="GRANITO_40x40_6">#REF!</definedName>
    <definedName name="GRANITO_40x40_7" localSheetId="8">#REF!</definedName>
    <definedName name="GRANITO_40x40_7">#REF!</definedName>
    <definedName name="GRANITO_40x40_8" localSheetId="8">#REF!</definedName>
    <definedName name="GRANITO_40x40_8">#REF!</definedName>
    <definedName name="GRANITO_40x40_9" localSheetId="8">#REF!</definedName>
    <definedName name="GRANITO_40x40_9">#REF!</definedName>
    <definedName name="GRANITO_FONDO_BCO_30x30" localSheetId="8">#REF!</definedName>
    <definedName name="GRANITO_FONDO_BCO_30x30">#REF!</definedName>
    <definedName name="GRANITO_FONDO_BCO_30x30_10" localSheetId="8">#REF!</definedName>
    <definedName name="GRANITO_FONDO_BCO_30x30_10">#REF!</definedName>
    <definedName name="GRANITO_FONDO_BCO_30x30_11" localSheetId="8">#REF!</definedName>
    <definedName name="GRANITO_FONDO_BCO_30x30_11">#REF!</definedName>
    <definedName name="GRANITO_FONDO_BCO_30x30_6" localSheetId="8">#REF!</definedName>
    <definedName name="GRANITO_FONDO_BCO_30x30_6">#REF!</definedName>
    <definedName name="GRANITO_FONDO_BCO_30x30_7" localSheetId="8">#REF!</definedName>
    <definedName name="GRANITO_FONDO_BCO_30x30_7">#REF!</definedName>
    <definedName name="GRANITO_FONDO_BCO_30x30_8" localSheetId="8">#REF!</definedName>
    <definedName name="GRANITO_FONDO_BCO_30x30_8">#REF!</definedName>
    <definedName name="GRANITO_FONDO_BCO_30x30_9" localSheetId="8">#REF!</definedName>
    <definedName name="GRANITO_FONDO_BCO_30x30_9">#REF!</definedName>
    <definedName name="GRANITO_FONDO_GRIS" localSheetId="8">#REF!</definedName>
    <definedName name="GRANITO_FONDO_GRIS">#REF!</definedName>
    <definedName name="GRANITO_FONDO_GRIS_10" localSheetId="8">#REF!</definedName>
    <definedName name="GRANITO_FONDO_GRIS_10">#REF!</definedName>
    <definedName name="GRANITO_FONDO_GRIS_11" localSheetId="8">#REF!</definedName>
    <definedName name="GRANITO_FONDO_GRIS_11">#REF!</definedName>
    <definedName name="GRANITO_FONDO_GRIS_6" localSheetId="8">#REF!</definedName>
    <definedName name="GRANITO_FONDO_GRIS_6">#REF!</definedName>
    <definedName name="GRANITO_FONDO_GRIS_7" localSheetId="8">#REF!</definedName>
    <definedName name="GRANITO_FONDO_GRIS_7">#REF!</definedName>
    <definedName name="GRANITO_FONDO_GRIS_8" localSheetId="8">#REF!</definedName>
    <definedName name="GRANITO_FONDO_GRIS_8">#REF!</definedName>
    <definedName name="GRANITO_FONDO_GRIS_9" localSheetId="8">#REF!</definedName>
    <definedName name="GRANITO_FONDO_GRIS_9">#REF!</definedName>
    <definedName name="grava" localSheetId="8">#REF!</definedName>
    <definedName name="grava" localSheetId="9">'[19]ANALISIS PLANTA'!$E$18</definedName>
    <definedName name="grava">#REF!</definedName>
    <definedName name="Grava_10" localSheetId="8">#REF!</definedName>
    <definedName name="Grava_10">#REF!</definedName>
    <definedName name="Grava_11" localSheetId="8">#REF!</definedName>
    <definedName name="Grava_11">#REF!</definedName>
    <definedName name="Grava_6" localSheetId="8">#REF!</definedName>
    <definedName name="Grava_6">#REF!</definedName>
    <definedName name="Grava_7" localSheetId="8">#REF!</definedName>
    <definedName name="Grava_7">#REF!</definedName>
    <definedName name="Grava_8" localSheetId="8">#REF!</definedName>
    <definedName name="Grava_8">#REF!</definedName>
    <definedName name="Grava_9" localSheetId="8">#REF!</definedName>
    <definedName name="Grava_9">#REF!</definedName>
    <definedName name="GRAVAL">[7]insumo!$D$22</definedName>
    <definedName name="GRUA" localSheetId="8">#REF!</definedName>
    <definedName name="GRUA">#REF!</definedName>
    <definedName name="GRUA_10" localSheetId="8">#REF!</definedName>
    <definedName name="GRUA_10">#REF!</definedName>
    <definedName name="GRUA_11" localSheetId="8">#REF!</definedName>
    <definedName name="GRUA_11">#REF!</definedName>
    <definedName name="GRUA_6" localSheetId="8">#REF!</definedName>
    <definedName name="GRUA_6">#REF!</definedName>
    <definedName name="GRUA_7" localSheetId="8">#REF!</definedName>
    <definedName name="GRUA_7">#REF!</definedName>
    <definedName name="GRUA_8" localSheetId="8">#REF!</definedName>
    <definedName name="GRUA_8">#REF!</definedName>
    <definedName name="GRUA_9" localSheetId="8">#REF!</definedName>
    <definedName name="GRUA_9">#REF!</definedName>
    <definedName name="GT" localSheetId="8">#REF!</definedName>
    <definedName name="GT">#REF!</definedName>
    <definedName name="H" localSheetId="8">[13]M.O.!#REF!</definedName>
    <definedName name="H">[13]M.O.!#REF!</definedName>
    <definedName name="HACHA" localSheetId="8">#REF!</definedName>
    <definedName name="HACHA">#REF!</definedName>
    <definedName name="HACHA_10" localSheetId="8">#REF!</definedName>
    <definedName name="HACHA_10">#REF!</definedName>
    <definedName name="HACHA_11" localSheetId="8">#REF!</definedName>
    <definedName name="HACHA_11">#REF!</definedName>
    <definedName name="HACHA_6" localSheetId="8">#REF!</definedName>
    <definedName name="HACHA_6">#REF!</definedName>
    <definedName name="HACHA_7" localSheetId="8">#REF!</definedName>
    <definedName name="HACHA_7">#REF!</definedName>
    <definedName name="HACHA_8" localSheetId="8">#REF!</definedName>
    <definedName name="HACHA_8">#REF!</definedName>
    <definedName name="HACHA_9" localSheetId="8">#REF!</definedName>
    <definedName name="HACHA_9">#REF!</definedName>
    <definedName name="HERR_MENO" localSheetId="8">#REF!</definedName>
    <definedName name="HERR_MENO">#REF!</definedName>
    <definedName name="HERR_MENO_10" localSheetId="8">#REF!</definedName>
    <definedName name="HERR_MENO_10">#REF!</definedName>
    <definedName name="HERR_MENO_11" localSheetId="8">#REF!</definedName>
    <definedName name="HERR_MENO_11">#REF!</definedName>
    <definedName name="HERR_MENO_6" localSheetId="8">#REF!</definedName>
    <definedName name="HERR_MENO_6">#REF!</definedName>
    <definedName name="HERR_MENO_7" localSheetId="8">#REF!</definedName>
    <definedName name="HERR_MENO_7">#REF!</definedName>
    <definedName name="HERR_MENO_8" localSheetId="8">#REF!</definedName>
    <definedName name="HERR_MENO_8">#REF!</definedName>
    <definedName name="HERR_MENO_9" localSheetId="8">#REF!</definedName>
    <definedName name="HERR_MENO_9">#REF!</definedName>
    <definedName name="HGON100">[59]Mezcla!$G$81</definedName>
    <definedName name="HGON140">[59]Mezcla!$G$106</definedName>
    <definedName name="HGON180">[59]Mezcla!$G$131</definedName>
    <definedName name="HGON210">[59]Mezcla!$G$156</definedName>
    <definedName name="HILO" localSheetId="8">#REF!</definedName>
    <definedName name="HILO">#REF!</definedName>
    <definedName name="HILO_10" localSheetId="8">#REF!</definedName>
    <definedName name="HILO_10">#REF!</definedName>
    <definedName name="HILO_11" localSheetId="8">#REF!</definedName>
    <definedName name="HILO_11">#REF!</definedName>
    <definedName name="HILO_6" localSheetId="8">#REF!</definedName>
    <definedName name="HILO_6">#REF!</definedName>
    <definedName name="HILO_7" localSheetId="8">#REF!</definedName>
    <definedName name="HILO_7">#REF!</definedName>
    <definedName name="HILO_8" localSheetId="8">#REF!</definedName>
    <definedName name="HILO_8">#REF!</definedName>
    <definedName name="HILO_9" localSheetId="8">#REF!</definedName>
    <definedName name="HILO_9">#REF!</definedName>
    <definedName name="HINCA_3">"$#REF!.$#REF!$#REF!"</definedName>
    <definedName name="HINDUSTRIAL100">[7]insumo!$D$33</definedName>
    <definedName name="HINDUSTRIAL210" localSheetId="3">[2]insumo!$D$36</definedName>
    <definedName name="HINDUSTRIAL210">[7]insumo!$D$36</definedName>
    <definedName name="HORACIO_3">"$#REF!.$L$66:$W$66"</definedName>
    <definedName name="horm.1.3">'[40]Analisis Unit. '!$F$74</definedName>
    <definedName name="horm.1.3.5">'[40]Analisis Unit. '!$F$64</definedName>
    <definedName name="Horm.Ind.140.Sin.Bomba">[23]Insumos!$E$35</definedName>
    <definedName name="Horm.Ind.180.Sin.Bomba">[23]Insumos!$E$37</definedName>
    <definedName name="Horm.Ind.210.Sin.Bomba">[23]Insumos!$E$39</definedName>
    <definedName name="Horm_124_TrompoyWinche" localSheetId="8">#REF!</definedName>
    <definedName name="Horm_124_TrompoyWinche">#REF!</definedName>
    <definedName name="Horm_124_TrompoyWinche_10" localSheetId="8">#REF!</definedName>
    <definedName name="Horm_124_TrompoyWinche_10">#REF!</definedName>
    <definedName name="Horm_124_TrompoyWinche_11" localSheetId="8">#REF!</definedName>
    <definedName name="Horm_124_TrompoyWinche_11">#REF!</definedName>
    <definedName name="Horm_124_TrompoyWinche_6" localSheetId="8">#REF!</definedName>
    <definedName name="Horm_124_TrompoyWinche_6">#REF!</definedName>
    <definedName name="Horm_124_TrompoyWinche_7" localSheetId="8">#REF!</definedName>
    <definedName name="Horm_124_TrompoyWinche_7">#REF!</definedName>
    <definedName name="Horm_124_TrompoyWinche_8" localSheetId="8">#REF!</definedName>
    <definedName name="Horm_124_TrompoyWinche_8">#REF!</definedName>
    <definedName name="Horm_124_TrompoyWinche_9" localSheetId="8">#REF!</definedName>
    <definedName name="Horm_124_TrompoyWinche_9">#REF!</definedName>
    <definedName name="HORM_IND_180" localSheetId="8">#REF!</definedName>
    <definedName name="HORM_IND_180">#REF!</definedName>
    <definedName name="HORM_IND_180_10" localSheetId="8">#REF!</definedName>
    <definedName name="HORM_IND_180_10">#REF!</definedName>
    <definedName name="HORM_IND_180_11" localSheetId="8">#REF!</definedName>
    <definedName name="HORM_IND_180_11">#REF!</definedName>
    <definedName name="HORM_IND_180_6" localSheetId="8">#REF!</definedName>
    <definedName name="HORM_IND_180_6">#REF!</definedName>
    <definedName name="HORM_IND_180_7" localSheetId="8">#REF!</definedName>
    <definedName name="HORM_IND_180_7">#REF!</definedName>
    <definedName name="HORM_IND_180_8" localSheetId="8">#REF!</definedName>
    <definedName name="HORM_IND_180_8">#REF!</definedName>
    <definedName name="HORM_IND_180_9" localSheetId="8">#REF!</definedName>
    <definedName name="HORM_IND_180_9">#REF!</definedName>
    <definedName name="HORM_IND_210" localSheetId="8">#REF!</definedName>
    <definedName name="HORM_IND_210">#REF!</definedName>
    <definedName name="HORM_IND_210_10" localSheetId="8">#REF!</definedName>
    <definedName name="HORM_IND_210_10">#REF!</definedName>
    <definedName name="HORM_IND_210_11" localSheetId="8">#REF!</definedName>
    <definedName name="HORM_IND_210_11">#REF!</definedName>
    <definedName name="HORM_IND_210_6" localSheetId="8">#REF!</definedName>
    <definedName name="HORM_IND_210_6">#REF!</definedName>
    <definedName name="HORM_IND_210_7" localSheetId="8">#REF!</definedName>
    <definedName name="HORM_IND_210_7">#REF!</definedName>
    <definedName name="HORM_IND_210_8" localSheetId="8">#REF!</definedName>
    <definedName name="HORM_IND_210_8">#REF!</definedName>
    <definedName name="HORM_IND_210_9" localSheetId="8">#REF!</definedName>
    <definedName name="HORM_IND_210_9">#REF!</definedName>
    <definedName name="HORM_IND_240" localSheetId="8">#REF!</definedName>
    <definedName name="HORM_IND_240">#REF!</definedName>
    <definedName name="HORM_IND_240_10" localSheetId="8">#REF!</definedName>
    <definedName name="HORM_IND_240_10">#REF!</definedName>
    <definedName name="HORM_IND_240_11" localSheetId="8">#REF!</definedName>
    <definedName name="HORM_IND_240_11">#REF!</definedName>
    <definedName name="HORM_IND_240_6" localSheetId="8">#REF!</definedName>
    <definedName name="HORM_IND_240_6">#REF!</definedName>
    <definedName name="HORM_IND_240_7" localSheetId="8">#REF!</definedName>
    <definedName name="HORM_IND_240_7">#REF!</definedName>
    <definedName name="HORM_IND_240_8" localSheetId="8">#REF!</definedName>
    <definedName name="HORM_IND_240_8">#REF!</definedName>
    <definedName name="HORM_IND_240_9" localSheetId="8">#REF!</definedName>
    <definedName name="HORM_IND_240_9">#REF!</definedName>
    <definedName name="HORM135_MANUAL" localSheetId="3">'[46]HORM. Y MORTEROS.'!$H$212</definedName>
    <definedName name="HORM135_MANUAL">'[47]HORM. Y MORTEROS.'!$H$212</definedName>
    <definedName name="Hormigón_210_kg_cm2_con_aditivos">'[18]LISTA DE PRECIO'!$C$10</definedName>
    <definedName name="Hormigón_Industrial_210_Kg_cm2">[60]Insumos!$B$71:$D$71</definedName>
    <definedName name="Hormigón_Industrial_210_Kg_cm2_1">[60]Insumos!$B$71:$D$71</definedName>
    <definedName name="Hormigón_Industrial_210_Kg_cm2_2">[60]Insumos!$B$71:$D$71</definedName>
    <definedName name="Hormigón_Industrial_210_Kg_cm2_3">[60]Insumos!$B$71:$D$71</definedName>
    <definedName name="hormigon140" localSheetId="8">#REF!</definedName>
    <definedName name="hormigon140">#REF!</definedName>
    <definedName name="hormigon140_6" localSheetId="8">#REF!</definedName>
    <definedName name="hormigon140_6">#REF!</definedName>
    <definedName name="hormigon140_8" localSheetId="8">#REF!</definedName>
    <definedName name="hormigon140_8">#REF!</definedName>
    <definedName name="hormigon180" localSheetId="8">#REF!</definedName>
    <definedName name="hormigon180">#REF!</definedName>
    <definedName name="hormigon180_8" localSheetId="8">#REF!</definedName>
    <definedName name="hormigon180_8">#REF!</definedName>
    <definedName name="hormigon210" localSheetId="8">#REF!</definedName>
    <definedName name="hormigon210">#REF!</definedName>
    <definedName name="hormigon210_8" localSheetId="8">#REF!</definedName>
    <definedName name="hormigon210_8">#REF!</definedName>
    <definedName name="HS210_Manual" localSheetId="8">#REF!</definedName>
    <definedName name="HS210_Manual" localSheetId="9">'[19]ANALISIS PLANTA'!$F$111</definedName>
    <definedName name="HS210_Manual">#REF!</definedName>
    <definedName name="Hs280_Manual" localSheetId="8">#REF!</definedName>
    <definedName name="Hs280_Manual" localSheetId="9">'[19]ANALISIS PLANTA'!$F$1519</definedName>
    <definedName name="Hs280_Manual">#REF!</definedName>
    <definedName name="ilma" localSheetId="8">[24]M.O.!#REF!</definedName>
    <definedName name="ilma">[24]M.O.!#REF!</definedName>
    <definedName name="imocolocjuntas">[57]INSUMOS!$F$261</definedName>
    <definedName name="Impermeabilizante">[23]Insumos!$E$48</definedName>
    <definedName name="impresion_2" localSheetId="8">[61]Directos!#REF!</definedName>
    <definedName name="impresion_2">[61]Directos!#REF!</definedName>
    <definedName name="Imprimir_área_IM">[25]PRESUPUESTO!$A$1763:$L$1796</definedName>
    <definedName name="Imprimir_área_IM_6" localSheetId="8">#REF!</definedName>
    <definedName name="Imprimir_área_IM_6">#REF!</definedName>
    <definedName name="ingeniera" localSheetId="3">[62]M.O.!$C$10</definedName>
    <definedName name="ingeniera">[28]M.O.!$C$10</definedName>
    <definedName name="ingeniera_10" localSheetId="8">#REF!</definedName>
    <definedName name="ingeniera_10">#REF!</definedName>
    <definedName name="ingeniera_11" localSheetId="8">#REF!</definedName>
    <definedName name="ingeniera_11">#REF!</definedName>
    <definedName name="ingeniera_5" localSheetId="8">#REF!</definedName>
    <definedName name="ingeniera_5">#REF!</definedName>
    <definedName name="ingeniera_6" localSheetId="8">#REF!</definedName>
    <definedName name="ingeniera_6">#REF!</definedName>
    <definedName name="ingeniera_7" localSheetId="8">#REF!</definedName>
    <definedName name="ingeniera_7">#REF!</definedName>
    <definedName name="ingeniera_8" localSheetId="8">#REF!</definedName>
    <definedName name="ingeniera_8">#REF!</definedName>
    <definedName name="ingeniera_9" localSheetId="8">#REF!</definedName>
    <definedName name="ingeniera_9">#REF!</definedName>
    <definedName name="INODORO_BCO_TAPA" localSheetId="8">#REF!</definedName>
    <definedName name="INODORO_BCO_TAPA">#REF!</definedName>
    <definedName name="INODORO_BCO_TAPA_10" localSheetId="8">#REF!</definedName>
    <definedName name="INODORO_BCO_TAPA_10">#REF!</definedName>
    <definedName name="INODORO_BCO_TAPA_11" localSheetId="8">#REF!</definedName>
    <definedName name="INODORO_BCO_TAPA_11">#REF!</definedName>
    <definedName name="INODORO_BCO_TAPA_6" localSheetId="8">#REF!</definedName>
    <definedName name="INODORO_BCO_TAPA_6">#REF!</definedName>
    <definedName name="INODORO_BCO_TAPA_7" localSheetId="8">#REF!</definedName>
    <definedName name="INODORO_BCO_TAPA_7">#REF!</definedName>
    <definedName name="INODORO_BCO_TAPA_8" localSheetId="8">#REF!</definedName>
    <definedName name="INODORO_BCO_TAPA_8">#REF!</definedName>
    <definedName name="INODORO_BCO_TAPA_9" localSheetId="8">#REF!</definedName>
    <definedName name="INODORO_BCO_TAPA_9">#REF!</definedName>
    <definedName name="INS_HORMIGON_124">[63]HORM_MOR!$A$7:$D$7</definedName>
    <definedName name="instalacion.electrica.principal">[23]Resumen!$D$23</definedName>
    <definedName name="INSUMO_1">'[64]AC. LOS LIMONES ACERO '!$D$2</definedName>
    <definedName name="INSUMO_1_10" localSheetId="8">#REF!</definedName>
    <definedName name="INSUMO_1_10">#REF!</definedName>
    <definedName name="INSUMO_1_11" localSheetId="8">#REF!</definedName>
    <definedName name="INSUMO_1_11">#REF!</definedName>
    <definedName name="INSUMO_1_6" localSheetId="8">#REF!</definedName>
    <definedName name="INSUMO_1_6">#REF!</definedName>
    <definedName name="INSUMO_1_7" localSheetId="8">#REF!</definedName>
    <definedName name="INSUMO_1_7">#REF!</definedName>
    <definedName name="INSUMO_1_8" localSheetId="8">#REF!</definedName>
    <definedName name="INSUMO_1_8">#REF!</definedName>
    <definedName name="INSUMO_1_9" localSheetId="8">#REF!</definedName>
    <definedName name="INSUMO_1_9">#REF!</definedName>
    <definedName name="INTERRUPTOR_3w" localSheetId="8">#REF!</definedName>
    <definedName name="INTERRUPTOR_3w">#REF!</definedName>
    <definedName name="INTERRUPTOR_3w_10" localSheetId="8">#REF!</definedName>
    <definedName name="INTERRUPTOR_3w_10">#REF!</definedName>
    <definedName name="INTERRUPTOR_3w_11" localSheetId="8">#REF!</definedName>
    <definedName name="INTERRUPTOR_3w_11">#REF!</definedName>
    <definedName name="INTERRUPTOR_3w_6" localSheetId="8">#REF!</definedName>
    <definedName name="INTERRUPTOR_3w_6">#REF!</definedName>
    <definedName name="INTERRUPTOR_3w_7" localSheetId="8">#REF!</definedName>
    <definedName name="INTERRUPTOR_3w_7">#REF!</definedName>
    <definedName name="INTERRUPTOR_3w_8" localSheetId="8">#REF!</definedName>
    <definedName name="INTERRUPTOR_3w_8">#REF!</definedName>
    <definedName name="INTERRUPTOR_3w_9" localSheetId="8">#REF!</definedName>
    <definedName name="INTERRUPTOR_3w_9">#REF!</definedName>
    <definedName name="INTERRUPTOR_4w" localSheetId="8">#REF!</definedName>
    <definedName name="INTERRUPTOR_4w">#REF!</definedName>
    <definedName name="INTERRUPTOR_4w_10" localSheetId="8">#REF!</definedName>
    <definedName name="INTERRUPTOR_4w_10">#REF!</definedName>
    <definedName name="INTERRUPTOR_4w_11" localSheetId="8">#REF!</definedName>
    <definedName name="INTERRUPTOR_4w_11">#REF!</definedName>
    <definedName name="INTERRUPTOR_4w_6" localSheetId="8">#REF!</definedName>
    <definedName name="INTERRUPTOR_4w_6">#REF!</definedName>
    <definedName name="INTERRUPTOR_4w_7" localSheetId="8">#REF!</definedName>
    <definedName name="INTERRUPTOR_4w_7">#REF!</definedName>
    <definedName name="INTERRUPTOR_4w_8" localSheetId="8">#REF!</definedName>
    <definedName name="INTERRUPTOR_4w_8">#REF!</definedName>
    <definedName name="INTERRUPTOR_4w_9" localSheetId="8">#REF!</definedName>
    <definedName name="INTERRUPTOR_4w_9">#REF!</definedName>
    <definedName name="INTERRUPTOR_DOBLE" localSheetId="8">#REF!</definedName>
    <definedName name="INTERRUPTOR_DOBLE">#REF!</definedName>
    <definedName name="INTERRUPTOR_DOBLE_10" localSheetId="8">#REF!</definedName>
    <definedName name="INTERRUPTOR_DOBLE_10">#REF!</definedName>
    <definedName name="INTERRUPTOR_DOBLE_11" localSheetId="8">#REF!</definedName>
    <definedName name="INTERRUPTOR_DOBLE_11">#REF!</definedName>
    <definedName name="INTERRUPTOR_DOBLE_6" localSheetId="8">#REF!</definedName>
    <definedName name="INTERRUPTOR_DOBLE_6">#REF!</definedName>
    <definedName name="INTERRUPTOR_DOBLE_7" localSheetId="8">#REF!</definedName>
    <definedName name="INTERRUPTOR_DOBLE_7">#REF!</definedName>
    <definedName name="INTERRUPTOR_DOBLE_8" localSheetId="8">#REF!</definedName>
    <definedName name="INTERRUPTOR_DOBLE_8">#REF!</definedName>
    <definedName name="INTERRUPTOR_DOBLE_9" localSheetId="8">#REF!</definedName>
    <definedName name="INTERRUPTOR_DOBLE_9">#REF!</definedName>
    <definedName name="INTERRUPTOR_SENC" localSheetId="8">#REF!</definedName>
    <definedName name="INTERRUPTOR_SENC">#REF!</definedName>
    <definedName name="INTERRUPTOR_SENC_10" localSheetId="8">#REF!</definedName>
    <definedName name="INTERRUPTOR_SENC_10">#REF!</definedName>
    <definedName name="INTERRUPTOR_SENC_11" localSheetId="8">#REF!</definedName>
    <definedName name="INTERRUPTOR_SENC_11">#REF!</definedName>
    <definedName name="INTERRUPTOR_SENC_6" localSheetId="8">#REF!</definedName>
    <definedName name="INTERRUPTOR_SENC_6">#REF!</definedName>
    <definedName name="INTERRUPTOR_SENC_7" localSheetId="8">#REF!</definedName>
    <definedName name="INTERRUPTOR_SENC_7">#REF!</definedName>
    <definedName name="INTERRUPTOR_SENC_8" localSheetId="8">#REF!</definedName>
    <definedName name="INTERRUPTOR_SENC_8">#REF!</definedName>
    <definedName name="INTERRUPTOR_SENC_9" localSheetId="8">#REF!</definedName>
    <definedName name="INTERRUPTOR_SENC_9">#REF!</definedName>
    <definedName name="ITBIS">[65]Insumos!$G$2</definedName>
    <definedName name="IZAJE_3">"$#REF!.$#REF!$#REF!"</definedName>
    <definedName name="J" localSheetId="8">'[22]CUB-10181-3(Rescision)'!#REF!</definedName>
    <definedName name="J">'[22]CUB-10181-3(Rescision)'!#REF!</definedName>
    <definedName name="JOEL" localSheetId="8">#REF!</definedName>
    <definedName name="JOEL">#REF!</definedName>
    <definedName name="junta.water.stop">[51]Análisis!$D$1570</definedName>
    <definedName name="JUNTA_CERA_INODORO" localSheetId="8">#REF!</definedName>
    <definedName name="JUNTA_CERA_INODORO">#REF!</definedName>
    <definedName name="JUNTA_CERA_INODORO_10" localSheetId="8">#REF!</definedName>
    <definedName name="JUNTA_CERA_INODORO_10">#REF!</definedName>
    <definedName name="JUNTA_CERA_INODORO_11" localSheetId="8">#REF!</definedName>
    <definedName name="JUNTA_CERA_INODORO_11">#REF!</definedName>
    <definedName name="JUNTA_CERA_INODORO_6" localSheetId="8">#REF!</definedName>
    <definedName name="JUNTA_CERA_INODORO_6">#REF!</definedName>
    <definedName name="JUNTA_CERA_INODORO_7" localSheetId="8">#REF!</definedName>
    <definedName name="JUNTA_CERA_INODORO_7">#REF!</definedName>
    <definedName name="JUNTA_CERA_INODORO_8" localSheetId="8">#REF!</definedName>
    <definedName name="JUNTA_CERA_INODORO_8">#REF!</definedName>
    <definedName name="JUNTA_CERA_INODORO_9" localSheetId="8">#REF!</definedName>
    <definedName name="JUNTA_CERA_INODORO_9">#REF!</definedName>
    <definedName name="JUNTA_DRESSER_12" localSheetId="8">#REF!</definedName>
    <definedName name="JUNTA_DRESSER_12">#REF!</definedName>
    <definedName name="JUNTA_DRESSER_12_10" localSheetId="8">#REF!</definedName>
    <definedName name="JUNTA_DRESSER_12_10">#REF!</definedName>
    <definedName name="JUNTA_DRESSER_12_11" localSheetId="8">#REF!</definedName>
    <definedName name="JUNTA_DRESSER_12_11">#REF!</definedName>
    <definedName name="JUNTA_DRESSER_12_6" localSheetId="8">#REF!</definedName>
    <definedName name="JUNTA_DRESSER_12_6">#REF!</definedName>
    <definedName name="JUNTA_DRESSER_12_7" localSheetId="8">#REF!</definedName>
    <definedName name="JUNTA_DRESSER_12_7">#REF!</definedName>
    <definedName name="JUNTA_DRESSER_12_8" localSheetId="8">#REF!</definedName>
    <definedName name="JUNTA_DRESSER_12_8">#REF!</definedName>
    <definedName name="JUNTA_DRESSER_12_9" localSheetId="8">#REF!</definedName>
    <definedName name="JUNTA_DRESSER_12_9">#REF!</definedName>
    <definedName name="JUNTA_DRESSER_16" localSheetId="8">#REF!</definedName>
    <definedName name="JUNTA_DRESSER_16">#REF!</definedName>
    <definedName name="JUNTA_DRESSER_16_10" localSheetId="8">#REF!</definedName>
    <definedName name="JUNTA_DRESSER_16_10">#REF!</definedName>
    <definedName name="JUNTA_DRESSER_16_11" localSheetId="8">#REF!</definedName>
    <definedName name="JUNTA_DRESSER_16_11">#REF!</definedName>
    <definedName name="JUNTA_DRESSER_16_6" localSheetId="8">#REF!</definedName>
    <definedName name="JUNTA_DRESSER_16_6">#REF!</definedName>
    <definedName name="JUNTA_DRESSER_16_7" localSheetId="8">#REF!</definedName>
    <definedName name="JUNTA_DRESSER_16_7">#REF!</definedName>
    <definedName name="JUNTA_DRESSER_16_8" localSheetId="8">#REF!</definedName>
    <definedName name="JUNTA_DRESSER_16_8">#REF!</definedName>
    <definedName name="JUNTA_DRESSER_16_9" localSheetId="8">#REF!</definedName>
    <definedName name="JUNTA_DRESSER_16_9">#REF!</definedName>
    <definedName name="JUNTA_DRESSER_2" localSheetId="8">#REF!</definedName>
    <definedName name="JUNTA_DRESSER_2">#REF!</definedName>
    <definedName name="JUNTA_DRESSER_2_10" localSheetId="8">#REF!</definedName>
    <definedName name="JUNTA_DRESSER_2_10">#REF!</definedName>
    <definedName name="JUNTA_DRESSER_2_11" localSheetId="8">#REF!</definedName>
    <definedName name="JUNTA_DRESSER_2_11">#REF!</definedName>
    <definedName name="JUNTA_DRESSER_2_6" localSheetId="8">#REF!</definedName>
    <definedName name="JUNTA_DRESSER_2_6">#REF!</definedName>
    <definedName name="JUNTA_DRESSER_2_7" localSheetId="8">#REF!</definedName>
    <definedName name="JUNTA_DRESSER_2_7">#REF!</definedName>
    <definedName name="JUNTA_DRESSER_2_8" localSheetId="8">#REF!</definedName>
    <definedName name="JUNTA_DRESSER_2_8">#REF!</definedName>
    <definedName name="JUNTA_DRESSER_2_9" localSheetId="8">#REF!</definedName>
    <definedName name="JUNTA_DRESSER_2_9">#REF!</definedName>
    <definedName name="JUNTA_DRESSER_3" localSheetId="8">#REF!</definedName>
    <definedName name="JUNTA_DRESSER_3">#REF!</definedName>
    <definedName name="JUNTA_DRESSER_3_10" localSheetId="8">#REF!</definedName>
    <definedName name="JUNTA_DRESSER_3_10">#REF!</definedName>
    <definedName name="JUNTA_DRESSER_3_11" localSheetId="8">#REF!</definedName>
    <definedName name="JUNTA_DRESSER_3_11">#REF!</definedName>
    <definedName name="JUNTA_DRESSER_3_6" localSheetId="8">#REF!</definedName>
    <definedName name="JUNTA_DRESSER_3_6">#REF!</definedName>
    <definedName name="JUNTA_DRESSER_3_7" localSheetId="8">#REF!</definedName>
    <definedName name="JUNTA_DRESSER_3_7">#REF!</definedName>
    <definedName name="JUNTA_DRESSER_3_8" localSheetId="8">#REF!</definedName>
    <definedName name="JUNTA_DRESSER_3_8">#REF!</definedName>
    <definedName name="JUNTA_DRESSER_3_9" localSheetId="8">#REF!</definedName>
    <definedName name="JUNTA_DRESSER_3_9">#REF!</definedName>
    <definedName name="JUNTA_DRESSER_4" localSheetId="8">#REF!</definedName>
    <definedName name="JUNTA_DRESSER_4">#REF!</definedName>
    <definedName name="JUNTA_DRESSER_4_10" localSheetId="8">#REF!</definedName>
    <definedName name="JUNTA_DRESSER_4_10">#REF!</definedName>
    <definedName name="JUNTA_DRESSER_4_11" localSheetId="8">#REF!</definedName>
    <definedName name="JUNTA_DRESSER_4_11">#REF!</definedName>
    <definedName name="JUNTA_DRESSER_4_6" localSheetId="8">#REF!</definedName>
    <definedName name="JUNTA_DRESSER_4_6">#REF!</definedName>
    <definedName name="JUNTA_DRESSER_4_7" localSheetId="8">#REF!</definedName>
    <definedName name="JUNTA_DRESSER_4_7">#REF!</definedName>
    <definedName name="JUNTA_DRESSER_4_8" localSheetId="8">#REF!</definedName>
    <definedName name="JUNTA_DRESSER_4_8">#REF!</definedName>
    <definedName name="JUNTA_DRESSER_4_9" localSheetId="8">#REF!</definedName>
    <definedName name="JUNTA_DRESSER_4_9">#REF!</definedName>
    <definedName name="JUNTA_DRESSER_6" localSheetId="8">#REF!</definedName>
    <definedName name="JUNTA_DRESSER_6">#REF!</definedName>
    <definedName name="JUNTA_DRESSER_6_10" localSheetId="8">#REF!</definedName>
    <definedName name="JUNTA_DRESSER_6_10">#REF!</definedName>
    <definedName name="JUNTA_DRESSER_6_11" localSheetId="8">#REF!</definedName>
    <definedName name="JUNTA_DRESSER_6_11">#REF!</definedName>
    <definedName name="JUNTA_DRESSER_6_6" localSheetId="8">#REF!</definedName>
    <definedName name="JUNTA_DRESSER_6_6">#REF!</definedName>
    <definedName name="JUNTA_DRESSER_6_7" localSheetId="8">#REF!</definedName>
    <definedName name="JUNTA_DRESSER_6_7">#REF!</definedName>
    <definedName name="JUNTA_DRESSER_6_8" localSheetId="8">#REF!</definedName>
    <definedName name="JUNTA_DRESSER_6_8">#REF!</definedName>
    <definedName name="JUNTA_DRESSER_6_9" localSheetId="8">#REF!</definedName>
    <definedName name="JUNTA_DRESSER_6_9">#REF!</definedName>
    <definedName name="JUNTA_DRESSER_8" localSheetId="8">#REF!</definedName>
    <definedName name="JUNTA_DRESSER_8">#REF!</definedName>
    <definedName name="JUNTA_DRESSER_8_10" localSheetId="8">#REF!</definedName>
    <definedName name="JUNTA_DRESSER_8_10">#REF!</definedName>
    <definedName name="JUNTA_DRESSER_8_11" localSheetId="8">#REF!</definedName>
    <definedName name="JUNTA_DRESSER_8_11">#REF!</definedName>
    <definedName name="JUNTA_DRESSER_8_6" localSheetId="8">#REF!</definedName>
    <definedName name="JUNTA_DRESSER_8_6">#REF!</definedName>
    <definedName name="JUNTA_DRESSER_8_7" localSheetId="8">#REF!</definedName>
    <definedName name="JUNTA_DRESSER_8_7">#REF!</definedName>
    <definedName name="JUNTA_DRESSER_8_8" localSheetId="8">#REF!</definedName>
    <definedName name="JUNTA_DRESSER_8_8">#REF!</definedName>
    <definedName name="JUNTA_DRESSER_8_9" localSheetId="8">#REF!</definedName>
    <definedName name="JUNTA_DRESSER_8_9">#REF!</definedName>
    <definedName name="JUNTA_WATER_STOP_9" localSheetId="8">#REF!</definedName>
    <definedName name="JUNTA_WATER_STOP_9">#REF!</definedName>
    <definedName name="JUNTA_WATER_STOP_9_10" localSheetId="8">#REF!</definedName>
    <definedName name="JUNTA_WATER_STOP_9_10">#REF!</definedName>
    <definedName name="JUNTA_WATER_STOP_9_11" localSheetId="8">#REF!</definedName>
    <definedName name="JUNTA_WATER_STOP_9_11">#REF!</definedName>
    <definedName name="JUNTA_WATER_STOP_9_6" localSheetId="8">#REF!</definedName>
    <definedName name="JUNTA_WATER_STOP_9_6">#REF!</definedName>
    <definedName name="JUNTA_WATER_STOP_9_7" localSheetId="8">#REF!</definedName>
    <definedName name="JUNTA_WATER_STOP_9_7">#REF!</definedName>
    <definedName name="JUNTA_WATER_STOP_9_8" localSheetId="8">#REF!</definedName>
    <definedName name="JUNTA_WATER_STOP_9_8">#REF!</definedName>
    <definedName name="JUNTA_WATER_STOP_9_9" localSheetId="8">#REF!</definedName>
    <definedName name="JUNTA_WATER_STOP_9_9">#REF!</definedName>
    <definedName name="k" localSheetId="8">[24]M.O.!#REF!</definedName>
    <definedName name="k">[24]M.O.!#REF!</definedName>
    <definedName name="L_1" localSheetId="8">#REF!</definedName>
    <definedName name="L_1">#REF!</definedName>
    <definedName name="L_2" localSheetId="8">#REF!</definedName>
    <definedName name="L_2">#REF!</definedName>
    <definedName name="L_5" localSheetId="8">#REF!</definedName>
    <definedName name="L_5">#REF!</definedName>
    <definedName name="Ladrillos.2x4x8pulg.">[23]Insumos!$E$112</definedName>
    <definedName name="LADRILLOS_4x8x2" localSheetId="8">#REF!</definedName>
    <definedName name="LADRILLOS_4x8x2">#REF!</definedName>
    <definedName name="LADRILLOS_4x8x2_10" localSheetId="8">#REF!</definedName>
    <definedName name="LADRILLOS_4x8x2_10">#REF!</definedName>
    <definedName name="LADRILLOS_4x8x2_11" localSheetId="8">#REF!</definedName>
    <definedName name="LADRILLOS_4x8x2_11">#REF!</definedName>
    <definedName name="LADRILLOS_4x8x2_6" localSheetId="8">#REF!</definedName>
    <definedName name="LADRILLOS_4x8x2_6">#REF!</definedName>
    <definedName name="LADRILLOS_4x8x2_7" localSheetId="8">#REF!</definedName>
    <definedName name="LADRILLOS_4x8x2_7">#REF!</definedName>
    <definedName name="LADRILLOS_4x8x2_8" localSheetId="8">#REF!</definedName>
    <definedName name="LADRILLOS_4x8x2_8">#REF!</definedName>
    <definedName name="LADRILLOS_4x8x2_9" localSheetId="8">#REF!</definedName>
    <definedName name="LADRILLOS_4x8x2_9">#REF!</definedName>
    <definedName name="LAMPARA_FLUORESC_2x4" localSheetId="8">#REF!</definedName>
    <definedName name="LAMPARA_FLUORESC_2x4">#REF!</definedName>
    <definedName name="LAMPARA_FLUORESC_2x4_10" localSheetId="8">#REF!</definedName>
    <definedName name="LAMPARA_FLUORESC_2x4_10">#REF!</definedName>
    <definedName name="LAMPARA_FLUORESC_2x4_11" localSheetId="8">#REF!</definedName>
    <definedName name="LAMPARA_FLUORESC_2x4_11">#REF!</definedName>
    <definedName name="LAMPARA_FLUORESC_2x4_6" localSheetId="8">#REF!</definedName>
    <definedName name="LAMPARA_FLUORESC_2x4_6">#REF!</definedName>
    <definedName name="LAMPARA_FLUORESC_2x4_7" localSheetId="8">#REF!</definedName>
    <definedName name="LAMPARA_FLUORESC_2x4_7">#REF!</definedName>
    <definedName name="LAMPARA_FLUORESC_2x4_8" localSheetId="8">#REF!</definedName>
    <definedName name="LAMPARA_FLUORESC_2x4_8">#REF!</definedName>
    <definedName name="LAMPARA_FLUORESC_2x4_9" localSheetId="8">#REF!</definedName>
    <definedName name="LAMPARA_FLUORESC_2x4_9">#REF!</definedName>
    <definedName name="LAMPARAS_DE_1500W_220V" localSheetId="3">[31]INSU!$B$41</definedName>
    <definedName name="LAMPARAS_DE_1500W_220V">[32]INSU!$B$41</definedName>
    <definedName name="LAQUEAR_MADERA" localSheetId="8">#REF!</definedName>
    <definedName name="LAQUEAR_MADERA">#REF!</definedName>
    <definedName name="LAQUEAR_MADERA_10" localSheetId="8">#REF!</definedName>
    <definedName name="LAQUEAR_MADERA_10">#REF!</definedName>
    <definedName name="LAQUEAR_MADERA_11" localSheetId="8">#REF!</definedName>
    <definedName name="LAQUEAR_MADERA_11">#REF!</definedName>
    <definedName name="LAQUEAR_MADERA_6" localSheetId="8">#REF!</definedName>
    <definedName name="LAQUEAR_MADERA_6">#REF!</definedName>
    <definedName name="LAQUEAR_MADERA_7" localSheetId="8">#REF!</definedName>
    <definedName name="LAQUEAR_MADERA_7">#REF!</definedName>
    <definedName name="LAQUEAR_MADERA_8" localSheetId="8">#REF!</definedName>
    <definedName name="LAQUEAR_MADERA_8">#REF!</definedName>
    <definedName name="LAQUEAR_MADERA_9" localSheetId="8">#REF!</definedName>
    <definedName name="LAQUEAR_MADERA_9">#REF!</definedName>
    <definedName name="LAVADERO_DOBLE" localSheetId="8">#REF!</definedName>
    <definedName name="LAVADERO_DOBLE">#REF!</definedName>
    <definedName name="LAVADERO_DOBLE_10" localSheetId="8">#REF!</definedName>
    <definedName name="LAVADERO_DOBLE_10">#REF!</definedName>
    <definedName name="LAVADERO_DOBLE_11" localSheetId="8">#REF!</definedName>
    <definedName name="LAVADERO_DOBLE_11">#REF!</definedName>
    <definedName name="LAVADERO_DOBLE_6" localSheetId="8">#REF!</definedName>
    <definedName name="LAVADERO_DOBLE_6">#REF!</definedName>
    <definedName name="LAVADERO_DOBLE_7" localSheetId="8">#REF!</definedName>
    <definedName name="LAVADERO_DOBLE_7">#REF!</definedName>
    <definedName name="LAVADERO_DOBLE_8" localSheetId="8">#REF!</definedName>
    <definedName name="LAVADERO_DOBLE_8">#REF!</definedName>
    <definedName name="LAVADERO_DOBLE_9" localSheetId="8">#REF!</definedName>
    <definedName name="LAVADERO_DOBLE_9">#REF!</definedName>
    <definedName name="LAVADERO_GRANITO_SENCILLO" localSheetId="8">#REF!</definedName>
    <definedName name="LAVADERO_GRANITO_SENCILLO">#REF!</definedName>
    <definedName name="LAVADERO_GRANITO_SENCILLO_10" localSheetId="8">#REF!</definedName>
    <definedName name="LAVADERO_GRANITO_SENCILLO_10">#REF!</definedName>
    <definedName name="LAVADERO_GRANITO_SENCILLO_11" localSheetId="8">#REF!</definedName>
    <definedName name="LAVADERO_GRANITO_SENCILLO_11">#REF!</definedName>
    <definedName name="LAVADERO_GRANITO_SENCILLO_6" localSheetId="8">#REF!</definedName>
    <definedName name="LAVADERO_GRANITO_SENCILLO_6">#REF!</definedName>
    <definedName name="LAVADERO_GRANITO_SENCILLO_7" localSheetId="8">#REF!</definedName>
    <definedName name="LAVADERO_GRANITO_SENCILLO_7">#REF!</definedName>
    <definedName name="LAVADERO_GRANITO_SENCILLO_8" localSheetId="8">#REF!</definedName>
    <definedName name="LAVADERO_GRANITO_SENCILLO_8">#REF!</definedName>
    <definedName name="LAVADERO_GRANITO_SENCILLO_9" localSheetId="8">#REF!</definedName>
    <definedName name="LAVADERO_GRANITO_SENCILLO_9">#REF!</definedName>
    <definedName name="LAVAMANO_19x17_BCO" localSheetId="8">#REF!</definedName>
    <definedName name="LAVAMANO_19x17_BCO">#REF!</definedName>
    <definedName name="LAVAMANO_19x17_BCO_10" localSheetId="8">#REF!</definedName>
    <definedName name="LAVAMANO_19x17_BCO_10">#REF!</definedName>
    <definedName name="LAVAMANO_19x17_BCO_11" localSheetId="8">#REF!</definedName>
    <definedName name="LAVAMANO_19x17_BCO_11">#REF!</definedName>
    <definedName name="LAVAMANO_19x17_BCO_6" localSheetId="8">#REF!</definedName>
    <definedName name="LAVAMANO_19x17_BCO_6">#REF!</definedName>
    <definedName name="LAVAMANO_19x17_BCO_7" localSheetId="8">#REF!</definedName>
    <definedName name="LAVAMANO_19x17_BCO_7">#REF!</definedName>
    <definedName name="LAVAMANO_19x17_BCO_8" localSheetId="8">#REF!</definedName>
    <definedName name="LAVAMANO_19x17_BCO_8">#REF!</definedName>
    <definedName name="LAVAMANO_19x17_BCO_9" localSheetId="8">#REF!</definedName>
    <definedName name="LAVAMANO_19x17_BCO_9">#REF!</definedName>
    <definedName name="ligado_vaciado" localSheetId="8">#REF!</definedName>
    <definedName name="ligado_vaciado" localSheetId="9">'[19]ANALISIS PLANTA'!$F$92</definedName>
    <definedName name="ligado_vaciado">#REF!</definedName>
    <definedName name="Ligado_y_Vaciado_a_Mano">[17]Insumos!$B$136:$D$136</definedName>
    <definedName name="Ligadora2fdas" localSheetId="8">#REF!</definedName>
    <definedName name="Ligadora2fdas">#REF!</definedName>
    <definedName name="Ligadora2fdas_10" localSheetId="8">#REF!</definedName>
    <definedName name="Ligadora2fdas_10">#REF!</definedName>
    <definedName name="Ligadora2fdas_11" localSheetId="8">#REF!</definedName>
    <definedName name="Ligadora2fdas_11">#REF!</definedName>
    <definedName name="Ligadora2fdas_6" localSheetId="8">#REF!</definedName>
    <definedName name="Ligadora2fdas_6">#REF!</definedName>
    <definedName name="Ligadora2fdas_7" localSheetId="8">#REF!</definedName>
    <definedName name="Ligadora2fdas_7">#REF!</definedName>
    <definedName name="Ligadora2fdas_8" localSheetId="8">#REF!</definedName>
    <definedName name="Ligadora2fdas_8">#REF!</definedName>
    <definedName name="Ligadora2fdas_9" localSheetId="8">#REF!</definedName>
    <definedName name="Ligadora2fdas_9">#REF!</definedName>
    <definedName name="linea.impulsion.drenaje.sanitario">[23]Resumen!$D$29</definedName>
    <definedName name="LINEA_DE_CONDUC">#N/A</definedName>
    <definedName name="LINEA_DE_CONDUC_6">NA()</definedName>
    <definedName name="LLAVE_ANG_38" localSheetId="8">#REF!</definedName>
    <definedName name="LLAVE_ANG_38">#REF!</definedName>
    <definedName name="LLAVE_ANG_38_10" localSheetId="8">#REF!</definedName>
    <definedName name="LLAVE_ANG_38_10">#REF!</definedName>
    <definedName name="LLAVE_ANG_38_11" localSheetId="8">#REF!</definedName>
    <definedName name="LLAVE_ANG_38_11">#REF!</definedName>
    <definedName name="LLAVE_ANG_38_6" localSheetId="8">#REF!</definedName>
    <definedName name="LLAVE_ANG_38_6">#REF!</definedName>
    <definedName name="LLAVE_ANG_38_7" localSheetId="8">#REF!</definedName>
    <definedName name="LLAVE_ANG_38_7">#REF!</definedName>
    <definedName name="LLAVE_ANG_38_8" localSheetId="8">#REF!</definedName>
    <definedName name="LLAVE_ANG_38_8">#REF!</definedName>
    <definedName name="LLAVE_ANG_38_9" localSheetId="8">#REF!</definedName>
    <definedName name="LLAVE_ANG_38_9">#REF!</definedName>
    <definedName name="LLAVE_CHORRO" localSheetId="8">#REF!</definedName>
    <definedName name="LLAVE_CHORRO">#REF!</definedName>
    <definedName name="LLAVE_CHORRO_10" localSheetId="8">#REF!</definedName>
    <definedName name="LLAVE_CHORRO_10">#REF!</definedName>
    <definedName name="LLAVE_CHORRO_11" localSheetId="8">#REF!</definedName>
    <definedName name="LLAVE_CHORRO_11">#REF!</definedName>
    <definedName name="LLAVE_CHORRO_6" localSheetId="8">#REF!</definedName>
    <definedName name="LLAVE_CHORRO_6">#REF!</definedName>
    <definedName name="LLAVE_CHORRO_7" localSheetId="8">#REF!</definedName>
    <definedName name="LLAVE_CHORRO_7">#REF!</definedName>
    <definedName name="LLAVE_CHORRO_8" localSheetId="8">#REF!</definedName>
    <definedName name="LLAVE_CHORRO_8">#REF!</definedName>
    <definedName name="LLAVE_CHORRO_9" localSheetId="8">#REF!</definedName>
    <definedName name="LLAVE_CHORRO_9">#REF!</definedName>
    <definedName name="LLAVE_EMPOTRAR_CROMO_12" localSheetId="8">#REF!</definedName>
    <definedName name="LLAVE_EMPOTRAR_CROMO_12">#REF!</definedName>
    <definedName name="LLAVE_EMPOTRAR_CROMO_12_10" localSheetId="8">#REF!</definedName>
    <definedName name="LLAVE_EMPOTRAR_CROMO_12_10">#REF!</definedName>
    <definedName name="LLAVE_EMPOTRAR_CROMO_12_11" localSheetId="8">#REF!</definedName>
    <definedName name="LLAVE_EMPOTRAR_CROMO_12_11">#REF!</definedName>
    <definedName name="LLAVE_EMPOTRAR_CROMO_12_6" localSheetId="8">#REF!</definedName>
    <definedName name="LLAVE_EMPOTRAR_CROMO_12_6">#REF!</definedName>
    <definedName name="LLAVE_EMPOTRAR_CROMO_12_7" localSheetId="8">#REF!</definedName>
    <definedName name="LLAVE_EMPOTRAR_CROMO_12_7">#REF!</definedName>
    <definedName name="LLAVE_EMPOTRAR_CROMO_12_8" localSheetId="8">#REF!</definedName>
    <definedName name="LLAVE_EMPOTRAR_CROMO_12_8">#REF!</definedName>
    <definedName name="LLAVE_EMPOTRAR_CROMO_12_9" localSheetId="8">#REF!</definedName>
    <definedName name="LLAVE_EMPOTRAR_CROMO_12_9">#REF!</definedName>
    <definedName name="LLAVE_PASO_1" localSheetId="8">#REF!</definedName>
    <definedName name="LLAVE_PASO_1">#REF!</definedName>
    <definedName name="LLAVE_PASO_1_10" localSheetId="8">#REF!</definedName>
    <definedName name="LLAVE_PASO_1_10">#REF!</definedName>
    <definedName name="LLAVE_PASO_1_11" localSheetId="8">#REF!</definedName>
    <definedName name="LLAVE_PASO_1_11">#REF!</definedName>
    <definedName name="LLAVE_PASO_1_6" localSheetId="8">#REF!</definedName>
    <definedName name="LLAVE_PASO_1_6">#REF!</definedName>
    <definedName name="LLAVE_PASO_1_7" localSheetId="8">#REF!</definedName>
    <definedName name="LLAVE_PASO_1_7">#REF!</definedName>
    <definedName name="LLAVE_PASO_1_8" localSheetId="8">#REF!</definedName>
    <definedName name="LLAVE_PASO_1_8">#REF!</definedName>
    <definedName name="LLAVE_PASO_1_9" localSheetId="8">#REF!</definedName>
    <definedName name="LLAVE_PASO_1_9">#REF!</definedName>
    <definedName name="LLAVE_PASO_34" localSheetId="8">#REF!</definedName>
    <definedName name="LLAVE_PASO_34">#REF!</definedName>
    <definedName name="LLAVE_PASO_34_10" localSheetId="8">#REF!</definedName>
    <definedName name="LLAVE_PASO_34_10">#REF!</definedName>
    <definedName name="LLAVE_PASO_34_11" localSheetId="8">#REF!</definedName>
    <definedName name="LLAVE_PASO_34_11">#REF!</definedName>
    <definedName name="LLAVE_PASO_34_6" localSheetId="8">#REF!</definedName>
    <definedName name="LLAVE_PASO_34_6">#REF!</definedName>
    <definedName name="LLAVE_PASO_34_7" localSheetId="8">#REF!</definedName>
    <definedName name="LLAVE_PASO_34_7">#REF!</definedName>
    <definedName name="LLAVE_PASO_34_8" localSheetId="8">#REF!</definedName>
    <definedName name="LLAVE_PASO_34_8">#REF!</definedName>
    <definedName name="LLAVE_PASO_34_9" localSheetId="8">#REF!</definedName>
    <definedName name="LLAVE_PASO_34_9">#REF!</definedName>
    <definedName name="LLAVE_SENCILLA" localSheetId="8">#REF!</definedName>
    <definedName name="LLAVE_SENCILLA">#REF!</definedName>
    <definedName name="LLAVE_SENCILLA_10" localSheetId="8">#REF!</definedName>
    <definedName name="LLAVE_SENCILLA_10">#REF!</definedName>
    <definedName name="LLAVE_SENCILLA_11" localSheetId="8">#REF!</definedName>
    <definedName name="LLAVE_SENCILLA_11">#REF!</definedName>
    <definedName name="LLAVE_SENCILLA_6" localSheetId="8">#REF!</definedName>
    <definedName name="LLAVE_SENCILLA_6">#REF!</definedName>
    <definedName name="LLAVE_SENCILLA_7" localSheetId="8">#REF!</definedName>
    <definedName name="LLAVE_SENCILLA_7">#REF!</definedName>
    <definedName name="LLAVE_SENCILLA_8" localSheetId="8">#REF!</definedName>
    <definedName name="LLAVE_SENCILLA_8">#REF!</definedName>
    <definedName name="LLAVE_SENCILLA_9" localSheetId="8">#REF!</definedName>
    <definedName name="LLAVE_SENCILLA_9">#REF!</definedName>
    <definedName name="LLAVIN_PUERTA" localSheetId="8">#REF!</definedName>
    <definedName name="LLAVIN_PUERTA">#REF!</definedName>
    <definedName name="LLAVIN_PUERTA_10" localSheetId="8">#REF!</definedName>
    <definedName name="LLAVIN_PUERTA_10">#REF!</definedName>
    <definedName name="LLAVIN_PUERTA_11" localSheetId="8">#REF!</definedName>
    <definedName name="LLAVIN_PUERTA_11">#REF!</definedName>
    <definedName name="LLAVIN_PUERTA_6" localSheetId="8">#REF!</definedName>
    <definedName name="LLAVIN_PUERTA_6">#REF!</definedName>
    <definedName name="LLAVIN_PUERTA_7" localSheetId="8">#REF!</definedName>
    <definedName name="LLAVIN_PUERTA_7">#REF!</definedName>
    <definedName name="LLAVIN_PUERTA_8" localSheetId="8">#REF!</definedName>
    <definedName name="LLAVIN_PUERTA_8">#REF!</definedName>
    <definedName name="LLAVIN_PUERTA_9" localSheetId="8">#REF!</definedName>
    <definedName name="LLAVIN_PUERTA_9">#REF!</definedName>
    <definedName name="LLENADO_BLOQUES_20" localSheetId="8">#REF!</definedName>
    <definedName name="LLENADO_BLOQUES_20">#REF!</definedName>
    <definedName name="LLENADO_BLOQUES_20_10" localSheetId="8">#REF!</definedName>
    <definedName name="LLENADO_BLOQUES_20_10">#REF!</definedName>
    <definedName name="LLENADO_BLOQUES_20_11" localSheetId="8">#REF!</definedName>
    <definedName name="LLENADO_BLOQUES_20_11">#REF!</definedName>
    <definedName name="LLENADO_BLOQUES_20_6" localSheetId="8">#REF!</definedName>
    <definedName name="LLENADO_BLOQUES_20_6">#REF!</definedName>
    <definedName name="LLENADO_BLOQUES_20_7" localSheetId="8">#REF!</definedName>
    <definedName name="LLENADO_BLOQUES_20_7">#REF!</definedName>
    <definedName name="LLENADO_BLOQUES_20_8" localSheetId="8">#REF!</definedName>
    <definedName name="LLENADO_BLOQUES_20_8">#REF!</definedName>
    <definedName name="LLENADO_BLOQUES_20_9" localSheetId="8">#REF!</definedName>
    <definedName name="LLENADO_BLOQUES_20_9">#REF!</definedName>
    <definedName name="LLENADO_BLOQUES_40" localSheetId="8">#REF!</definedName>
    <definedName name="LLENADO_BLOQUES_40">#REF!</definedName>
    <definedName name="LLENADO_BLOQUES_40_10" localSheetId="8">#REF!</definedName>
    <definedName name="LLENADO_BLOQUES_40_10">#REF!</definedName>
    <definedName name="LLENADO_BLOQUES_40_11" localSheetId="8">#REF!</definedName>
    <definedName name="LLENADO_BLOQUES_40_11">#REF!</definedName>
    <definedName name="LLENADO_BLOQUES_40_6" localSheetId="8">#REF!</definedName>
    <definedName name="LLENADO_BLOQUES_40_6">#REF!</definedName>
    <definedName name="LLENADO_BLOQUES_40_7" localSheetId="8">#REF!</definedName>
    <definedName name="LLENADO_BLOQUES_40_7">#REF!</definedName>
    <definedName name="LLENADO_BLOQUES_40_8" localSheetId="8">#REF!</definedName>
    <definedName name="LLENADO_BLOQUES_40_8">#REF!</definedName>
    <definedName name="LLENADO_BLOQUES_40_9" localSheetId="8">#REF!</definedName>
    <definedName name="LLENADO_BLOQUES_40_9">#REF!</definedName>
    <definedName name="LLENADO_BLOQUES_60" localSheetId="8">#REF!</definedName>
    <definedName name="LLENADO_BLOQUES_60">#REF!</definedName>
    <definedName name="LLENADO_BLOQUES_60_10" localSheetId="8">#REF!</definedName>
    <definedName name="LLENADO_BLOQUES_60_10">#REF!</definedName>
    <definedName name="LLENADO_BLOQUES_60_11" localSheetId="8">#REF!</definedName>
    <definedName name="LLENADO_BLOQUES_60_11">#REF!</definedName>
    <definedName name="LLENADO_BLOQUES_60_6" localSheetId="8">#REF!</definedName>
    <definedName name="LLENADO_BLOQUES_60_6">#REF!</definedName>
    <definedName name="LLENADO_BLOQUES_60_7" localSheetId="8">#REF!</definedName>
    <definedName name="LLENADO_BLOQUES_60_7">#REF!</definedName>
    <definedName name="LLENADO_BLOQUES_60_8" localSheetId="8">#REF!</definedName>
    <definedName name="LLENADO_BLOQUES_60_8">#REF!</definedName>
    <definedName name="LLENADO_BLOQUES_60_9" localSheetId="8">#REF!</definedName>
    <definedName name="LLENADO_BLOQUES_60_9">#REF!</definedName>
    <definedName name="LLENADO_BLOQUES_80" localSheetId="8">#REF!</definedName>
    <definedName name="LLENADO_BLOQUES_80">#REF!</definedName>
    <definedName name="LLENADO_BLOQUES_80_10" localSheetId="8">#REF!</definedName>
    <definedName name="LLENADO_BLOQUES_80_10">#REF!</definedName>
    <definedName name="LLENADO_BLOQUES_80_11" localSheetId="8">#REF!</definedName>
    <definedName name="LLENADO_BLOQUES_80_11">#REF!</definedName>
    <definedName name="LLENADO_BLOQUES_80_6" localSheetId="8">#REF!</definedName>
    <definedName name="LLENADO_BLOQUES_80_6">#REF!</definedName>
    <definedName name="LLENADO_BLOQUES_80_7" localSheetId="8">#REF!</definedName>
    <definedName name="LLENADO_BLOQUES_80_7">#REF!</definedName>
    <definedName name="LLENADO_BLOQUES_80_8" localSheetId="8">#REF!</definedName>
    <definedName name="LLENADO_BLOQUES_80_8">#REF!</definedName>
    <definedName name="LLENADO_BLOQUES_80_9" localSheetId="8">#REF!</definedName>
    <definedName name="LLENADO_BLOQUES_80_9">#REF!</definedName>
    <definedName name="losa.de.piso.10cm.m2">[49]Análisis!$D$242</definedName>
    <definedName name="Losa.Fondo">[23]Análisis!$D$241</definedName>
    <definedName name="losa.fundacion.20cm">[49]Análisis!$D$503</definedName>
    <definedName name="Losa.Piso.0.08">[23]Análisis!$D$274</definedName>
    <definedName name="Losa.piso.8cm">[39]Análisis!$N$439</definedName>
    <definedName name="Losa.techo.Inclinada">[23]Análisis!$D$256</definedName>
    <definedName name="LOSA12" localSheetId="8">#REF!</definedName>
    <definedName name="LOSA12">#REF!</definedName>
    <definedName name="LOSA12_6" localSheetId="8">#REF!</definedName>
    <definedName name="LOSA12_6">#REF!</definedName>
    <definedName name="LOSA20" localSheetId="8">#REF!</definedName>
    <definedName name="LOSA20">#REF!</definedName>
    <definedName name="LOSA20_6" localSheetId="8">#REF!</definedName>
    <definedName name="LOSA20_6">#REF!</definedName>
    <definedName name="LOSA30" localSheetId="8">#REF!</definedName>
    <definedName name="LOSA30">#REF!</definedName>
    <definedName name="LOSA30_6" localSheetId="8">#REF!</definedName>
    <definedName name="LOSA30_6">#REF!</definedName>
    <definedName name="M.O._acero">'[18]LISTA DE PRECIO'!$C$12</definedName>
    <definedName name="M.O._acero_malla">'[18]LISTA DE PRECIO'!$C$13</definedName>
    <definedName name="M.O.Colocacion_de_Panel_Plastbau">'[18]LISTA DE PRECIO'!$C$14</definedName>
    <definedName name="M.o.granito.en.piso">[23]Insumos!$E$91</definedName>
    <definedName name="M.O.Pintura.Int.">'[50]Costos Mano de Obra'!$O$52</definedName>
    <definedName name="M_O_Armadura_Columna">[17]Insumos!$B$78:$D$78</definedName>
    <definedName name="M_O_Armadura_Dintel_y_Viga">[17]Insumos!$B$79:$D$79</definedName>
    <definedName name="M_O_Cantos">[17]Insumos!$B$99:$D$99</definedName>
    <definedName name="M_O_Carpintero_2da._Categoría">[17]Insumos!$B$96:$D$96</definedName>
    <definedName name="M_O_Cerámica_Italiana_en_Pared">[17]Insumos!$B$102:$D$102</definedName>
    <definedName name="M_O_Colocación_Adoquines">[17]Insumos!$B$104:$D$104</definedName>
    <definedName name="M_O_Colocación_de_Bloques_de_4">[17]Insumos!$B$105:$D$105</definedName>
    <definedName name="M_O_Colocación_de_Bloques_de_6">[17]Insumos!$B$106:$D$106</definedName>
    <definedName name="M_O_Colocación_de_Bloques_de_8">[17]Insumos!$B$107:$D$107</definedName>
    <definedName name="M_O_Colocación_Listelos">[17]Insumos!$B$114:$D$114</definedName>
    <definedName name="M_O_Colocación_Piso_Cerámica_Criolla">[17]Insumos!$B$108:$D$108</definedName>
    <definedName name="M_O_Colocación_Piso_de_Granito_40_X_40">[17]Insumos!$B$111:$D$111</definedName>
    <definedName name="M_O_Colocación_Zócalos_de_Cerámica">[17]Insumos!$B$113:$D$113</definedName>
    <definedName name="M_O_Confección_de_Andamios">[17]Insumos!$B$115:$D$115</definedName>
    <definedName name="M_O_Construcción_Acera_Frotada_y_Violinada">[17]Insumos!$B$116:$D$116</definedName>
    <definedName name="M_O_Corte_y_Amarre_de_Varilla">[17]Insumos!$B$119:$D$119</definedName>
    <definedName name="M_O_Elaboración_Trampa_de_Grasa">[17]Insumos!$B$121:$D$121</definedName>
    <definedName name="M_O_Fino_de_Techo_Inclinado">[17]Insumos!$B$83:$D$83</definedName>
    <definedName name="M_O_Fino_de_Techo_Plano">[17]Insumos!$B$84:$D$84</definedName>
    <definedName name="M_O_Llenado_de_huecos">[17]Insumos!$B$86:$D$86</definedName>
    <definedName name="M_O_Maestro">[17]Insumos!$B$87:$D$87</definedName>
    <definedName name="M_O_Pañete_Maestreado_Exterior">[17]Insumos!$B$91:$D$91</definedName>
    <definedName name="M_O_Pañete_Maestreado_Interior">[17]Insumos!$B$92:$D$92</definedName>
    <definedName name="M_O_Preparación_del_Terreno">[17]Insumos!$B$94:$D$94</definedName>
    <definedName name="M_O_Quintal_Trabajado">[17]Insumos!$B$77:$D$77</definedName>
    <definedName name="M_O_Regado__Compactación__Mojado__Trasl.Mat.__A_M">[17]Insumos!$B$132:$D$132</definedName>
    <definedName name="M_O_Subida_de_Materiales">[17]Insumos!$B$95:$D$95</definedName>
    <definedName name="M_O_Técnico_Calificado">[17]Insumos!$B$149:$D$149</definedName>
    <definedName name="M_O_Zabaletas">[17]Insumos!$B$98:$D$98</definedName>
    <definedName name="m2ceramica">'[40]Analisis Unit. '!$F$47</definedName>
    <definedName name="m3arena">'[40]Analisis Unit. '!$F$41</definedName>
    <definedName name="m3arepanete">'[40]Analisis Unit. '!$F$44</definedName>
    <definedName name="m3grava">'[40]Analisis Unit. '!$F$42</definedName>
    <definedName name="MA">[24]M.O.!$C$10</definedName>
    <definedName name="MA_10" localSheetId="8">#REF!</definedName>
    <definedName name="MA_10">#REF!</definedName>
    <definedName name="MA_11" localSheetId="8">#REF!</definedName>
    <definedName name="MA_11">#REF!</definedName>
    <definedName name="MA_6" localSheetId="8">#REF!</definedName>
    <definedName name="MA_6">#REF!</definedName>
    <definedName name="MA_7" localSheetId="8">#REF!</definedName>
    <definedName name="MA_7">#REF!</definedName>
    <definedName name="MA_8" localSheetId="8">#REF!</definedName>
    <definedName name="MA_8">#REF!</definedName>
    <definedName name="MA_9" localSheetId="8">#REF!</definedName>
    <definedName name="MA_9">#REF!</definedName>
    <definedName name="MACHETE" localSheetId="8">#REF!</definedName>
    <definedName name="MACHETE">#REF!</definedName>
    <definedName name="MACHETE_10" localSheetId="8">#REF!</definedName>
    <definedName name="MACHETE_10">#REF!</definedName>
    <definedName name="MACHETE_11" localSheetId="8">#REF!</definedName>
    <definedName name="MACHETE_11">#REF!</definedName>
    <definedName name="MACHETE_6" localSheetId="8">#REF!</definedName>
    <definedName name="MACHETE_6">#REF!</definedName>
    <definedName name="MACHETE_7" localSheetId="8">#REF!</definedName>
    <definedName name="MACHETE_7">#REF!</definedName>
    <definedName name="MACHETE_8" localSheetId="8">#REF!</definedName>
    <definedName name="MACHETE_8">#REF!</definedName>
    <definedName name="MACHETE_9" localSheetId="8">#REF!</definedName>
    <definedName name="MACHETE_9">#REF!</definedName>
    <definedName name="MACO" localSheetId="8">#REF!</definedName>
    <definedName name="MACO">#REF!</definedName>
    <definedName name="MACO_10" localSheetId="8">#REF!</definedName>
    <definedName name="MACO_10">#REF!</definedName>
    <definedName name="MACO_11" localSheetId="8">#REF!</definedName>
    <definedName name="MACO_11">#REF!</definedName>
    <definedName name="MACO_6" localSheetId="8">#REF!</definedName>
    <definedName name="MACO_6">#REF!</definedName>
    <definedName name="MACO_7" localSheetId="8">#REF!</definedName>
    <definedName name="MACO_7">#REF!</definedName>
    <definedName name="MACO_8" localSheetId="8">#REF!</definedName>
    <definedName name="MACO_8">#REF!</definedName>
    <definedName name="MACO_9" localSheetId="8">#REF!</definedName>
    <definedName name="MACO_9">#REF!</definedName>
    <definedName name="Madera_P2" localSheetId="8">#REF!</definedName>
    <definedName name="Madera_P2" localSheetId="3">[20]INSU!$D$132</definedName>
    <definedName name="Madera_P2">#REF!</definedName>
    <definedName name="Madera_P2_10" localSheetId="8">#REF!</definedName>
    <definedName name="Madera_P2_10">#REF!</definedName>
    <definedName name="Madera_P2_11" localSheetId="8">#REF!</definedName>
    <definedName name="Madera_P2_11">#REF!</definedName>
    <definedName name="Madera_P2_5" localSheetId="8">#REF!</definedName>
    <definedName name="Madera_P2_5">#REF!</definedName>
    <definedName name="Madera_P2_6" localSheetId="8">#REF!</definedName>
    <definedName name="Madera_P2_6">#REF!</definedName>
    <definedName name="Madera_P2_7" localSheetId="8">#REF!</definedName>
    <definedName name="Madera_P2_7">#REF!</definedName>
    <definedName name="Madera_P2_8" localSheetId="8">#REF!</definedName>
    <definedName name="Madera_P2_8">#REF!</definedName>
    <definedName name="Madera_P2_9" localSheetId="8">#REF!</definedName>
    <definedName name="Madera_P2_9">#REF!</definedName>
    <definedName name="madera_p2_bruta_01" localSheetId="8">#REF!</definedName>
    <definedName name="madera_p2_bruta_01">#REF!</definedName>
    <definedName name="maderabrutapino" localSheetId="8">#REF!</definedName>
    <definedName name="maderabrutapino">#REF!</definedName>
    <definedName name="maderabrutapino_8" localSheetId="8">#REF!</definedName>
    <definedName name="maderabrutapino_8">#REF!</definedName>
    <definedName name="MADERAC">[7]insumo!$D$28</definedName>
    <definedName name="Maestro" localSheetId="8">#REF!</definedName>
    <definedName name="Maestro">#REF!</definedName>
    <definedName name="Maestro_10" localSheetId="8">#REF!</definedName>
    <definedName name="Maestro_10">#REF!</definedName>
    <definedName name="Maestro_11" localSheetId="8">#REF!</definedName>
    <definedName name="Maestro_11">#REF!</definedName>
    <definedName name="Maestro_6" localSheetId="8">#REF!</definedName>
    <definedName name="Maestro_6">#REF!</definedName>
    <definedName name="Maestro_7" localSheetId="8">#REF!</definedName>
    <definedName name="Maestro_7">#REF!</definedName>
    <definedName name="Maestro_8" localSheetId="8">#REF!</definedName>
    <definedName name="Maestro_8">#REF!</definedName>
    <definedName name="Maestro_9" localSheetId="8">#REF!</definedName>
    <definedName name="Maestro_9">#REF!</definedName>
    <definedName name="MAESTROCARP" localSheetId="8">[21]INS!#REF!</definedName>
    <definedName name="MAESTROCARP">[21]INS!#REF!</definedName>
    <definedName name="MAESTROCARP_6" localSheetId="8">#REF!</definedName>
    <definedName name="MAESTROCARP_6">#REF!</definedName>
    <definedName name="MAESTROCARP_8" localSheetId="8">#REF!</definedName>
    <definedName name="MAESTROCARP_8">#REF!</definedName>
    <definedName name="MALLA_ABRAZ_1_12" localSheetId="8">#REF!</definedName>
    <definedName name="MALLA_ABRAZ_1_12">#REF!</definedName>
    <definedName name="MALLA_ABRAZ_1_12_10" localSheetId="8">#REF!</definedName>
    <definedName name="MALLA_ABRAZ_1_12_10">#REF!</definedName>
    <definedName name="MALLA_ABRAZ_1_12_11" localSheetId="8">#REF!</definedName>
    <definedName name="MALLA_ABRAZ_1_12_11">#REF!</definedName>
    <definedName name="MALLA_ABRAZ_1_12_6" localSheetId="8">#REF!</definedName>
    <definedName name="MALLA_ABRAZ_1_12_6">#REF!</definedName>
    <definedName name="MALLA_ABRAZ_1_12_7" localSheetId="8">#REF!</definedName>
    <definedName name="MALLA_ABRAZ_1_12_7">#REF!</definedName>
    <definedName name="MALLA_ABRAZ_1_12_8" localSheetId="8">#REF!</definedName>
    <definedName name="MALLA_ABRAZ_1_12_8">#REF!</definedName>
    <definedName name="MALLA_ABRAZ_1_12_9" localSheetId="8">#REF!</definedName>
    <definedName name="MALLA_ABRAZ_1_12_9">#REF!</definedName>
    <definedName name="MALLA_AL_GALVANIZADO" localSheetId="8">#REF!</definedName>
    <definedName name="MALLA_AL_GALVANIZADO">#REF!</definedName>
    <definedName name="MALLA_AL_GALVANIZADO_10" localSheetId="8">#REF!</definedName>
    <definedName name="MALLA_AL_GALVANIZADO_10">#REF!</definedName>
    <definedName name="MALLA_AL_GALVANIZADO_11" localSheetId="8">#REF!</definedName>
    <definedName name="MALLA_AL_GALVANIZADO_11">#REF!</definedName>
    <definedName name="MALLA_AL_GALVANIZADO_6" localSheetId="8">#REF!</definedName>
    <definedName name="MALLA_AL_GALVANIZADO_6">#REF!</definedName>
    <definedName name="MALLA_AL_GALVANIZADO_7" localSheetId="8">#REF!</definedName>
    <definedName name="MALLA_AL_GALVANIZADO_7">#REF!</definedName>
    <definedName name="MALLA_AL_GALVANIZADO_8" localSheetId="8">#REF!</definedName>
    <definedName name="MALLA_AL_GALVANIZADO_8">#REF!</definedName>
    <definedName name="MALLA_AL_GALVANIZADO_9" localSheetId="8">#REF!</definedName>
    <definedName name="MALLA_AL_GALVANIZADO_9">#REF!</definedName>
    <definedName name="MALLA_AL_PUAS" localSheetId="8">#REF!</definedName>
    <definedName name="MALLA_AL_PUAS">#REF!</definedName>
    <definedName name="MALLA_AL_PUAS_10" localSheetId="8">#REF!</definedName>
    <definedName name="MALLA_AL_PUAS_10">#REF!</definedName>
    <definedName name="MALLA_AL_PUAS_11" localSheetId="8">#REF!</definedName>
    <definedName name="MALLA_AL_PUAS_11">#REF!</definedName>
    <definedName name="MALLA_AL_PUAS_6" localSheetId="8">#REF!</definedName>
    <definedName name="MALLA_AL_PUAS_6">#REF!</definedName>
    <definedName name="MALLA_AL_PUAS_7" localSheetId="8">#REF!</definedName>
    <definedName name="MALLA_AL_PUAS_7">#REF!</definedName>
    <definedName name="MALLA_AL_PUAS_8" localSheetId="8">#REF!</definedName>
    <definedName name="MALLA_AL_PUAS_8">#REF!</definedName>
    <definedName name="MALLA_AL_PUAS_9" localSheetId="8">#REF!</definedName>
    <definedName name="MALLA_AL_PUAS_9">#REF!</definedName>
    <definedName name="MALLA_BARRA_TENZORA" localSheetId="8">#REF!</definedName>
    <definedName name="MALLA_BARRA_TENZORA">#REF!</definedName>
    <definedName name="MALLA_BARRA_TENZORA_10" localSheetId="8">#REF!</definedName>
    <definedName name="MALLA_BARRA_TENZORA_10">#REF!</definedName>
    <definedName name="MALLA_BARRA_TENZORA_11" localSheetId="8">#REF!</definedName>
    <definedName name="MALLA_BARRA_TENZORA_11">#REF!</definedName>
    <definedName name="MALLA_BARRA_TENZORA_6" localSheetId="8">#REF!</definedName>
    <definedName name="MALLA_BARRA_TENZORA_6">#REF!</definedName>
    <definedName name="MALLA_BARRA_TENZORA_7" localSheetId="8">#REF!</definedName>
    <definedName name="MALLA_BARRA_TENZORA_7">#REF!</definedName>
    <definedName name="MALLA_BARRA_TENZORA_8" localSheetId="8">#REF!</definedName>
    <definedName name="MALLA_BARRA_TENZORA_8">#REF!</definedName>
    <definedName name="MALLA_BARRA_TENZORA_9" localSheetId="8">#REF!</definedName>
    <definedName name="MALLA_BARRA_TENZORA_9">#REF!</definedName>
    <definedName name="MALLA_BOTE" localSheetId="8">#REF!</definedName>
    <definedName name="MALLA_BOTE">#REF!</definedName>
    <definedName name="MALLA_BOTE_10" localSheetId="8">#REF!</definedName>
    <definedName name="MALLA_BOTE_10">#REF!</definedName>
    <definedName name="MALLA_BOTE_11" localSheetId="8">#REF!</definedName>
    <definedName name="MALLA_BOTE_11">#REF!</definedName>
    <definedName name="MALLA_BOTE_6" localSheetId="8">#REF!</definedName>
    <definedName name="MALLA_BOTE_6">#REF!</definedName>
    <definedName name="MALLA_BOTE_7" localSheetId="8">#REF!</definedName>
    <definedName name="MALLA_BOTE_7">#REF!</definedName>
    <definedName name="MALLA_BOTE_8" localSheetId="8">#REF!</definedName>
    <definedName name="MALLA_BOTE_8">#REF!</definedName>
    <definedName name="MALLA_BOTE_9" localSheetId="8">#REF!</definedName>
    <definedName name="MALLA_BOTE_9">#REF!</definedName>
    <definedName name="MALLA_CARP_COLS" localSheetId="8">#REF!</definedName>
    <definedName name="MALLA_CARP_COLS">#REF!</definedName>
    <definedName name="MALLA_CARP_COLS_10" localSheetId="8">#REF!</definedName>
    <definedName name="MALLA_CARP_COLS_10">#REF!</definedName>
    <definedName name="MALLA_CARP_COLS_11" localSheetId="8">#REF!</definedName>
    <definedName name="MALLA_CARP_COLS_11">#REF!</definedName>
    <definedName name="MALLA_CARP_COLS_6" localSheetId="8">#REF!</definedName>
    <definedName name="MALLA_CARP_COLS_6">#REF!</definedName>
    <definedName name="MALLA_CARP_COLS_7" localSheetId="8">#REF!</definedName>
    <definedName name="MALLA_CARP_COLS_7">#REF!</definedName>
    <definedName name="MALLA_CARP_COLS_8" localSheetId="8">#REF!</definedName>
    <definedName name="MALLA_CARP_COLS_8">#REF!</definedName>
    <definedName name="MALLA_CARP_COLS_9" localSheetId="8">#REF!</definedName>
    <definedName name="MALLA_CARP_COLS_9">#REF!</definedName>
    <definedName name="MALLA_CICLONICA_6" localSheetId="8">#REF!</definedName>
    <definedName name="MALLA_CICLONICA_6">#REF!</definedName>
    <definedName name="MALLA_CICLONICA_6_10" localSheetId="8">#REF!</definedName>
    <definedName name="MALLA_CICLONICA_6_10">#REF!</definedName>
    <definedName name="MALLA_CICLONICA_6_11" localSheetId="8">#REF!</definedName>
    <definedName name="MALLA_CICLONICA_6_11">#REF!</definedName>
    <definedName name="MALLA_CICLONICA_6_6" localSheetId="8">#REF!</definedName>
    <definedName name="MALLA_CICLONICA_6_6">#REF!</definedName>
    <definedName name="MALLA_CICLONICA_6_7" localSheetId="8">#REF!</definedName>
    <definedName name="MALLA_CICLONICA_6_7">#REF!</definedName>
    <definedName name="MALLA_CICLONICA_6_8" localSheetId="8">#REF!</definedName>
    <definedName name="MALLA_CICLONICA_6_8">#REF!</definedName>
    <definedName name="MALLA_CICLONICA_6_9" localSheetId="8">#REF!</definedName>
    <definedName name="MALLA_CICLONICA_6_9">#REF!</definedName>
    <definedName name="MALLA_COLOC_6" localSheetId="8">#REF!</definedName>
    <definedName name="MALLA_COLOC_6">#REF!</definedName>
    <definedName name="MALLA_COLOC_6_10" localSheetId="8">#REF!</definedName>
    <definedName name="MALLA_COLOC_6_10">#REF!</definedName>
    <definedName name="MALLA_COLOC_6_11" localSheetId="8">#REF!</definedName>
    <definedName name="MALLA_COLOC_6_11">#REF!</definedName>
    <definedName name="MALLA_COLOC_6_6" localSheetId="8">#REF!</definedName>
    <definedName name="MALLA_COLOC_6_6">#REF!</definedName>
    <definedName name="MALLA_COLOC_6_7" localSheetId="8">#REF!</definedName>
    <definedName name="MALLA_COLOC_6_7">#REF!</definedName>
    <definedName name="MALLA_COLOC_6_8" localSheetId="8">#REF!</definedName>
    <definedName name="MALLA_COLOC_6_8">#REF!</definedName>
    <definedName name="MALLA_COLOC_6_9" localSheetId="8">#REF!</definedName>
    <definedName name="MALLA_COLOC_6_9">#REF!</definedName>
    <definedName name="MALLA_COPAFINAL_1_12" localSheetId="8">#REF!</definedName>
    <definedName name="MALLA_COPAFINAL_1_12">#REF!</definedName>
    <definedName name="MALLA_COPAFINAL_1_12_10" localSheetId="8">#REF!</definedName>
    <definedName name="MALLA_COPAFINAL_1_12_10">#REF!</definedName>
    <definedName name="MALLA_COPAFINAL_1_12_11" localSheetId="8">#REF!</definedName>
    <definedName name="MALLA_COPAFINAL_1_12_11">#REF!</definedName>
    <definedName name="MALLA_COPAFINAL_1_12_6" localSheetId="8">#REF!</definedName>
    <definedName name="MALLA_COPAFINAL_1_12_6">#REF!</definedName>
    <definedName name="MALLA_COPAFINAL_1_12_7" localSheetId="8">#REF!</definedName>
    <definedName name="MALLA_COPAFINAL_1_12_7">#REF!</definedName>
    <definedName name="MALLA_COPAFINAL_1_12_8" localSheetId="8">#REF!</definedName>
    <definedName name="MALLA_COPAFINAL_1_12_8">#REF!</definedName>
    <definedName name="MALLA_COPAFINAL_1_12_9" localSheetId="8">#REF!</definedName>
    <definedName name="MALLA_COPAFINAL_1_12_9">#REF!</definedName>
    <definedName name="MALLA_COPAFINAL_2" localSheetId="8">#REF!</definedName>
    <definedName name="MALLA_COPAFINAL_2">#REF!</definedName>
    <definedName name="MALLA_COPAFINAL_2_10" localSheetId="8">#REF!</definedName>
    <definedName name="MALLA_COPAFINAL_2_10">#REF!</definedName>
    <definedName name="MALLA_COPAFINAL_2_11" localSheetId="8">#REF!</definedName>
    <definedName name="MALLA_COPAFINAL_2_11">#REF!</definedName>
    <definedName name="MALLA_COPAFINAL_2_6" localSheetId="8">#REF!</definedName>
    <definedName name="MALLA_COPAFINAL_2_6">#REF!</definedName>
    <definedName name="MALLA_COPAFINAL_2_7" localSheetId="8">#REF!</definedName>
    <definedName name="MALLA_COPAFINAL_2_7">#REF!</definedName>
    <definedName name="MALLA_COPAFINAL_2_8" localSheetId="8">#REF!</definedName>
    <definedName name="MALLA_COPAFINAL_2_8">#REF!</definedName>
    <definedName name="MALLA_COPAFINAL_2_9" localSheetId="8">#REF!</definedName>
    <definedName name="MALLA_COPAFINAL_2_9">#REF!</definedName>
    <definedName name="MALLA_CORTE_ABR" localSheetId="8">#REF!</definedName>
    <definedName name="MALLA_CORTE_ABR">#REF!</definedName>
    <definedName name="MALLA_CORTE_ABR_10" localSheetId="8">#REF!</definedName>
    <definedName name="MALLA_CORTE_ABR_10">#REF!</definedName>
    <definedName name="MALLA_CORTE_ABR_11" localSheetId="8">#REF!</definedName>
    <definedName name="MALLA_CORTE_ABR_11">#REF!</definedName>
    <definedName name="MALLA_CORTE_ABR_6" localSheetId="8">#REF!</definedName>
    <definedName name="MALLA_CORTE_ABR_6">#REF!</definedName>
    <definedName name="MALLA_CORTE_ABR_7" localSheetId="8">#REF!</definedName>
    <definedName name="MALLA_CORTE_ABR_7">#REF!</definedName>
    <definedName name="MALLA_CORTE_ABR_8" localSheetId="8">#REF!</definedName>
    <definedName name="MALLA_CORTE_ABR_8">#REF!</definedName>
    <definedName name="MALLA_CORTE_ABR_9" localSheetId="8">#REF!</definedName>
    <definedName name="MALLA_CORTE_ABR_9">#REF!</definedName>
    <definedName name="Malla_Electrosoldada_10x10" localSheetId="8">#REF!</definedName>
    <definedName name="Malla_Electrosoldada_10x10">#REF!</definedName>
    <definedName name="Malla_Electrosoldada_10x10_10" localSheetId="8">#REF!</definedName>
    <definedName name="Malla_Electrosoldada_10x10_10">#REF!</definedName>
    <definedName name="Malla_Electrosoldada_10x10_11" localSheetId="8">#REF!</definedName>
    <definedName name="Malla_Electrosoldada_10x10_11">#REF!</definedName>
    <definedName name="Malla_Electrosoldada_10x10_6" localSheetId="8">#REF!</definedName>
    <definedName name="Malla_Electrosoldada_10x10_6">#REF!</definedName>
    <definedName name="Malla_Electrosoldada_10x10_7" localSheetId="8">#REF!</definedName>
    <definedName name="Malla_Electrosoldada_10x10_7">#REF!</definedName>
    <definedName name="Malla_Electrosoldada_10x10_8" localSheetId="8">#REF!</definedName>
    <definedName name="Malla_Electrosoldada_10x10_8">#REF!</definedName>
    <definedName name="Malla_Electrosoldada_10x10_9" localSheetId="8">#REF!</definedName>
    <definedName name="Malla_Electrosoldada_10x10_9">#REF!</definedName>
    <definedName name="Malla_electrosoldada_15x15___W2.9x2.9">'[18]LISTA DE PRECIO'!$C$8</definedName>
    <definedName name="MALLA_PALOMETA_DOBLE_1_12" localSheetId="8">#REF!</definedName>
    <definedName name="MALLA_PALOMETA_DOBLE_1_12">#REF!</definedName>
    <definedName name="MALLA_PALOMETA_DOBLE_1_12_10" localSheetId="8">#REF!</definedName>
    <definedName name="MALLA_PALOMETA_DOBLE_1_12_10">#REF!</definedName>
    <definedName name="MALLA_PALOMETA_DOBLE_1_12_11" localSheetId="8">#REF!</definedName>
    <definedName name="MALLA_PALOMETA_DOBLE_1_12_11">#REF!</definedName>
    <definedName name="MALLA_PALOMETA_DOBLE_1_12_6" localSheetId="8">#REF!</definedName>
    <definedName name="MALLA_PALOMETA_DOBLE_1_12_6">#REF!</definedName>
    <definedName name="MALLA_PALOMETA_DOBLE_1_12_7" localSheetId="8">#REF!</definedName>
    <definedName name="MALLA_PALOMETA_DOBLE_1_12_7">#REF!</definedName>
    <definedName name="MALLA_PALOMETA_DOBLE_1_12_8" localSheetId="8">#REF!</definedName>
    <definedName name="MALLA_PALOMETA_DOBLE_1_12_8">#REF!</definedName>
    <definedName name="MALLA_PALOMETA_DOBLE_1_12_9" localSheetId="8">#REF!</definedName>
    <definedName name="MALLA_PALOMETA_DOBLE_1_12_9">#REF!</definedName>
    <definedName name="MALLA_RELLENO" localSheetId="8">#REF!</definedName>
    <definedName name="MALLA_RELLENO">#REF!</definedName>
    <definedName name="MALLA_RELLENO_10" localSheetId="8">#REF!</definedName>
    <definedName name="MALLA_RELLENO_10">#REF!</definedName>
    <definedName name="MALLA_RELLENO_11" localSheetId="8">#REF!</definedName>
    <definedName name="MALLA_RELLENO_11">#REF!</definedName>
    <definedName name="MALLA_RELLENO_6" localSheetId="8">#REF!</definedName>
    <definedName name="MALLA_RELLENO_6">#REF!</definedName>
    <definedName name="MALLA_RELLENO_7" localSheetId="8">#REF!</definedName>
    <definedName name="MALLA_RELLENO_7">#REF!</definedName>
    <definedName name="MALLA_RELLENO_8" localSheetId="8">#REF!</definedName>
    <definedName name="MALLA_RELLENO_8">#REF!</definedName>
    <definedName name="MALLA_RELLENO_9" localSheetId="8">#REF!</definedName>
    <definedName name="MALLA_RELLENO_9">#REF!</definedName>
    <definedName name="MALLA_SEGUETA" localSheetId="8">#REF!</definedName>
    <definedName name="MALLA_SEGUETA">#REF!</definedName>
    <definedName name="MALLA_SEGUETA_10" localSheetId="8">#REF!</definedName>
    <definedName name="MALLA_SEGUETA_10">#REF!</definedName>
    <definedName name="MALLA_SEGUETA_11" localSheetId="8">#REF!</definedName>
    <definedName name="MALLA_SEGUETA_11">#REF!</definedName>
    <definedName name="MALLA_SEGUETA_6" localSheetId="8">#REF!</definedName>
    <definedName name="MALLA_SEGUETA_6">#REF!</definedName>
    <definedName name="MALLA_SEGUETA_7" localSheetId="8">#REF!</definedName>
    <definedName name="MALLA_SEGUETA_7">#REF!</definedName>
    <definedName name="MALLA_SEGUETA_8" localSheetId="8">#REF!</definedName>
    <definedName name="MALLA_SEGUETA_8">#REF!</definedName>
    <definedName name="MALLA_SEGUETA_9" localSheetId="8">#REF!</definedName>
    <definedName name="MALLA_SEGUETA_9">#REF!</definedName>
    <definedName name="MALLA_TERMINAL_1_14" localSheetId="8">#REF!</definedName>
    <definedName name="MALLA_TERMINAL_1_14">#REF!</definedName>
    <definedName name="MALLA_TERMINAL_1_14_10" localSheetId="8">#REF!</definedName>
    <definedName name="MALLA_TERMINAL_1_14_10">#REF!</definedName>
    <definedName name="MALLA_TERMINAL_1_14_11" localSheetId="8">#REF!</definedName>
    <definedName name="MALLA_TERMINAL_1_14_11">#REF!</definedName>
    <definedName name="MALLA_TERMINAL_1_14_6" localSheetId="8">#REF!</definedName>
    <definedName name="MALLA_TERMINAL_1_14_6">#REF!</definedName>
    <definedName name="MALLA_TERMINAL_1_14_7" localSheetId="8">#REF!</definedName>
    <definedName name="MALLA_TERMINAL_1_14_7">#REF!</definedName>
    <definedName name="MALLA_TERMINAL_1_14_8" localSheetId="8">#REF!</definedName>
    <definedName name="MALLA_TERMINAL_1_14_8">#REF!</definedName>
    <definedName name="MALLA_TERMINAL_1_14_9" localSheetId="8">#REF!</definedName>
    <definedName name="MALLA_TERMINAL_1_14_9">#REF!</definedName>
    <definedName name="MALLA_TUBOHG_1" localSheetId="8">#REF!</definedName>
    <definedName name="MALLA_TUBOHG_1">#REF!</definedName>
    <definedName name="MALLA_TUBOHG_1_10" localSheetId="8">#REF!</definedName>
    <definedName name="MALLA_TUBOHG_1_10">#REF!</definedName>
    <definedName name="MALLA_TUBOHG_1_11" localSheetId="8">#REF!</definedName>
    <definedName name="MALLA_TUBOHG_1_11">#REF!</definedName>
    <definedName name="MALLA_TUBOHG_1_12" localSheetId="8">#REF!</definedName>
    <definedName name="MALLA_TUBOHG_1_12">#REF!</definedName>
    <definedName name="MALLA_TUBOHG_1_12_10" localSheetId="8">#REF!</definedName>
    <definedName name="MALLA_TUBOHG_1_12_10">#REF!</definedName>
    <definedName name="MALLA_TUBOHG_1_12_11" localSheetId="8">#REF!</definedName>
    <definedName name="MALLA_TUBOHG_1_12_11">#REF!</definedName>
    <definedName name="MALLA_TUBOHG_1_12_6" localSheetId="8">#REF!</definedName>
    <definedName name="MALLA_TUBOHG_1_12_6">#REF!</definedName>
    <definedName name="MALLA_TUBOHG_1_12_7" localSheetId="8">#REF!</definedName>
    <definedName name="MALLA_TUBOHG_1_12_7">#REF!</definedName>
    <definedName name="MALLA_TUBOHG_1_12_8" localSheetId="8">#REF!</definedName>
    <definedName name="MALLA_TUBOHG_1_12_8">#REF!</definedName>
    <definedName name="MALLA_TUBOHG_1_12_9" localSheetId="8">#REF!</definedName>
    <definedName name="MALLA_TUBOHG_1_12_9">#REF!</definedName>
    <definedName name="MALLA_TUBOHG_1_14" localSheetId="8">#REF!</definedName>
    <definedName name="MALLA_TUBOHG_1_14">#REF!</definedName>
    <definedName name="MALLA_TUBOHG_1_14_10" localSheetId="8">#REF!</definedName>
    <definedName name="MALLA_TUBOHG_1_14_10">#REF!</definedName>
    <definedName name="MALLA_TUBOHG_1_14_11" localSheetId="8">#REF!</definedName>
    <definedName name="MALLA_TUBOHG_1_14_11">#REF!</definedName>
    <definedName name="MALLA_TUBOHG_1_14_6" localSheetId="8">#REF!</definedName>
    <definedName name="MALLA_TUBOHG_1_14_6">#REF!</definedName>
    <definedName name="MALLA_TUBOHG_1_14_7" localSheetId="8">#REF!</definedName>
    <definedName name="MALLA_TUBOHG_1_14_7">#REF!</definedName>
    <definedName name="MALLA_TUBOHG_1_14_8" localSheetId="8">#REF!</definedName>
    <definedName name="MALLA_TUBOHG_1_14_8">#REF!</definedName>
    <definedName name="MALLA_TUBOHG_1_14_9" localSheetId="8">#REF!</definedName>
    <definedName name="MALLA_TUBOHG_1_14_9">#REF!</definedName>
    <definedName name="MALLA_TUBOHG_1_6" localSheetId="8">#REF!</definedName>
    <definedName name="MALLA_TUBOHG_1_6">#REF!</definedName>
    <definedName name="MALLA_TUBOHG_1_7" localSheetId="8">#REF!</definedName>
    <definedName name="MALLA_TUBOHG_1_7">#REF!</definedName>
    <definedName name="MALLA_TUBOHG_1_8" localSheetId="8">#REF!</definedName>
    <definedName name="MALLA_TUBOHG_1_8">#REF!</definedName>
    <definedName name="MALLA_TUBOHG_1_9" localSheetId="8">#REF!</definedName>
    <definedName name="MALLA_TUBOHG_1_9">#REF!</definedName>
    <definedName name="MALLA_ZABALETA" localSheetId="8">#REF!</definedName>
    <definedName name="MALLA_ZABALETA">#REF!</definedName>
    <definedName name="MALLA_ZABALETA_10" localSheetId="8">#REF!</definedName>
    <definedName name="MALLA_ZABALETA_10">#REF!</definedName>
    <definedName name="MALLA_ZABALETA_11" localSheetId="8">#REF!</definedName>
    <definedName name="MALLA_ZABALETA_11">#REF!</definedName>
    <definedName name="MALLA_ZABALETA_6" localSheetId="8">#REF!</definedName>
    <definedName name="MALLA_ZABALETA_6">#REF!</definedName>
    <definedName name="MALLA_ZABALETA_7" localSheetId="8">#REF!</definedName>
    <definedName name="MALLA_ZABALETA_7">#REF!</definedName>
    <definedName name="MALLA_ZABALETA_8" localSheetId="8">#REF!</definedName>
    <definedName name="MALLA_ZABALETA_8">#REF!</definedName>
    <definedName name="MALLA_ZABALETA_9" localSheetId="8">#REF!</definedName>
    <definedName name="MALLA_ZABALETA_9">#REF!</definedName>
    <definedName name="MARCO_PUERTA_PINO" localSheetId="8">#REF!</definedName>
    <definedName name="MARCO_PUERTA_PINO">#REF!</definedName>
    <definedName name="MARCO_PUERTA_PINO_10" localSheetId="8">#REF!</definedName>
    <definedName name="MARCO_PUERTA_PINO_10">#REF!</definedName>
    <definedName name="MARCO_PUERTA_PINO_11" localSheetId="8">#REF!</definedName>
    <definedName name="MARCO_PUERTA_PINO_11">#REF!</definedName>
    <definedName name="MARCO_PUERTA_PINO_6" localSheetId="8">#REF!</definedName>
    <definedName name="MARCO_PUERTA_PINO_6">#REF!</definedName>
    <definedName name="MARCO_PUERTA_PINO_7" localSheetId="8">#REF!</definedName>
    <definedName name="MARCO_PUERTA_PINO_7">#REF!</definedName>
    <definedName name="MARCO_PUERTA_PINO_8" localSheetId="8">#REF!</definedName>
    <definedName name="MARCO_PUERTA_PINO_8">#REF!</definedName>
    <definedName name="MARCO_PUERTA_PINO_9" localSheetId="8">#REF!</definedName>
    <definedName name="MARCO_PUERTA_PINO_9">#REF!</definedName>
    <definedName name="masilla.sheetrock">[45]Insumos!$L$40</definedName>
    <definedName name="MATERIAL_RELLENO" localSheetId="8">#REF!</definedName>
    <definedName name="MATERIAL_RELLENO">#REF!</definedName>
    <definedName name="MATERIAL_RELLENO_10" localSheetId="8">#REF!</definedName>
    <definedName name="MATERIAL_RELLENO_10">#REF!</definedName>
    <definedName name="MATERIAL_RELLENO_11" localSheetId="8">#REF!</definedName>
    <definedName name="MATERIAL_RELLENO_11">#REF!</definedName>
    <definedName name="MATERIAL_RELLENO_6" localSheetId="8">#REF!</definedName>
    <definedName name="MATERIAL_RELLENO_6">#REF!</definedName>
    <definedName name="MATERIAL_RELLENO_7" localSheetId="8">#REF!</definedName>
    <definedName name="MATERIAL_RELLENO_7">#REF!</definedName>
    <definedName name="MATERIAL_RELLENO_8" localSheetId="8">#REF!</definedName>
    <definedName name="MATERIAL_RELLENO_8">#REF!</definedName>
    <definedName name="MATERIAL_RELLENO_9" localSheetId="8">#REF!</definedName>
    <definedName name="MATERIAL_RELLENO_9">#REF!</definedName>
    <definedName name="MBA" localSheetId="8">#REF!</definedName>
    <definedName name="MBA">#REF!</definedName>
    <definedName name="MBA_10" localSheetId="8">#REF!</definedName>
    <definedName name="MBA_10">#REF!</definedName>
    <definedName name="MBA_11" localSheetId="8">#REF!</definedName>
    <definedName name="MBA_11">#REF!</definedName>
    <definedName name="MBA_6" localSheetId="8">#REF!</definedName>
    <definedName name="MBA_6">#REF!</definedName>
    <definedName name="MBA_7" localSheetId="8">#REF!</definedName>
    <definedName name="MBA_7">#REF!</definedName>
    <definedName name="MBA_8" localSheetId="8">#REF!</definedName>
    <definedName name="MBA_8">#REF!</definedName>
    <definedName name="MBA_9" localSheetId="8">#REF!</definedName>
    <definedName name="MBA_9">#REF!</definedName>
    <definedName name="MEXCLADORA_LAVAMANOS" localSheetId="8">#REF!</definedName>
    <definedName name="MEXCLADORA_LAVAMANOS">#REF!</definedName>
    <definedName name="MEXCLADORA_LAVAMANOS_10" localSheetId="8">#REF!</definedName>
    <definedName name="MEXCLADORA_LAVAMANOS_10">#REF!</definedName>
    <definedName name="MEXCLADORA_LAVAMANOS_11" localSheetId="8">#REF!</definedName>
    <definedName name="MEXCLADORA_LAVAMANOS_11">#REF!</definedName>
    <definedName name="MEXCLADORA_LAVAMANOS_6" localSheetId="8">#REF!</definedName>
    <definedName name="MEXCLADORA_LAVAMANOS_6">#REF!</definedName>
    <definedName name="MEXCLADORA_LAVAMANOS_7" localSheetId="8">#REF!</definedName>
    <definedName name="MEXCLADORA_LAVAMANOS_7">#REF!</definedName>
    <definedName name="MEXCLADORA_LAVAMANOS_8" localSheetId="8">#REF!</definedName>
    <definedName name="MEXCLADORA_LAVAMANOS_8">#REF!</definedName>
    <definedName name="MEXCLADORA_LAVAMANOS_9" localSheetId="8">#REF!</definedName>
    <definedName name="MEXCLADORA_LAVAMANOS_9">#REF!</definedName>
    <definedName name="Mez.Antillana.bloques">[30]Insumos!$E$30</definedName>
    <definedName name="Mez.Antillana.Pañete">[30]Insumos!$E$31</definedName>
    <definedName name="Mez.Antillana.Pisos">[30]Insumos!$E$32</definedName>
    <definedName name="MEZCLA_CAL_ARENA_PISOS" localSheetId="8">#REF!</definedName>
    <definedName name="MEZCLA_CAL_ARENA_PISOS">#REF!</definedName>
    <definedName name="MEZCLA_CAL_ARENA_PISOS_10" localSheetId="8">#REF!</definedName>
    <definedName name="MEZCLA_CAL_ARENA_PISOS_10">#REF!</definedName>
    <definedName name="MEZCLA_CAL_ARENA_PISOS_11" localSheetId="8">#REF!</definedName>
    <definedName name="MEZCLA_CAL_ARENA_PISOS_11">#REF!</definedName>
    <definedName name="MEZCLA_CAL_ARENA_PISOS_6" localSheetId="8">#REF!</definedName>
    <definedName name="MEZCLA_CAL_ARENA_PISOS_6">#REF!</definedName>
    <definedName name="MEZCLA_CAL_ARENA_PISOS_7" localSheetId="8">#REF!</definedName>
    <definedName name="MEZCLA_CAL_ARENA_PISOS_7">#REF!</definedName>
    <definedName name="MEZCLA_CAL_ARENA_PISOS_8" localSheetId="8">#REF!</definedName>
    <definedName name="MEZCLA_CAL_ARENA_PISOS_8">#REF!</definedName>
    <definedName name="MEZCLA_CAL_ARENA_PISOS_9" localSheetId="8">#REF!</definedName>
    <definedName name="MEZCLA_CAL_ARENA_PISOS_9">#REF!</definedName>
    <definedName name="MEZCLA125">[7]Mezcla!$G$45</definedName>
    <definedName name="MEZCLA13" localSheetId="3">[2]Mezcla!$F$10</definedName>
    <definedName name="MEZCLA13">[7]Mezcla!$G$10</definedName>
    <definedName name="MEZCLA14" localSheetId="3">[2]Mezcla!$F$17</definedName>
    <definedName name="MEZCLA14">[7]Mezcla!$G$17</definedName>
    <definedName name="MezclaAntillana" localSheetId="8">#REF!</definedName>
    <definedName name="MezclaAntillana">#REF!</definedName>
    <definedName name="MezclaAntillana_10" localSheetId="8">#REF!</definedName>
    <definedName name="MezclaAntillana_10">#REF!</definedName>
    <definedName name="MezclaAntillana_11" localSheetId="8">#REF!</definedName>
    <definedName name="MezclaAntillana_11">#REF!</definedName>
    <definedName name="MezclaAntillana_6" localSheetId="8">#REF!</definedName>
    <definedName name="MezclaAntillana_6">#REF!</definedName>
    <definedName name="MezclaAntillana_7" localSheetId="8">#REF!</definedName>
    <definedName name="MezclaAntillana_7">#REF!</definedName>
    <definedName name="MezclaAntillana_8" localSheetId="8">#REF!</definedName>
    <definedName name="MezclaAntillana_8">#REF!</definedName>
    <definedName name="MezclaAntillana_9" localSheetId="8">#REF!</definedName>
    <definedName name="MezclaAntillana_9">#REF!</definedName>
    <definedName name="mezclajuntabloque" localSheetId="8">#REF!</definedName>
    <definedName name="mezclajuntabloque">#REF!</definedName>
    <definedName name="mezclajuntabloque_6" localSheetId="8">#REF!</definedName>
    <definedName name="mezclajuntabloque_6">#REF!</definedName>
    <definedName name="mezclajuntabloque_8" localSheetId="8">#REF!</definedName>
    <definedName name="mezclajuntabloque_8">#REF!</definedName>
    <definedName name="MEZCLANATILLA">[7]Mezcla!$G$29</definedName>
    <definedName name="mgf" localSheetId="8">#REF!</definedName>
    <definedName name="mgf">#REF!</definedName>
    <definedName name="mo_acer_me_qq" localSheetId="8">#REF!</definedName>
    <definedName name="mo_acer_me_qq">#REF!</definedName>
    <definedName name="MO_ACERA_FROTyVIOL" localSheetId="8">#REF!</definedName>
    <definedName name="MO_ACERA_FROTyVIOL">#REF!</definedName>
    <definedName name="MO_ACERA_FROTyVIOL_10" localSheetId="8">#REF!</definedName>
    <definedName name="MO_ACERA_FROTyVIOL_10">#REF!</definedName>
    <definedName name="MO_ACERA_FROTyVIOL_11" localSheetId="8">#REF!</definedName>
    <definedName name="MO_ACERA_FROTyVIOL_11">#REF!</definedName>
    <definedName name="MO_ACERA_FROTyVIOL_6" localSheetId="8">#REF!</definedName>
    <definedName name="MO_ACERA_FROTyVIOL_6">#REF!</definedName>
    <definedName name="MO_ACERA_FROTyVIOL_7" localSheetId="8">#REF!</definedName>
    <definedName name="MO_ACERA_FROTyVIOL_7">#REF!</definedName>
    <definedName name="MO_ACERA_FROTyVIOL_8" localSheetId="8">#REF!</definedName>
    <definedName name="MO_ACERA_FROTyVIOL_8">#REF!</definedName>
    <definedName name="MO_ACERA_FROTyVIOL_9" localSheetId="8">#REF!</definedName>
    <definedName name="MO_ACERA_FROTyVIOL_9">#REF!</definedName>
    <definedName name="mo_acero_qq" localSheetId="8">#REF!</definedName>
    <definedName name="mo_acero_qq">#REF!</definedName>
    <definedName name="MO_CANTOS" localSheetId="8">#REF!</definedName>
    <definedName name="MO_CANTOS">#REF!</definedName>
    <definedName name="MO_CANTOS_10" localSheetId="8">#REF!</definedName>
    <definedName name="MO_CANTOS_10">#REF!</definedName>
    <definedName name="MO_CANTOS_11" localSheetId="8">#REF!</definedName>
    <definedName name="MO_CANTOS_11">#REF!</definedName>
    <definedName name="MO_CANTOS_6" localSheetId="8">#REF!</definedName>
    <definedName name="MO_CANTOS_6">#REF!</definedName>
    <definedName name="MO_CANTOS_7" localSheetId="8">#REF!</definedName>
    <definedName name="MO_CANTOS_7">#REF!</definedName>
    <definedName name="MO_CANTOS_8" localSheetId="8">#REF!</definedName>
    <definedName name="MO_CANTOS_8">#REF!</definedName>
    <definedName name="MO_CANTOS_9" localSheetId="8">#REF!</definedName>
    <definedName name="MO_CANTOS_9">#REF!</definedName>
    <definedName name="MO_CARETEO" localSheetId="8">#REF!</definedName>
    <definedName name="MO_CARETEO">#REF!</definedName>
    <definedName name="MO_CARETEO_10" localSheetId="8">#REF!</definedName>
    <definedName name="MO_CARETEO_10">#REF!</definedName>
    <definedName name="MO_CARETEO_11" localSheetId="8">#REF!</definedName>
    <definedName name="MO_CARETEO_11">#REF!</definedName>
    <definedName name="MO_CARETEO_6" localSheetId="8">#REF!</definedName>
    <definedName name="MO_CARETEO_6">#REF!</definedName>
    <definedName name="MO_CARETEO_7" localSheetId="8">#REF!</definedName>
    <definedName name="MO_CARETEO_7">#REF!</definedName>
    <definedName name="MO_CARETEO_8" localSheetId="8">#REF!</definedName>
    <definedName name="MO_CARETEO_8">#REF!</definedName>
    <definedName name="MO_CARETEO_9" localSheetId="8">#REF!</definedName>
    <definedName name="MO_CARETEO_9">#REF!</definedName>
    <definedName name="MO_ColAcero_Dintel" localSheetId="8">#REF!</definedName>
    <definedName name="MO_ColAcero_Dintel">#REF!</definedName>
    <definedName name="MO_ColAcero_Dintel_10" localSheetId="8">#REF!</definedName>
    <definedName name="MO_ColAcero_Dintel_10">#REF!</definedName>
    <definedName name="MO_ColAcero_Dintel_11" localSheetId="8">#REF!</definedName>
    <definedName name="MO_ColAcero_Dintel_11">#REF!</definedName>
    <definedName name="MO_ColAcero_Dintel_6" localSheetId="8">#REF!</definedName>
    <definedName name="MO_ColAcero_Dintel_6">#REF!</definedName>
    <definedName name="MO_ColAcero_Dintel_7" localSheetId="8">#REF!</definedName>
    <definedName name="MO_ColAcero_Dintel_7">#REF!</definedName>
    <definedName name="MO_ColAcero_Dintel_8" localSheetId="8">#REF!</definedName>
    <definedName name="MO_ColAcero_Dintel_8">#REF!</definedName>
    <definedName name="MO_ColAcero_Dintel_9" localSheetId="8">#REF!</definedName>
    <definedName name="MO_ColAcero_Dintel_9">#REF!</definedName>
    <definedName name="MO_ColAcero_Escalera" localSheetId="8">#REF!</definedName>
    <definedName name="MO_ColAcero_Escalera">#REF!</definedName>
    <definedName name="MO_ColAcero_Escalera_10" localSheetId="8">#REF!</definedName>
    <definedName name="MO_ColAcero_Escalera_10">#REF!</definedName>
    <definedName name="MO_ColAcero_Escalera_11" localSheetId="8">#REF!</definedName>
    <definedName name="MO_ColAcero_Escalera_11">#REF!</definedName>
    <definedName name="MO_ColAcero_Escalera_6" localSheetId="8">#REF!</definedName>
    <definedName name="MO_ColAcero_Escalera_6">#REF!</definedName>
    <definedName name="MO_ColAcero_Escalera_7" localSheetId="8">#REF!</definedName>
    <definedName name="MO_ColAcero_Escalera_7">#REF!</definedName>
    <definedName name="MO_ColAcero_Escalera_8" localSheetId="8">#REF!</definedName>
    <definedName name="MO_ColAcero_Escalera_8">#REF!</definedName>
    <definedName name="MO_ColAcero_Escalera_9" localSheetId="8">#REF!</definedName>
    <definedName name="MO_ColAcero_Escalera_9">#REF!</definedName>
    <definedName name="MO_ColAcero_G60_QQ" localSheetId="8">#REF!</definedName>
    <definedName name="MO_ColAcero_G60_QQ">#REF!</definedName>
    <definedName name="MO_ColAcero_G60_QQ_10" localSheetId="8">#REF!</definedName>
    <definedName name="MO_ColAcero_G60_QQ_10">#REF!</definedName>
    <definedName name="MO_ColAcero_G60_QQ_11" localSheetId="8">#REF!</definedName>
    <definedName name="MO_ColAcero_G60_QQ_11">#REF!</definedName>
    <definedName name="MO_ColAcero_G60_QQ_6" localSheetId="8">#REF!</definedName>
    <definedName name="MO_ColAcero_G60_QQ_6">#REF!</definedName>
    <definedName name="MO_ColAcero_G60_QQ_7" localSheetId="8">#REF!</definedName>
    <definedName name="MO_ColAcero_G60_QQ_7">#REF!</definedName>
    <definedName name="MO_ColAcero_G60_QQ_8" localSheetId="8">#REF!</definedName>
    <definedName name="MO_ColAcero_G60_QQ_8">#REF!</definedName>
    <definedName name="MO_ColAcero_G60_QQ_9" localSheetId="8">#REF!</definedName>
    <definedName name="MO_ColAcero_G60_QQ_9">#REF!</definedName>
    <definedName name="MO_ColAcero_Malla" localSheetId="8">#REF!</definedName>
    <definedName name="MO_ColAcero_Malla">#REF!</definedName>
    <definedName name="MO_ColAcero_Malla_10" localSheetId="8">#REF!</definedName>
    <definedName name="MO_ColAcero_Malla_10">#REF!</definedName>
    <definedName name="MO_ColAcero_Malla_11" localSheetId="8">#REF!</definedName>
    <definedName name="MO_ColAcero_Malla_11">#REF!</definedName>
    <definedName name="MO_ColAcero_Malla_6" localSheetId="8">#REF!</definedName>
    <definedName name="MO_ColAcero_Malla_6">#REF!</definedName>
    <definedName name="MO_ColAcero_Malla_7" localSheetId="8">#REF!</definedName>
    <definedName name="MO_ColAcero_Malla_7">#REF!</definedName>
    <definedName name="MO_ColAcero_Malla_8" localSheetId="8">#REF!</definedName>
    <definedName name="MO_ColAcero_Malla_8">#REF!</definedName>
    <definedName name="MO_ColAcero_Malla_9" localSheetId="8">#REF!</definedName>
    <definedName name="MO_ColAcero_Malla_9">#REF!</definedName>
    <definedName name="MO_ColAcero_QQ" localSheetId="8">#REF!</definedName>
    <definedName name="MO_ColAcero_QQ" localSheetId="3">[20]MO!$B$612</definedName>
    <definedName name="MO_ColAcero_QQ">#REF!</definedName>
    <definedName name="MO_ColAcero_QQ_10" localSheetId="8">#REF!</definedName>
    <definedName name="MO_ColAcero_QQ_10">#REF!</definedName>
    <definedName name="MO_ColAcero_QQ_11" localSheetId="8">#REF!</definedName>
    <definedName name="MO_ColAcero_QQ_11">#REF!</definedName>
    <definedName name="MO_ColAcero_QQ_5" localSheetId="8">#REF!</definedName>
    <definedName name="MO_ColAcero_QQ_5">#REF!</definedName>
    <definedName name="MO_ColAcero_QQ_6" localSheetId="8">#REF!</definedName>
    <definedName name="MO_ColAcero_QQ_6">#REF!</definedName>
    <definedName name="MO_ColAcero_QQ_7" localSheetId="8">#REF!</definedName>
    <definedName name="MO_ColAcero_QQ_7">#REF!</definedName>
    <definedName name="MO_ColAcero_QQ_8" localSheetId="8">#REF!</definedName>
    <definedName name="MO_ColAcero_QQ_8">#REF!</definedName>
    <definedName name="MO_ColAcero_QQ_9" localSheetId="8">#REF!</definedName>
    <definedName name="MO_ColAcero_QQ_9">#REF!</definedName>
    <definedName name="MO_ColAcero_ZapMuros" localSheetId="8">#REF!</definedName>
    <definedName name="MO_ColAcero_ZapMuros">#REF!</definedName>
    <definedName name="MO_ColAcero_ZapMuros_10" localSheetId="8">#REF!</definedName>
    <definedName name="MO_ColAcero_ZapMuros_10">#REF!</definedName>
    <definedName name="MO_ColAcero_ZapMuros_11" localSheetId="8">#REF!</definedName>
    <definedName name="MO_ColAcero_ZapMuros_11">#REF!</definedName>
    <definedName name="MO_ColAcero_ZapMuros_6" localSheetId="8">#REF!</definedName>
    <definedName name="MO_ColAcero_ZapMuros_6">#REF!</definedName>
    <definedName name="MO_ColAcero_ZapMuros_7" localSheetId="8">#REF!</definedName>
    <definedName name="MO_ColAcero_ZapMuros_7">#REF!</definedName>
    <definedName name="MO_ColAcero_ZapMuros_8" localSheetId="8">#REF!</definedName>
    <definedName name="MO_ColAcero_ZapMuros_8">#REF!</definedName>
    <definedName name="MO_ColAcero_ZapMuros_9" localSheetId="8">#REF!</definedName>
    <definedName name="MO_ColAcero_ZapMuros_9">#REF!</definedName>
    <definedName name="MO_ColAcero14_Piso" localSheetId="8">#REF!</definedName>
    <definedName name="MO_ColAcero14_Piso">#REF!</definedName>
    <definedName name="MO_ColAcero14_Piso_10" localSheetId="8">#REF!</definedName>
    <definedName name="MO_ColAcero14_Piso_10">#REF!</definedName>
    <definedName name="MO_ColAcero14_Piso_11" localSheetId="8">#REF!</definedName>
    <definedName name="MO_ColAcero14_Piso_11">#REF!</definedName>
    <definedName name="MO_ColAcero14_Piso_6" localSheetId="8">#REF!</definedName>
    <definedName name="MO_ColAcero14_Piso_6">#REF!</definedName>
    <definedName name="MO_ColAcero14_Piso_7" localSheetId="8">#REF!</definedName>
    <definedName name="MO_ColAcero14_Piso_7">#REF!</definedName>
    <definedName name="MO_ColAcero14_Piso_8" localSheetId="8">#REF!</definedName>
    <definedName name="MO_ColAcero14_Piso_8">#REF!</definedName>
    <definedName name="MO_ColAcero14_Piso_9" localSheetId="8">#REF!</definedName>
    <definedName name="MO_ColAcero14_Piso_9">#REF!</definedName>
    <definedName name="MO_ColAcero38y12_Cols" localSheetId="8">#REF!</definedName>
    <definedName name="MO_ColAcero38y12_Cols">#REF!</definedName>
    <definedName name="MO_ColAcero38y12_Cols_10" localSheetId="8">#REF!</definedName>
    <definedName name="MO_ColAcero38y12_Cols_10">#REF!</definedName>
    <definedName name="MO_ColAcero38y12_Cols_11" localSheetId="8">#REF!</definedName>
    <definedName name="MO_ColAcero38y12_Cols_11">#REF!</definedName>
    <definedName name="MO_ColAcero38y12_Cols_6" localSheetId="8">#REF!</definedName>
    <definedName name="MO_ColAcero38y12_Cols_6">#REF!</definedName>
    <definedName name="MO_ColAcero38y12_Cols_7" localSheetId="8">#REF!</definedName>
    <definedName name="MO_ColAcero38y12_Cols_7">#REF!</definedName>
    <definedName name="MO_ColAcero38y12_Cols_8" localSheetId="8">#REF!</definedName>
    <definedName name="MO_ColAcero38y12_Cols_8">#REF!</definedName>
    <definedName name="MO_ColAcero38y12_Cols_9" localSheetId="8">#REF!</definedName>
    <definedName name="MO_ColAcero38y12_Cols_9">#REF!</definedName>
    <definedName name="MO_DEMOLICION_MURO_HA" localSheetId="8">#REF!</definedName>
    <definedName name="MO_DEMOLICION_MURO_HA">#REF!</definedName>
    <definedName name="MO_DEMOLICION_MURO_HA_10" localSheetId="8">#REF!</definedName>
    <definedName name="MO_DEMOLICION_MURO_HA_10">#REF!</definedName>
    <definedName name="MO_DEMOLICION_MURO_HA_11" localSheetId="8">#REF!</definedName>
    <definedName name="MO_DEMOLICION_MURO_HA_11">#REF!</definedName>
    <definedName name="MO_DEMOLICION_MURO_HA_6" localSheetId="8">#REF!</definedName>
    <definedName name="MO_DEMOLICION_MURO_HA_6">#REF!</definedName>
    <definedName name="MO_DEMOLICION_MURO_HA_7" localSheetId="8">#REF!</definedName>
    <definedName name="MO_DEMOLICION_MURO_HA_7">#REF!</definedName>
    <definedName name="MO_DEMOLICION_MURO_HA_8" localSheetId="8">#REF!</definedName>
    <definedName name="MO_DEMOLICION_MURO_HA_8">#REF!</definedName>
    <definedName name="MO_DEMOLICION_MURO_HA_9" localSheetId="8">#REF!</definedName>
    <definedName name="MO_DEMOLICION_MURO_HA_9">#REF!</definedName>
    <definedName name="MO_ELEC_BREAKERS" localSheetId="8">#REF!</definedName>
    <definedName name="MO_ELEC_BREAKERS">#REF!</definedName>
    <definedName name="MO_ELEC_BREAKERS_10" localSheetId="8">#REF!</definedName>
    <definedName name="MO_ELEC_BREAKERS_10">#REF!</definedName>
    <definedName name="MO_ELEC_BREAKERS_11" localSheetId="8">#REF!</definedName>
    <definedName name="MO_ELEC_BREAKERS_11">#REF!</definedName>
    <definedName name="MO_ELEC_BREAKERS_6" localSheetId="8">#REF!</definedName>
    <definedName name="MO_ELEC_BREAKERS_6">#REF!</definedName>
    <definedName name="MO_ELEC_BREAKERS_7" localSheetId="8">#REF!</definedName>
    <definedName name="MO_ELEC_BREAKERS_7">#REF!</definedName>
    <definedName name="MO_ELEC_BREAKERS_8" localSheetId="8">#REF!</definedName>
    <definedName name="MO_ELEC_BREAKERS_8">#REF!</definedName>
    <definedName name="MO_ELEC_BREAKERS_9" localSheetId="8">#REF!</definedName>
    <definedName name="MO_ELEC_BREAKERS_9">#REF!</definedName>
    <definedName name="MO_ELEC_INTERRUPTOR_3W" localSheetId="8">#REF!</definedName>
    <definedName name="MO_ELEC_INTERRUPTOR_3W">#REF!</definedName>
    <definedName name="MO_ELEC_INTERRUPTOR_3W_10" localSheetId="8">#REF!</definedName>
    <definedName name="MO_ELEC_INTERRUPTOR_3W_10">#REF!</definedName>
    <definedName name="MO_ELEC_INTERRUPTOR_3W_11" localSheetId="8">#REF!</definedName>
    <definedName name="MO_ELEC_INTERRUPTOR_3W_11">#REF!</definedName>
    <definedName name="MO_ELEC_INTERRUPTOR_3W_6" localSheetId="8">#REF!</definedName>
    <definedName name="MO_ELEC_INTERRUPTOR_3W_6">#REF!</definedName>
    <definedName name="MO_ELEC_INTERRUPTOR_3W_7" localSheetId="8">#REF!</definedName>
    <definedName name="MO_ELEC_INTERRUPTOR_3W_7">#REF!</definedName>
    <definedName name="MO_ELEC_INTERRUPTOR_3W_8" localSheetId="8">#REF!</definedName>
    <definedName name="MO_ELEC_INTERRUPTOR_3W_8">#REF!</definedName>
    <definedName name="MO_ELEC_INTERRUPTOR_3W_9" localSheetId="8">#REF!</definedName>
    <definedName name="MO_ELEC_INTERRUPTOR_3W_9">#REF!</definedName>
    <definedName name="MO_ELEC_INTERRUPTOR_4W" localSheetId="8">#REF!</definedName>
    <definedName name="MO_ELEC_INTERRUPTOR_4W">#REF!</definedName>
    <definedName name="MO_ELEC_INTERRUPTOR_4W_10" localSheetId="8">#REF!</definedName>
    <definedName name="MO_ELEC_INTERRUPTOR_4W_10">#REF!</definedName>
    <definedName name="MO_ELEC_INTERRUPTOR_4W_11" localSheetId="8">#REF!</definedName>
    <definedName name="MO_ELEC_INTERRUPTOR_4W_11">#REF!</definedName>
    <definedName name="MO_ELEC_INTERRUPTOR_4W_6" localSheetId="8">#REF!</definedName>
    <definedName name="MO_ELEC_INTERRUPTOR_4W_6">#REF!</definedName>
    <definedName name="MO_ELEC_INTERRUPTOR_4W_7" localSheetId="8">#REF!</definedName>
    <definedName name="MO_ELEC_INTERRUPTOR_4W_7">#REF!</definedName>
    <definedName name="MO_ELEC_INTERRUPTOR_4W_8" localSheetId="8">#REF!</definedName>
    <definedName name="MO_ELEC_INTERRUPTOR_4W_8">#REF!</definedName>
    <definedName name="MO_ELEC_INTERRUPTOR_4W_9" localSheetId="8">#REF!</definedName>
    <definedName name="MO_ELEC_INTERRUPTOR_4W_9">#REF!</definedName>
    <definedName name="MO_ELEC_INTERRUPTOR_DOB" localSheetId="8">#REF!</definedName>
    <definedName name="MO_ELEC_INTERRUPTOR_DOB">#REF!</definedName>
    <definedName name="MO_ELEC_INTERRUPTOR_DOB_10" localSheetId="8">#REF!</definedName>
    <definedName name="MO_ELEC_INTERRUPTOR_DOB_10">#REF!</definedName>
    <definedName name="MO_ELEC_INTERRUPTOR_DOB_11" localSheetId="8">#REF!</definedName>
    <definedName name="MO_ELEC_INTERRUPTOR_DOB_11">#REF!</definedName>
    <definedName name="MO_ELEC_INTERRUPTOR_DOB_6" localSheetId="8">#REF!</definedName>
    <definedName name="MO_ELEC_INTERRUPTOR_DOB_6">#REF!</definedName>
    <definedName name="MO_ELEC_INTERRUPTOR_DOB_7" localSheetId="8">#REF!</definedName>
    <definedName name="MO_ELEC_INTERRUPTOR_DOB_7">#REF!</definedName>
    <definedName name="MO_ELEC_INTERRUPTOR_DOB_8" localSheetId="8">#REF!</definedName>
    <definedName name="MO_ELEC_INTERRUPTOR_DOB_8">#REF!</definedName>
    <definedName name="MO_ELEC_INTERRUPTOR_DOB_9" localSheetId="8">#REF!</definedName>
    <definedName name="MO_ELEC_INTERRUPTOR_DOB_9">#REF!</definedName>
    <definedName name="MO_ELEC_INTERRUPTOR_SENC" localSheetId="8">#REF!</definedName>
    <definedName name="MO_ELEC_INTERRUPTOR_SENC">#REF!</definedName>
    <definedName name="MO_ELEC_INTERRUPTOR_SENC_10" localSheetId="8">#REF!</definedName>
    <definedName name="MO_ELEC_INTERRUPTOR_SENC_10">#REF!</definedName>
    <definedName name="MO_ELEC_INTERRUPTOR_SENC_11" localSheetId="8">#REF!</definedName>
    <definedName name="MO_ELEC_INTERRUPTOR_SENC_11">#REF!</definedName>
    <definedName name="MO_ELEC_INTERRUPTOR_SENC_6" localSheetId="8">#REF!</definedName>
    <definedName name="MO_ELEC_INTERRUPTOR_SENC_6">#REF!</definedName>
    <definedName name="MO_ELEC_INTERRUPTOR_SENC_7" localSheetId="8">#REF!</definedName>
    <definedName name="MO_ELEC_INTERRUPTOR_SENC_7">#REF!</definedName>
    <definedName name="MO_ELEC_INTERRUPTOR_SENC_8" localSheetId="8">#REF!</definedName>
    <definedName name="MO_ELEC_INTERRUPTOR_SENC_8">#REF!</definedName>
    <definedName name="MO_ELEC_INTERRUPTOR_SENC_9" localSheetId="8">#REF!</definedName>
    <definedName name="MO_ELEC_INTERRUPTOR_SENC_9">#REF!</definedName>
    <definedName name="MO_ELEC_INTERRUPTOR_TRIPLE" localSheetId="8">#REF!</definedName>
    <definedName name="MO_ELEC_INTERRUPTOR_TRIPLE">#REF!</definedName>
    <definedName name="MO_ELEC_INTERRUPTOR_TRIPLE_10" localSheetId="8">#REF!</definedName>
    <definedName name="MO_ELEC_INTERRUPTOR_TRIPLE_10">#REF!</definedName>
    <definedName name="MO_ELEC_INTERRUPTOR_TRIPLE_11" localSheetId="8">#REF!</definedName>
    <definedName name="MO_ELEC_INTERRUPTOR_TRIPLE_11">#REF!</definedName>
    <definedName name="MO_ELEC_INTERRUPTOR_TRIPLE_6" localSheetId="8">#REF!</definedName>
    <definedName name="MO_ELEC_INTERRUPTOR_TRIPLE_6">#REF!</definedName>
    <definedName name="MO_ELEC_INTERRUPTOR_TRIPLE_7" localSheetId="8">#REF!</definedName>
    <definedName name="MO_ELEC_INTERRUPTOR_TRIPLE_7">#REF!</definedName>
    <definedName name="MO_ELEC_INTERRUPTOR_TRIPLE_8" localSheetId="8">#REF!</definedName>
    <definedName name="MO_ELEC_INTERRUPTOR_TRIPLE_8">#REF!</definedName>
    <definedName name="MO_ELEC_INTERRUPTOR_TRIPLE_9" localSheetId="8">#REF!</definedName>
    <definedName name="MO_ELEC_INTERRUPTOR_TRIPLE_9">#REF!</definedName>
    <definedName name="MO_ELEC_LAMPARA_FLUORESCENTE" localSheetId="8">#REF!</definedName>
    <definedName name="MO_ELEC_LAMPARA_FLUORESCENTE">#REF!</definedName>
    <definedName name="MO_ELEC_LAMPARA_FLUORESCENTE_10" localSheetId="8">#REF!</definedName>
    <definedName name="MO_ELEC_LAMPARA_FLUORESCENTE_10">#REF!</definedName>
    <definedName name="MO_ELEC_LAMPARA_FLUORESCENTE_11" localSheetId="8">#REF!</definedName>
    <definedName name="MO_ELEC_LAMPARA_FLUORESCENTE_11">#REF!</definedName>
    <definedName name="MO_ELEC_LAMPARA_FLUORESCENTE_6" localSheetId="8">#REF!</definedName>
    <definedName name="MO_ELEC_LAMPARA_FLUORESCENTE_6">#REF!</definedName>
    <definedName name="MO_ELEC_LAMPARA_FLUORESCENTE_7" localSheetId="8">#REF!</definedName>
    <definedName name="MO_ELEC_LAMPARA_FLUORESCENTE_7">#REF!</definedName>
    <definedName name="MO_ELEC_LAMPARA_FLUORESCENTE_8" localSheetId="8">#REF!</definedName>
    <definedName name="MO_ELEC_LAMPARA_FLUORESCENTE_8">#REF!</definedName>
    <definedName name="MO_ELEC_LAMPARA_FLUORESCENTE_9" localSheetId="8">#REF!</definedName>
    <definedName name="MO_ELEC_LAMPARA_FLUORESCENTE_9">#REF!</definedName>
    <definedName name="MO_ELEC_LUZ_CENITAL" localSheetId="8">#REF!</definedName>
    <definedName name="MO_ELEC_LUZ_CENITAL">#REF!</definedName>
    <definedName name="MO_ELEC_LUZ_CENITAL_10" localSheetId="8">#REF!</definedName>
    <definedName name="MO_ELEC_LUZ_CENITAL_10">#REF!</definedName>
    <definedName name="MO_ELEC_LUZ_CENITAL_11" localSheetId="8">#REF!</definedName>
    <definedName name="MO_ELEC_LUZ_CENITAL_11">#REF!</definedName>
    <definedName name="MO_ELEC_LUZ_CENITAL_6" localSheetId="8">#REF!</definedName>
    <definedName name="MO_ELEC_LUZ_CENITAL_6">#REF!</definedName>
    <definedName name="MO_ELEC_LUZ_CENITAL_7" localSheetId="8">#REF!</definedName>
    <definedName name="MO_ELEC_LUZ_CENITAL_7">#REF!</definedName>
    <definedName name="MO_ELEC_LUZ_CENITAL_8" localSheetId="8">#REF!</definedName>
    <definedName name="MO_ELEC_LUZ_CENITAL_8">#REF!</definedName>
    <definedName name="MO_ELEC_LUZ_CENITAL_9" localSheetId="8">#REF!</definedName>
    <definedName name="MO_ELEC_LUZ_CENITAL_9">#REF!</definedName>
    <definedName name="MO_ELEC_PANEL_DIST" localSheetId="8">#REF!</definedName>
    <definedName name="MO_ELEC_PANEL_DIST">#REF!</definedName>
    <definedName name="MO_ELEC_PANEL_DIST_10" localSheetId="8">#REF!</definedName>
    <definedName name="MO_ELEC_PANEL_DIST_10">#REF!</definedName>
    <definedName name="MO_ELEC_PANEL_DIST_11" localSheetId="8">#REF!</definedName>
    <definedName name="MO_ELEC_PANEL_DIST_11">#REF!</definedName>
    <definedName name="MO_ELEC_PANEL_DIST_6" localSheetId="8">#REF!</definedName>
    <definedName name="MO_ELEC_PANEL_DIST_6">#REF!</definedName>
    <definedName name="MO_ELEC_PANEL_DIST_7" localSheetId="8">#REF!</definedName>
    <definedName name="MO_ELEC_PANEL_DIST_7">#REF!</definedName>
    <definedName name="MO_ELEC_PANEL_DIST_8" localSheetId="8">#REF!</definedName>
    <definedName name="MO_ELEC_PANEL_DIST_8">#REF!</definedName>
    <definedName name="MO_ELEC_PANEL_DIST_9" localSheetId="8">#REF!</definedName>
    <definedName name="MO_ELEC_PANEL_DIST_9">#REF!</definedName>
    <definedName name="MO_ELEC_TOMACORRIENTE_110" localSheetId="8">#REF!</definedName>
    <definedName name="MO_ELEC_TOMACORRIENTE_110">#REF!</definedName>
    <definedName name="MO_ELEC_TOMACORRIENTE_110_10" localSheetId="8">#REF!</definedName>
    <definedName name="MO_ELEC_TOMACORRIENTE_110_10">#REF!</definedName>
    <definedName name="MO_ELEC_TOMACORRIENTE_110_11" localSheetId="8">#REF!</definedName>
    <definedName name="MO_ELEC_TOMACORRIENTE_110_11">#REF!</definedName>
    <definedName name="MO_ELEC_TOMACORRIENTE_110_6" localSheetId="8">#REF!</definedName>
    <definedName name="MO_ELEC_TOMACORRIENTE_110_6">#REF!</definedName>
    <definedName name="MO_ELEC_TOMACORRIENTE_110_7" localSheetId="8">#REF!</definedName>
    <definedName name="MO_ELEC_TOMACORRIENTE_110_7">#REF!</definedName>
    <definedName name="MO_ELEC_TOMACORRIENTE_110_8" localSheetId="8">#REF!</definedName>
    <definedName name="MO_ELEC_TOMACORRIENTE_110_8">#REF!</definedName>
    <definedName name="MO_ELEC_TOMACORRIENTE_110_9" localSheetId="8">#REF!</definedName>
    <definedName name="MO_ELEC_TOMACORRIENTE_110_9">#REF!</definedName>
    <definedName name="MO_ELEC_TOMACORRIENTE_220" localSheetId="8">#REF!</definedName>
    <definedName name="MO_ELEC_TOMACORRIENTE_220">#REF!</definedName>
    <definedName name="MO_ELEC_TOMACORRIENTE_220_10" localSheetId="8">#REF!</definedName>
    <definedName name="MO_ELEC_TOMACORRIENTE_220_10">#REF!</definedName>
    <definedName name="MO_ELEC_TOMACORRIENTE_220_11" localSheetId="8">#REF!</definedName>
    <definedName name="MO_ELEC_TOMACORRIENTE_220_11">#REF!</definedName>
    <definedName name="MO_ELEC_TOMACORRIENTE_220_6" localSheetId="8">#REF!</definedName>
    <definedName name="MO_ELEC_TOMACORRIENTE_220_6">#REF!</definedName>
    <definedName name="MO_ELEC_TOMACORRIENTE_220_7" localSheetId="8">#REF!</definedName>
    <definedName name="MO_ELEC_TOMACORRIENTE_220_7">#REF!</definedName>
    <definedName name="MO_ELEC_TOMACORRIENTE_220_8" localSheetId="8">#REF!</definedName>
    <definedName name="MO_ELEC_TOMACORRIENTE_220_8">#REF!</definedName>
    <definedName name="MO_ELEC_TOMACORRIENTE_220_9" localSheetId="8">#REF!</definedName>
    <definedName name="MO_ELEC_TOMACORRIENTE_220_9">#REF!</definedName>
    <definedName name="MO_ENTABLILLADOS" localSheetId="8">#REF!</definedName>
    <definedName name="MO_ENTABLILLADOS">#REF!</definedName>
    <definedName name="MO_ENTABLILLADOS_10" localSheetId="8">#REF!</definedName>
    <definedName name="MO_ENTABLILLADOS_10">#REF!</definedName>
    <definedName name="MO_ENTABLILLADOS_11" localSheetId="8">#REF!</definedName>
    <definedName name="MO_ENTABLILLADOS_11">#REF!</definedName>
    <definedName name="MO_ENTABLILLADOS_6" localSheetId="8">#REF!</definedName>
    <definedName name="MO_ENTABLILLADOS_6">#REF!</definedName>
    <definedName name="MO_ENTABLILLADOS_7" localSheetId="8">#REF!</definedName>
    <definedName name="MO_ENTABLILLADOS_7">#REF!</definedName>
    <definedName name="MO_ENTABLILLADOS_8" localSheetId="8">#REF!</definedName>
    <definedName name="MO_ENTABLILLADOS_8">#REF!</definedName>
    <definedName name="MO_ENTABLILLADOS_9" localSheetId="8">#REF!</definedName>
    <definedName name="MO_ENTABLILLADOS_9">#REF!</definedName>
    <definedName name="MO_ESCALON_GRANITO" localSheetId="8">#REF!</definedName>
    <definedName name="MO_ESCALON_GRANITO">#REF!</definedName>
    <definedName name="MO_ESCALON_GRANITO_10" localSheetId="8">#REF!</definedName>
    <definedName name="MO_ESCALON_GRANITO_10">#REF!</definedName>
    <definedName name="MO_ESCALON_GRANITO_11" localSheetId="8">#REF!</definedName>
    <definedName name="MO_ESCALON_GRANITO_11">#REF!</definedName>
    <definedName name="MO_ESCALON_GRANITO_6" localSheetId="8">#REF!</definedName>
    <definedName name="MO_ESCALON_GRANITO_6">#REF!</definedName>
    <definedName name="MO_ESCALON_GRANITO_7" localSheetId="8">#REF!</definedName>
    <definedName name="MO_ESCALON_GRANITO_7">#REF!</definedName>
    <definedName name="MO_ESCALON_GRANITO_8" localSheetId="8">#REF!</definedName>
    <definedName name="MO_ESCALON_GRANITO_8">#REF!</definedName>
    <definedName name="MO_ESCALON_GRANITO_9" localSheetId="8">#REF!</definedName>
    <definedName name="MO_ESCALON_GRANITO_9">#REF!</definedName>
    <definedName name="MO_ESCALON_HUELLA_y_CONTRAHUELLA" localSheetId="8">#REF!</definedName>
    <definedName name="MO_ESCALON_HUELLA_y_CONTRAHUELLA">#REF!</definedName>
    <definedName name="MO_ESCALON_HUELLA_y_CONTRAHUELLA_10" localSheetId="8">#REF!</definedName>
    <definedName name="MO_ESCALON_HUELLA_y_CONTRAHUELLA_10">#REF!</definedName>
    <definedName name="MO_ESCALON_HUELLA_y_CONTRAHUELLA_11" localSheetId="8">#REF!</definedName>
    <definedName name="MO_ESCALON_HUELLA_y_CONTRAHUELLA_11">#REF!</definedName>
    <definedName name="MO_ESCALON_HUELLA_y_CONTRAHUELLA_6" localSheetId="8">#REF!</definedName>
    <definedName name="MO_ESCALON_HUELLA_y_CONTRAHUELLA_6">#REF!</definedName>
    <definedName name="MO_ESCALON_HUELLA_y_CONTRAHUELLA_7" localSheetId="8">#REF!</definedName>
    <definedName name="MO_ESCALON_HUELLA_y_CONTRAHUELLA_7">#REF!</definedName>
    <definedName name="MO_ESCALON_HUELLA_y_CONTRAHUELLA_8" localSheetId="8">#REF!</definedName>
    <definedName name="MO_ESCALON_HUELLA_y_CONTRAHUELLA_8">#REF!</definedName>
    <definedName name="MO_ESCALON_HUELLA_y_CONTRAHUELLA_9" localSheetId="8">#REF!</definedName>
    <definedName name="MO_ESCALON_HUELLA_y_CONTRAHUELLA_9">#REF!</definedName>
    <definedName name="MO_ESTRIAS" localSheetId="8">#REF!</definedName>
    <definedName name="MO_ESTRIAS">#REF!</definedName>
    <definedName name="MO_ESTRIAS_10" localSheetId="8">#REF!</definedName>
    <definedName name="MO_ESTRIAS_10">#REF!</definedName>
    <definedName name="MO_ESTRIAS_11" localSheetId="8">#REF!</definedName>
    <definedName name="MO_ESTRIAS_11">#REF!</definedName>
    <definedName name="MO_ESTRIAS_6" localSheetId="8">#REF!</definedName>
    <definedName name="MO_ESTRIAS_6">#REF!</definedName>
    <definedName name="MO_ESTRIAS_7" localSheetId="8">#REF!</definedName>
    <definedName name="MO_ESTRIAS_7">#REF!</definedName>
    <definedName name="MO_ESTRIAS_8" localSheetId="8">#REF!</definedName>
    <definedName name="MO_ESTRIAS_8">#REF!</definedName>
    <definedName name="MO_ESTRIAS_9" localSheetId="8">#REF!</definedName>
    <definedName name="MO_ESTRIAS_9">#REF!</definedName>
    <definedName name="MO_EXC_CALICHE_MANO_3M" localSheetId="8">#REF!</definedName>
    <definedName name="MO_EXC_CALICHE_MANO_3M">#REF!</definedName>
    <definedName name="MO_EXC_CALICHE_MANO_3M_10" localSheetId="8">#REF!</definedName>
    <definedName name="MO_EXC_CALICHE_MANO_3M_10">#REF!</definedName>
    <definedName name="MO_EXC_CALICHE_MANO_3M_11" localSheetId="8">#REF!</definedName>
    <definedName name="MO_EXC_CALICHE_MANO_3M_11">#REF!</definedName>
    <definedName name="MO_EXC_CALICHE_MANO_3M_6" localSheetId="8">#REF!</definedName>
    <definedName name="MO_EXC_CALICHE_MANO_3M_6">#REF!</definedName>
    <definedName name="MO_EXC_CALICHE_MANO_3M_7" localSheetId="8">#REF!</definedName>
    <definedName name="MO_EXC_CALICHE_MANO_3M_7">#REF!</definedName>
    <definedName name="MO_EXC_CALICHE_MANO_3M_8" localSheetId="8">#REF!</definedName>
    <definedName name="MO_EXC_CALICHE_MANO_3M_8">#REF!</definedName>
    <definedName name="MO_EXC_CALICHE_MANO_3M_9" localSheetId="8">#REF!</definedName>
    <definedName name="MO_EXC_CALICHE_MANO_3M_9">#REF!</definedName>
    <definedName name="MO_EXC_ROCA_BLANDA_MANO_3M" localSheetId="8">#REF!</definedName>
    <definedName name="MO_EXC_ROCA_BLANDA_MANO_3M">#REF!</definedName>
    <definedName name="MO_EXC_ROCA_BLANDA_MANO_3M_10" localSheetId="8">#REF!</definedName>
    <definedName name="MO_EXC_ROCA_BLANDA_MANO_3M_10">#REF!</definedName>
    <definedName name="MO_EXC_ROCA_BLANDA_MANO_3M_11" localSheetId="8">#REF!</definedName>
    <definedName name="MO_EXC_ROCA_BLANDA_MANO_3M_11">#REF!</definedName>
    <definedName name="MO_EXC_ROCA_BLANDA_MANO_3M_6" localSheetId="8">#REF!</definedName>
    <definedName name="MO_EXC_ROCA_BLANDA_MANO_3M_6">#REF!</definedName>
    <definedName name="MO_EXC_ROCA_BLANDA_MANO_3M_7" localSheetId="8">#REF!</definedName>
    <definedName name="MO_EXC_ROCA_BLANDA_MANO_3M_7">#REF!</definedName>
    <definedName name="MO_EXC_ROCA_BLANDA_MANO_3M_8" localSheetId="8">#REF!</definedName>
    <definedName name="MO_EXC_ROCA_BLANDA_MANO_3M_8">#REF!</definedName>
    <definedName name="MO_EXC_ROCA_BLANDA_MANO_3M_9" localSheetId="8">#REF!</definedName>
    <definedName name="MO_EXC_ROCA_BLANDA_MANO_3M_9">#REF!</definedName>
    <definedName name="MO_EXC_ROCA_COMP_3M" localSheetId="8">#REF!</definedName>
    <definedName name="MO_EXC_ROCA_COMP_3M">#REF!</definedName>
    <definedName name="MO_EXC_ROCA_COMP_3M_10" localSheetId="8">#REF!</definedName>
    <definedName name="MO_EXC_ROCA_COMP_3M_10">#REF!</definedName>
    <definedName name="MO_EXC_ROCA_COMP_3M_11" localSheetId="8">#REF!</definedName>
    <definedName name="MO_EXC_ROCA_COMP_3M_11">#REF!</definedName>
    <definedName name="MO_EXC_ROCA_COMP_3M_6" localSheetId="8">#REF!</definedName>
    <definedName name="MO_EXC_ROCA_COMP_3M_6">#REF!</definedName>
    <definedName name="MO_EXC_ROCA_COMP_3M_7" localSheetId="8">#REF!</definedName>
    <definedName name="MO_EXC_ROCA_COMP_3M_7">#REF!</definedName>
    <definedName name="MO_EXC_ROCA_COMP_3M_8" localSheetId="8">#REF!</definedName>
    <definedName name="MO_EXC_ROCA_COMP_3M_8">#REF!</definedName>
    <definedName name="MO_EXC_ROCA_COMP_3M_9" localSheetId="8">#REF!</definedName>
    <definedName name="MO_EXC_ROCA_COMP_3M_9">#REF!</definedName>
    <definedName name="MO_EXC_ROCA_MANO_3M" localSheetId="8">#REF!</definedName>
    <definedName name="MO_EXC_ROCA_MANO_3M">#REF!</definedName>
    <definedName name="MO_EXC_ROCA_MANO_3M_10" localSheetId="8">#REF!</definedName>
    <definedName name="MO_EXC_ROCA_MANO_3M_10">#REF!</definedName>
    <definedName name="MO_EXC_ROCA_MANO_3M_11" localSheetId="8">#REF!</definedName>
    <definedName name="MO_EXC_ROCA_MANO_3M_11">#REF!</definedName>
    <definedName name="MO_EXC_ROCA_MANO_3M_6" localSheetId="8">#REF!</definedName>
    <definedName name="MO_EXC_ROCA_MANO_3M_6">#REF!</definedName>
    <definedName name="MO_EXC_ROCA_MANO_3M_7" localSheetId="8">#REF!</definedName>
    <definedName name="MO_EXC_ROCA_MANO_3M_7">#REF!</definedName>
    <definedName name="MO_EXC_ROCA_MANO_3M_8" localSheetId="8">#REF!</definedName>
    <definedName name="MO_EXC_ROCA_MANO_3M_8">#REF!</definedName>
    <definedName name="MO_EXC_ROCA_MANO_3M_9" localSheetId="8">#REF!</definedName>
    <definedName name="MO_EXC_ROCA_MANO_3M_9">#REF!</definedName>
    <definedName name="MO_EXC_TIERRA_MANO_3M" localSheetId="8">#REF!</definedName>
    <definedName name="MO_EXC_TIERRA_MANO_3M">#REF!</definedName>
    <definedName name="MO_EXC_TIERRA_MANO_3M_10" localSheetId="8">#REF!</definedName>
    <definedName name="MO_EXC_TIERRA_MANO_3M_10">#REF!</definedName>
    <definedName name="MO_EXC_TIERRA_MANO_3M_11" localSheetId="8">#REF!</definedName>
    <definedName name="MO_EXC_TIERRA_MANO_3M_11">#REF!</definedName>
    <definedName name="MO_EXC_TIERRA_MANO_3M_6" localSheetId="8">#REF!</definedName>
    <definedName name="MO_EXC_TIERRA_MANO_3M_6">#REF!</definedName>
    <definedName name="MO_EXC_TIERRA_MANO_3M_7" localSheetId="8">#REF!</definedName>
    <definedName name="MO_EXC_TIERRA_MANO_3M_7">#REF!</definedName>
    <definedName name="MO_EXC_TIERRA_MANO_3M_8" localSheetId="8">#REF!</definedName>
    <definedName name="MO_EXC_TIERRA_MANO_3M_8">#REF!</definedName>
    <definedName name="MO_EXC_TIERRA_MANO_3M_9" localSheetId="8">#REF!</definedName>
    <definedName name="MO_EXC_TIERRA_MANO_3M_9">#REF!</definedName>
    <definedName name="MO_FINO_TECHO_HOR" localSheetId="8">#REF!</definedName>
    <definedName name="MO_FINO_TECHO_HOR">#REF!</definedName>
    <definedName name="MO_FINO_TECHO_HOR_10" localSheetId="8">#REF!</definedName>
    <definedName name="MO_FINO_TECHO_HOR_10">#REF!</definedName>
    <definedName name="MO_FINO_TECHO_HOR_11" localSheetId="8">#REF!</definedName>
    <definedName name="MO_FINO_TECHO_HOR_11">#REF!</definedName>
    <definedName name="MO_FINO_TECHO_HOR_6" localSheetId="8">#REF!</definedName>
    <definedName name="MO_FINO_TECHO_HOR_6">#REF!</definedName>
    <definedName name="MO_FINO_TECHO_HOR_7" localSheetId="8">#REF!</definedName>
    <definedName name="MO_FINO_TECHO_HOR_7">#REF!</definedName>
    <definedName name="MO_FINO_TECHO_HOR_8" localSheetId="8">#REF!</definedName>
    <definedName name="MO_FINO_TECHO_HOR_8">#REF!</definedName>
    <definedName name="MO_FINO_TECHO_HOR_9" localSheetId="8">#REF!</definedName>
    <definedName name="MO_FINO_TECHO_HOR_9">#REF!</definedName>
    <definedName name="MO_FRAGUACHE" localSheetId="8">#REF!</definedName>
    <definedName name="MO_FRAGUACHE">#REF!</definedName>
    <definedName name="MO_FRAGUACHE_10" localSheetId="8">#REF!</definedName>
    <definedName name="MO_FRAGUACHE_10">#REF!</definedName>
    <definedName name="MO_FRAGUACHE_11" localSheetId="8">#REF!</definedName>
    <definedName name="MO_FRAGUACHE_11">#REF!</definedName>
    <definedName name="MO_FRAGUACHE_6" localSheetId="8">#REF!</definedName>
    <definedName name="MO_FRAGUACHE_6">#REF!</definedName>
    <definedName name="MO_FRAGUACHE_7" localSheetId="8">#REF!</definedName>
    <definedName name="MO_FRAGUACHE_7">#REF!</definedName>
    <definedName name="MO_FRAGUACHE_8" localSheetId="8">#REF!</definedName>
    <definedName name="MO_FRAGUACHE_8">#REF!</definedName>
    <definedName name="MO_FRAGUACHE_9" localSheetId="8">#REF!</definedName>
    <definedName name="MO_FRAGUACHE_9">#REF!</definedName>
    <definedName name="MO_GOTEROS" localSheetId="8">#REF!</definedName>
    <definedName name="MO_GOTEROS">#REF!</definedName>
    <definedName name="MO_GOTEROS_10" localSheetId="8">#REF!</definedName>
    <definedName name="MO_GOTEROS_10">#REF!</definedName>
    <definedName name="MO_GOTEROS_11" localSheetId="8">#REF!</definedName>
    <definedName name="MO_GOTEROS_11">#REF!</definedName>
    <definedName name="MO_GOTEROS_6" localSheetId="8">#REF!</definedName>
    <definedName name="MO_GOTEROS_6">#REF!</definedName>
    <definedName name="MO_GOTEROS_7" localSheetId="8">#REF!</definedName>
    <definedName name="MO_GOTEROS_7">#REF!</definedName>
    <definedName name="MO_GOTEROS_8" localSheetId="8">#REF!</definedName>
    <definedName name="MO_GOTEROS_8">#REF!</definedName>
    <definedName name="MO_GOTEROS_9" localSheetId="8">#REF!</definedName>
    <definedName name="MO_GOTEROS_9">#REF!</definedName>
    <definedName name="mo_maestro_dia" localSheetId="8">#REF!</definedName>
    <definedName name="mo_maestro_dia">#REF!</definedName>
    <definedName name="MO_NATILLA" localSheetId="8">#REF!</definedName>
    <definedName name="MO_NATILLA">#REF!</definedName>
    <definedName name="MO_NATILLA_10" localSheetId="8">#REF!</definedName>
    <definedName name="MO_NATILLA_10">#REF!</definedName>
    <definedName name="MO_NATILLA_11" localSheetId="8">#REF!</definedName>
    <definedName name="MO_NATILLA_11">#REF!</definedName>
    <definedName name="MO_NATILLA_6" localSheetId="8">#REF!</definedName>
    <definedName name="MO_NATILLA_6">#REF!</definedName>
    <definedName name="MO_NATILLA_7" localSheetId="8">#REF!</definedName>
    <definedName name="MO_NATILLA_7">#REF!</definedName>
    <definedName name="MO_NATILLA_8" localSheetId="8">#REF!</definedName>
    <definedName name="MO_NATILLA_8">#REF!</definedName>
    <definedName name="MO_NATILLA_9" localSheetId="8">#REF!</definedName>
    <definedName name="MO_NATILLA_9">#REF!</definedName>
    <definedName name="mo_oper_pes_dia" localSheetId="8">#REF!</definedName>
    <definedName name="mo_oper_pes_dia">#REF!</definedName>
    <definedName name="mo_oper2_dia" localSheetId="8">#REF!</definedName>
    <definedName name="mo_oper2_dia">#REF!</definedName>
    <definedName name="MO_PAÑETE_COLs" localSheetId="8">#REF!</definedName>
    <definedName name="MO_PAÑETE_COLs">#REF!</definedName>
    <definedName name="MO_PAÑETE_COLs_10" localSheetId="8">#REF!</definedName>
    <definedName name="MO_PAÑETE_COLs_10">#REF!</definedName>
    <definedName name="MO_PAÑETE_COLs_11" localSheetId="8">#REF!</definedName>
    <definedName name="MO_PAÑETE_COLs_11">#REF!</definedName>
    <definedName name="MO_PAÑETE_COLs_6" localSheetId="8">#REF!</definedName>
    <definedName name="MO_PAÑETE_COLs_6">#REF!</definedName>
    <definedName name="MO_PAÑETE_COLs_7" localSheetId="8">#REF!</definedName>
    <definedName name="MO_PAÑETE_COLs_7">#REF!</definedName>
    <definedName name="MO_PAÑETE_COLs_8" localSheetId="8">#REF!</definedName>
    <definedName name="MO_PAÑETE_COLs_8">#REF!</definedName>
    <definedName name="MO_PAÑETE_COLs_9" localSheetId="8">#REF!</definedName>
    <definedName name="MO_PAÑETE_COLs_9">#REF!</definedName>
    <definedName name="MO_PAÑETE_EXT" localSheetId="8">#REF!</definedName>
    <definedName name="MO_PAÑETE_EXT">#REF!</definedName>
    <definedName name="MO_PAÑETE_EXT_10" localSheetId="8">#REF!</definedName>
    <definedName name="MO_PAÑETE_EXT_10">#REF!</definedName>
    <definedName name="MO_PAÑETE_EXT_11" localSheetId="8">#REF!</definedName>
    <definedName name="MO_PAÑETE_EXT_11">#REF!</definedName>
    <definedName name="MO_PAÑETE_EXT_6" localSheetId="8">#REF!</definedName>
    <definedName name="MO_PAÑETE_EXT_6">#REF!</definedName>
    <definedName name="MO_PAÑETE_EXT_7" localSheetId="8">#REF!</definedName>
    <definedName name="MO_PAÑETE_EXT_7">#REF!</definedName>
    <definedName name="MO_PAÑETE_EXT_8" localSheetId="8">#REF!</definedName>
    <definedName name="MO_PAÑETE_EXT_8">#REF!</definedName>
    <definedName name="MO_PAÑETE_EXT_9" localSheetId="8">#REF!</definedName>
    <definedName name="MO_PAÑETE_EXT_9">#REF!</definedName>
    <definedName name="MO_PAÑETE_INT" localSheetId="8">#REF!</definedName>
    <definedName name="MO_PAÑETE_INT">#REF!</definedName>
    <definedName name="MO_PAÑETE_INT_10" localSheetId="8">#REF!</definedName>
    <definedName name="MO_PAÑETE_INT_10">#REF!</definedName>
    <definedName name="MO_PAÑETE_INT_11" localSheetId="8">#REF!</definedName>
    <definedName name="MO_PAÑETE_INT_11">#REF!</definedName>
    <definedName name="MO_PAÑETE_INT_6" localSheetId="8">#REF!</definedName>
    <definedName name="MO_PAÑETE_INT_6">#REF!</definedName>
    <definedName name="MO_PAÑETE_INT_7" localSheetId="8">#REF!</definedName>
    <definedName name="MO_PAÑETE_INT_7">#REF!</definedName>
    <definedName name="MO_PAÑETE_INT_8" localSheetId="8">#REF!</definedName>
    <definedName name="MO_PAÑETE_INT_8">#REF!</definedName>
    <definedName name="MO_PAÑETE_INT_9" localSheetId="8">#REF!</definedName>
    <definedName name="MO_PAÑETE_INT_9">#REF!</definedName>
    <definedName name="MO_PAÑETE_PULIDO" localSheetId="8">#REF!</definedName>
    <definedName name="MO_PAÑETE_PULIDO">#REF!</definedName>
    <definedName name="MO_PAÑETE_PULIDO_10" localSheetId="8">#REF!</definedName>
    <definedName name="MO_PAÑETE_PULIDO_10">#REF!</definedName>
    <definedName name="MO_PAÑETE_PULIDO_11" localSheetId="8">#REF!</definedName>
    <definedName name="MO_PAÑETE_PULIDO_11">#REF!</definedName>
    <definedName name="MO_PAÑETE_PULIDO_6" localSheetId="8">#REF!</definedName>
    <definedName name="MO_PAÑETE_PULIDO_6">#REF!</definedName>
    <definedName name="MO_PAÑETE_PULIDO_7" localSheetId="8">#REF!</definedName>
    <definedName name="MO_PAÑETE_PULIDO_7">#REF!</definedName>
    <definedName name="MO_PAÑETE_PULIDO_8" localSheetId="8">#REF!</definedName>
    <definedName name="MO_PAÑETE_PULIDO_8">#REF!</definedName>
    <definedName name="MO_PAÑETE_PULIDO_9" localSheetId="8">#REF!</definedName>
    <definedName name="MO_PAÑETE_PULIDO_9">#REF!</definedName>
    <definedName name="MO_PAÑETE_RASGADO" localSheetId="8">#REF!</definedName>
    <definedName name="MO_PAÑETE_RASGADO">#REF!</definedName>
    <definedName name="MO_PAÑETE_RASGADO_10" localSheetId="8">#REF!</definedName>
    <definedName name="MO_PAÑETE_RASGADO_10">#REF!</definedName>
    <definedName name="MO_PAÑETE_RASGADO_11" localSheetId="8">#REF!</definedName>
    <definedName name="MO_PAÑETE_RASGADO_11">#REF!</definedName>
    <definedName name="MO_PAÑETE_RASGADO_6" localSheetId="8">#REF!</definedName>
    <definedName name="MO_PAÑETE_RASGADO_6">#REF!</definedName>
    <definedName name="MO_PAÑETE_RASGADO_7" localSheetId="8">#REF!</definedName>
    <definedName name="MO_PAÑETE_RASGADO_7">#REF!</definedName>
    <definedName name="MO_PAÑETE_RASGADO_8" localSheetId="8">#REF!</definedName>
    <definedName name="MO_PAÑETE_RASGADO_8">#REF!</definedName>
    <definedName name="MO_PAÑETE_RASGADO_9" localSheetId="8">#REF!</definedName>
    <definedName name="MO_PAÑETE_RASGADO_9">#REF!</definedName>
    <definedName name="MO_PAÑETE_TECHOSyVIGAS" localSheetId="8">#REF!</definedName>
    <definedName name="MO_PAÑETE_TECHOSyVIGAS">#REF!</definedName>
    <definedName name="MO_PAÑETE_TECHOSyVIGAS_10" localSheetId="8">#REF!</definedName>
    <definedName name="MO_PAÑETE_TECHOSyVIGAS_10">#REF!</definedName>
    <definedName name="MO_PAÑETE_TECHOSyVIGAS_11" localSheetId="8">#REF!</definedName>
    <definedName name="MO_PAÑETE_TECHOSyVIGAS_11">#REF!</definedName>
    <definedName name="MO_PAÑETE_TECHOSyVIGAS_6" localSheetId="8">#REF!</definedName>
    <definedName name="MO_PAÑETE_TECHOSyVIGAS_6">#REF!</definedName>
    <definedName name="MO_PAÑETE_TECHOSyVIGAS_7" localSheetId="8">#REF!</definedName>
    <definedName name="MO_PAÑETE_TECHOSyVIGAS_7">#REF!</definedName>
    <definedName name="MO_PAÑETE_TECHOSyVIGAS_8" localSheetId="8">#REF!</definedName>
    <definedName name="MO_PAÑETE_TECHOSyVIGAS_8">#REF!</definedName>
    <definedName name="MO_PAÑETE_TECHOSyVIGAS_9" localSheetId="8">#REF!</definedName>
    <definedName name="MO_PAÑETE_TECHOSyVIGAS_9">#REF!</definedName>
    <definedName name="MO_PERRILLA" localSheetId="8">#REF!</definedName>
    <definedName name="MO_PERRILLA">#REF!</definedName>
    <definedName name="MO_PERRILLA_10" localSheetId="8">#REF!</definedName>
    <definedName name="MO_PERRILLA_10">#REF!</definedName>
    <definedName name="MO_PERRILLA_11" localSheetId="8">#REF!</definedName>
    <definedName name="MO_PERRILLA_11">#REF!</definedName>
    <definedName name="MO_PERRILLA_6" localSheetId="8">#REF!</definedName>
    <definedName name="MO_PERRILLA_6">#REF!</definedName>
    <definedName name="MO_PERRILLA_7" localSheetId="8">#REF!</definedName>
    <definedName name="MO_PERRILLA_7">#REF!</definedName>
    <definedName name="MO_PERRILLA_8" localSheetId="8">#REF!</definedName>
    <definedName name="MO_PERRILLA_8">#REF!</definedName>
    <definedName name="MO_PERRILLA_9" localSheetId="8">#REF!</definedName>
    <definedName name="MO_PERRILLA_9">#REF!</definedName>
    <definedName name="MO_PIEDRA" localSheetId="8">#REF!</definedName>
    <definedName name="MO_PIEDRA">#REF!</definedName>
    <definedName name="MO_PIEDRA_10" localSheetId="8">#REF!</definedName>
    <definedName name="MO_PIEDRA_10">#REF!</definedName>
    <definedName name="MO_PIEDRA_11" localSheetId="8">#REF!</definedName>
    <definedName name="MO_PIEDRA_11">#REF!</definedName>
    <definedName name="MO_PIEDRA_6" localSheetId="8">#REF!</definedName>
    <definedName name="MO_PIEDRA_6">#REF!</definedName>
    <definedName name="MO_PIEDRA_7" localSheetId="8">#REF!</definedName>
    <definedName name="MO_PIEDRA_7">#REF!</definedName>
    <definedName name="MO_PIEDRA_8" localSheetId="8">#REF!</definedName>
    <definedName name="MO_PIEDRA_8">#REF!</definedName>
    <definedName name="MO_PIEDRA_9" localSheetId="8">#REF!</definedName>
    <definedName name="MO_PIEDRA_9">#REF!</definedName>
    <definedName name="MO_PINTURA" localSheetId="8">#REF!</definedName>
    <definedName name="MO_PINTURA">#REF!</definedName>
    <definedName name="MO_PINTURA_10" localSheetId="8">#REF!</definedName>
    <definedName name="MO_PINTURA_10">#REF!</definedName>
    <definedName name="MO_PINTURA_11" localSheetId="8">#REF!</definedName>
    <definedName name="MO_PINTURA_11">#REF!</definedName>
    <definedName name="MO_PINTURA_6" localSheetId="8">#REF!</definedName>
    <definedName name="MO_PINTURA_6">#REF!</definedName>
    <definedName name="MO_PINTURA_7" localSheetId="8">#REF!</definedName>
    <definedName name="MO_PINTURA_7">#REF!</definedName>
    <definedName name="MO_PINTURA_8" localSheetId="8">#REF!</definedName>
    <definedName name="MO_PINTURA_8">#REF!</definedName>
    <definedName name="MO_PINTURA_9" localSheetId="8">#REF!</definedName>
    <definedName name="MO_PINTURA_9">#REF!</definedName>
    <definedName name="MO_PISO_ADOQUIN" localSheetId="8">#REF!</definedName>
    <definedName name="MO_PISO_ADOQUIN">#REF!</definedName>
    <definedName name="MO_PISO_ADOQUIN_10" localSheetId="8">#REF!</definedName>
    <definedName name="MO_PISO_ADOQUIN_10">#REF!</definedName>
    <definedName name="MO_PISO_ADOQUIN_11" localSheetId="8">#REF!</definedName>
    <definedName name="MO_PISO_ADOQUIN_11">#REF!</definedName>
    <definedName name="MO_PISO_ADOQUIN_6" localSheetId="8">#REF!</definedName>
    <definedName name="MO_PISO_ADOQUIN_6">#REF!</definedName>
    <definedName name="MO_PISO_ADOQUIN_7" localSheetId="8">#REF!</definedName>
    <definedName name="MO_PISO_ADOQUIN_7">#REF!</definedName>
    <definedName name="MO_PISO_ADOQUIN_8" localSheetId="8">#REF!</definedName>
    <definedName name="MO_PISO_ADOQUIN_8">#REF!</definedName>
    <definedName name="MO_PISO_ADOQUIN_9" localSheetId="8">#REF!</definedName>
    <definedName name="MO_PISO_ADOQUIN_9">#REF!</definedName>
    <definedName name="MO_PISO_CementoPulido" localSheetId="8">#REF!</definedName>
    <definedName name="MO_PISO_CementoPulido">#REF!</definedName>
    <definedName name="MO_PISO_CementoPulido_10" localSheetId="8">#REF!</definedName>
    <definedName name="MO_PISO_CementoPulido_10">#REF!</definedName>
    <definedName name="MO_PISO_CementoPulido_11" localSheetId="8">#REF!</definedName>
    <definedName name="MO_PISO_CementoPulido_11">#REF!</definedName>
    <definedName name="MO_PISO_CementoPulido_6" localSheetId="8">#REF!</definedName>
    <definedName name="MO_PISO_CementoPulido_6">#REF!</definedName>
    <definedName name="MO_PISO_CementoPulido_7" localSheetId="8">#REF!</definedName>
    <definedName name="MO_PISO_CementoPulido_7">#REF!</definedName>
    <definedName name="MO_PISO_CementoPulido_8" localSheetId="8">#REF!</definedName>
    <definedName name="MO_PISO_CementoPulido_8">#REF!</definedName>
    <definedName name="MO_PISO_CementoPulido_9" localSheetId="8">#REF!</definedName>
    <definedName name="MO_PISO_CementoPulido_9">#REF!</definedName>
    <definedName name="MO_PISO_CERAMICA_15a20" localSheetId="8">#REF!</definedName>
    <definedName name="MO_PISO_CERAMICA_15a20">#REF!</definedName>
    <definedName name="MO_PISO_CERAMICA_15a20_10" localSheetId="8">#REF!</definedName>
    <definedName name="MO_PISO_CERAMICA_15a20_10">#REF!</definedName>
    <definedName name="MO_PISO_CERAMICA_15a20_11" localSheetId="8">#REF!</definedName>
    <definedName name="MO_PISO_CERAMICA_15a20_11">#REF!</definedName>
    <definedName name="MO_PISO_CERAMICA_15a20_6" localSheetId="8">#REF!</definedName>
    <definedName name="MO_PISO_CERAMICA_15a20_6">#REF!</definedName>
    <definedName name="MO_PISO_CERAMICA_15a20_7" localSheetId="8">#REF!</definedName>
    <definedName name="MO_PISO_CERAMICA_15a20_7">#REF!</definedName>
    <definedName name="MO_PISO_CERAMICA_15a20_8" localSheetId="8">#REF!</definedName>
    <definedName name="MO_PISO_CERAMICA_15a20_8">#REF!</definedName>
    <definedName name="MO_PISO_CERAMICA_15a20_9" localSheetId="8">#REF!</definedName>
    <definedName name="MO_PISO_CERAMICA_15a20_9">#REF!</definedName>
    <definedName name="MO_PISO_CERAMICA_15a20_BASE" localSheetId="8">#REF!</definedName>
    <definedName name="MO_PISO_CERAMICA_15a20_BASE">#REF!</definedName>
    <definedName name="MO_PISO_CERAMICA_15a20_BASE_10" localSheetId="8">#REF!</definedName>
    <definedName name="MO_PISO_CERAMICA_15a20_BASE_10">#REF!</definedName>
    <definedName name="MO_PISO_CERAMICA_15a20_BASE_11" localSheetId="8">#REF!</definedName>
    <definedName name="MO_PISO_CERAMICA_15a20_BASE_11">#REF!</definedName>
    <definedName name="MO_PISO_CERAMICA_15a20_BASE_6" localSheetId="8">#REF!</definedName>
    <definedName name="MO_PISO_CERAMICA_15a20_BASE_6">#REF!</definedName>
    <definedName name="MO_PISO_CERAMICA_15a20_BASE_7" localSheetId="8">#REF!</definedName>
    <definedName name="MO_PISO_CERAMICA_15a20_BASE_7">#REF!</definedName>
    <definedName name="MO_PISO_CERAMICA_15a20_BASE_8" localSheetId="8">#REF!</definedName>
    <definedName name="MO_PISO_CERAMICA_15a20_BASE_8">#REF!</definedName>
    <definedName name="MO_PISO_CERAMICA_15a20_BASE_9" localSheetId="8">#REF!</definedName>
    <definedName name="MO_PISO_CERAMICA_15a20_BASE_9">#REF!</definedName>
    <definedName name="MO_PISO_CERAMICA_30a40" localSheetId="8">#REF!</definedName>
    <definedName name="MO_PISO_CERAMICA_30a40">#REF!</definedName>
    <definedName name="MO_PISO_CERAMICA_30a40_10" localSheetId="8">#REF!</definedName>
    <definedName name="MO_PISO_CERAMICA_30a40_10">#REF!</definedName>
    <definedName name="MO_PISO_CERAMICA_30a40_11" localSheetId="8">#REF!</definedName>
    <definedName name="MO_PISO_CERAMICA_30a40_11">#REF!</definedName>
    <definedName name="MO_PISO_CERAMICA_30a40_6" localSheetId="8">#REF!</definedName>
    <definedName name="MO_PISO_CERAMICA_30a40_6">#REF!</definedName>
    <definedName name="MO_PISO_CERAMICA_30a40_7" localSheetId="8">#REF!</definedName>
    <definedName name="MO_PISO_CERAMICA_30a40_7">#REF!</definedName>
    <definedName name="MO_PISO_CERAMICA_30a40_8" localSheetId="8">#REF!</definedName>
    <definedName name="MO_PISO_CERAMICA_30a40_8">#REF!</definedName>
    <definedName name="MO_PISO_CERAMICA_30a40_9" localSheetId="8">#REF!</definedName>
    <definedName name="MO_PISO_CERAMICA_30a40_9">#REF!</definedName>
    <definedName name="MO_PISO_CERAMICA_30a40_BASE" localSheetId="8">#REF!</definedName>
    <definedName name="MO_PISO_CERAMICA_30a40_BASE">#REF!</definedName>
    <definedName name="MO_PISO_CERAMICA_30a40_BASE_10" localSheetId="8">#REF!</definedName>
    <definedName name="MO_PISO_CERAMICA_30a40_BASE_10">#REF!</definedName>
    <definedName name="MO_PISO_CERAMICA_30a40_BASE_11" localSheetId="8">#REF!</definedName>
    <definedName name="MO_PISO_CERAMICA_30a40_BASE_11">#REF!</definedName>
    <definedName name="MO_PISO_CERAMICA_30a40_BASE_6" localSheetId="8">#REF!</definedName>
    <definedName name="MO_PISO_CERAMICA_30a40_BASE_6">#REF!</definedName>
    <definedName name="MO_PISO_CERAMICA_30a40_BASE_7" localSheetId="8">#REF!</definedName>
    <definedName name="MO_PISO_CERAMICA_30a40_BASE_7">#REF!</definedName>
    <definedName name="MO_PISO_CERAMICA_30a40_BASE_8" localSheetId="8">#REF!</definedName>
    <definedName name="MO_PISO_CERAMICA_30a40_BASE_8">#REF!</definedName>
    <definedName name="MO_PISO_CERAMICA_30a40_BASE_9" localSheetId="8">#REF!</definedName>
    <definedName name="MO_PISO_CERAMICA_30a40_BASE_9">#REF!</definedName>
    <definedName name="MO_PISO_FROTA_VIOL" localSheetId="8">#REF!</definedName>
    <definedName name="MO_PISO_FROTA_VIOL">#REF!</definedName>
    <definedName name="MO_PISO_FROTA_VIOL_10" localSheetId="8">#REF!</definedName>
    <definedName name="MO_PISO_FROTA_VIOL_10">#REF!</definedName>
    <definedName name="MO_PISO_FROTA_VIOL_11" localSheetId="8">#REF!</definedName>
    <definedName name="MO_PISO_FROTA_VIOL_11">#REF!</definedName>
    <definedName name="MO_PISO_FROTA_VIOL_6" localSheetId="8">#REF!</definedName>
    <definedName name="MO_PISO_FROTA_VIOL_6">#REF!</definedName>
    <definedName name="MO_PISO_FROTA_VIOL_7" localSheetId="8">#REF!</definedName>
    <definedName name="MO_PISO_FROTA_VIOL_7">#REF!</definedName>
    <definedName name="MO_PISO_FROTA_VIOL_8" localSheetId="8">#REF!</definedName>
    <definedName name="MO_PISO_FROTA_VIOL_8">#REF!</definedName>
    <definedName name="MO_PISO_FROTA_VIOL_9" localSheetId="8">#REF!</definedName>
    <definedName name="MO_PISO_FROTA_VIOL_9">#REF!</definedName>
    <definedName name="MO_PISO_FROTADO" localSheetId="8">#REF!</definedName>
    <definedName name="MO_PISO_FROTADO">#REF!</definedName>
    <definedName name="MO_PISO_FROTADO_10" localSheetId="8">#REF!</definedName>
    <definedName name="MO_PISO_FROTADO_10">#REF!</definedName>
    <definedName name="MO_PISO_FROTADO_11" localSheetId="8">#REF!</definedName>
    <definedName name="MO_PISO_FROTADO_11">#REF!</definedName>
    <definedName name="MO_PISO_FROTADO_6" localSheetId="8">#REF!</definedName>
    <definedName name="MO_PISO_FROTADO_6">#REF!</definedName>
    <definedName name="MO_PISO_FROTADO_7" localSheetId="8">#REF!</definedName>
    <definedName name="MO_PISO_FROTADO_7">#REF!</definedName>
    <definedName name="MO_PISO_FROTADO_8" localSheetId="8">#REF!</definedName>
    <definedName name="MO_PISO_FROTADO_8">#REF!</definedName>
    <definedName name="MO_PISO_FROTADO_9" localSheetId="8">#REF!</definedName>
    <definedName name="MO_PISO_FROTADO_9">#REF!</definedName>
    <definedName name="MO_PISO_GRANITO_25" localSheetId="8">#REF!</definedName>
    <definedName name="MO_PISO_GRANITO_25">#REF!</definedName>
    <definedName name="MO_PISO_GRANITO_25_10" localSheetId="8">#REF!</definedName>
    <definedName name="MO_PISO_GRANITO_25_10">#REF!</definedName>
    <definedName name="MO_PISO_GRANITO_25_11" localSheetId="8">#REF!</definedName>
    <definedName name="MO_PISO_GRANITO_25_11">#REF!</definedName>
    <definedName name="MO_PISO_GRANITO_25_6" localSheetId="8">#REF!</definedName>
    <definedName name="MO_PISO_GRANITO_25_6">#REF!</definedName>
    <definedName name="MO_PISO_GRANITO_25_7" localSheetId="8">#REF!</definedName>
    <definedName name="MO_PISO_GRANITO_25_7">#REF!</definedName>
    <definedName name="MO_PISO_GRANITO_25_8" localSheetId="8">#REF!</definedName>
    <definedName name="MO_PISO_GRANITO_25_8">#REF!</definedName>
    <definedName name="MO_PISO_GRANITO_25_9" localSheetId="8">#REF!</definedName>
    <definedName name="MO_PISO_GRANITO_25_9">#REF!</definedName>
    <definedName name="MO_PISO_GRANITO_30" localSheetId="8">#REF!</definedName>
    <definedName name="MO_PISO_GRANITO_30">#REF!</definedName>
    <definedName name="MO_PISO_GRANITO_30_10" localSheetId="8">#REF!</definedName>
    <definedName name="MO_PISO_GRANITO_30_10">#REF!</definedName>
    <definedName name="MO_PISO_GRANITO_30_11" localSheetId="8">#REF!</definedName>
    <definedName name="MO_PISO_GRANITO_30_11">#REF!</definedName>
    <definedName name="MO_PISO_GRANITO_30_6" localSheetId="8">#REF!</definedName>
    <definedName name="MO_PISO_GRANITO_30_6">#REF!</definedName>
    <definedName name="MO_PISO_GRANITO_30_7" localSheetId="8">#REF!</definedName>
    <definedName name="MO_PISO_GRANITO_30_7">#REF!</definedName>
    <definedName name="MO_PISO_GRANITO_30_8" localSheetId="8">#REF!</definedName>
    <definedName name="MO_PISO_GRANITO_30_8">#REF!</definedName>
    <definedName name="MO_PISO_GRANITO_30_9" localSheetId="8">#REF!</definedName>
    <definedName name="MO_PISO_GRANITO_30_9">#REF!</definedName>
    <definedName name="MO_PISO_GRANITO_33" localSheetId="8">#REF!</definedName>
    <definedName name="MO_PISO_GRANITO_33">#REF!</definedName>
    <definedName name="MO_PISO_GRANITO_33_10" localSheetId="8">#REF!</definedName>
    <definedName name="MO_PISO_GRANITO_33_10">#REF!</definedName>
    <definedName name="MO_PISO_GRANITO_33_11" localSheetId="8">#REF!</definedName>
    <definedName name="MO_PISO_GRANITO_33_11">#REF!</definedName>
    <definedName name="MO_PISO_GRANITO_33_6" localSheetId="8">#REF!</definedName>
    <definedName name="MO_PISO_GRANITO_33_6">#REF!</definedName>
    <definedName name="MO_PISO_GRANITO_33_7" localSheetId="8">#REF!</definedName>
    <definedName name="MO_PISO_GRANITO_33_7">#REF!</definedName>
    <definedName name="MO_PISO_GRANITO_33_8" localSheetId="8">#REF!</definedName>
    <definedName name="MO_PISO_GRANITO_33_8">#REF!</definedName>
    <definedName name="MO_PISO_GRANITO_33_9" localSheetId="8">#REF!</definedName>
    <definedName name="MO_PISO_GRANITO_33_9">#REF!</definedName>
    <definedName name="MO_PISO_GRANITO_40" localSheetId="8">#REF!</definedName>
    <definedName name="MO_PISO_GRANITO_40">#REF!</definedName>
    <definedName name="MO_PISO_GRANITO_40_10" localSheetId="8">#REF!</definedName>
    <definedName name="MO_PISO_GRANITO_40_10">#REF!</definedName>
    <definedName name="MO_PISO_GRANITO_40_11" localSheetId="8">#REF!</definedName>
    <definedName name="MO_PISO_GRANITO_40_11">#REF!</definedName>
    <definedName name="MO_PISO_GRANITO_40_6" localSheetId="8">#REF!</definedName>
    <definedName name="MO_PISO_GRANITO_40_6">#REF!</definedName>
    <definedName name="MO_PISO_GRANITO_40_7" localSheetId="8">#REF!</definedName>
    <definedName name="MO_PISO_GRANITO_40_7">#REF!</definedName>
    <definedName name="MO_PISO_GRANITO_40_8" localSheetId="8">#REF!</definedName>
    <definedName name="MO_PISO_GRANITO_40_8">#REF!</definedName>
    <definedName name="MO_PISO_GRANITO_40_9" localSheetId="8">#REF!</definedName>
    <definedName name="MO_PISO_GRANITO_40_9">#REF!</definedName>
    <definedName name="MO_PISO_GRANITO_50" localSheetId="8">#REF!</definedName>
    <definedName name="MO_PISO_GRANITO_50">#REF!</definedName>
    <definedName name="MO_PISO_GRANITO_50_10" localSheetId="8">#REF!</definedName>
    <definedName name="MO_PISO_GRANITO_50_10">#REF!</definedName>
    <definedName name="MO_PISO_GRANITO_50_11" localSheetId="8">#REF!</definedName>
    <definedName name="MO_PISO_GRANITO_50_11">#REF!</definedName>
    <definedName name="MO_PISO_GRANITO_50_6" localSheetId="8">#REF!</definedName>
    <definedName name="MO_PISO_GRANITO_50_6">#REF!</definedName>
    <definedName name="MO_PISO_GRANITO_50_7" localSheetId="8">#REF!</definedName>
    <definedName name="MO_PISO_GRANITO_50_7">#REF!</definedName>
    <definedName name="MO_PISO_GRANITO_50_8" localSheetId="8">#REF!</definedName>
    <definedName name="MO_PISO_GRANITO_50_8">#REF!</definedName>
    <definedName name="MO_PISO_GRANITO_50_9" localSheetId="8">#REF!</definedName>
    <definedName name="MO_PISO_GRANITO_50_9">#REF!</definedName>
    <definedName name="MO_PISO_PULI_VIOL" localSheetId="8">#REF!</definedName>
    <definedName name="MO_PISO_PULI_VIOL">#REF!</definedName>
    <definedName name="MO_PISO_PULI_VIOL_10" localSheetId="8">#REF!</definedName>
    <definedName name="MO_PISO_PULI_VIOL_10">#REF!</definedName>
    <definedName name="MO_PISO_PULI_VIOL_11" localSheetId="8">#REF!</definedName>
    <definedName name="MO_PISO_PULI_VIOL_11">#REF!</definedName>
    <definedName name="MO_PISO_PULI_VIOL_6" localSheetId="8">#REF!</definedName>
    <definedName name="MO_PISO_PULI_VIOL_6">#REF!</definedName>
    <definedName name="MO_PISO_PULI_VIOL_7" localSheetId="8">#REF!</definedName>
    <definedName name="MO_PISO_PULI_VIOL_7">#REF!</definedName>
    <definedName name="MO_PISO_PULI_VIOL_8" localSheetId="8">#REF!</definedName>
    <definedName name="MO_PISO_PULI_VIOL_8">#REF!</definedName>
    <definedName name="MO_PISO_PULI_VIOL_9" localSheetId="8">#REF!</definedName>
    <definedName name="MO_PISO_PULI_VIOL_9">#REF!</definedName>
    <definedName name="MO_PISO_ZOCALO" localSheetId="8">#REF!</definedName>
    <definedName name="MO_PISO_ZOCALO">#REF!</definedName>
    <definedName name="MO_PISO_ZOCALO_10" localSheetId="8">#REF!</definedName>
    <definedName name="MO_PISO_ZOCALO_10">#REF!</definedName>
    <definedName name="MO_PISO_ZOCALO_11" localSheetId="8">#REF!</definedName>
    <definedName name="MO_PISO_ZOCALO_11">#REF!</definedName>
    <definedName name="MO_PISO_ZOCALO_6" localSheetId="8">#REF!</definedName>
    <definedName name="MO_PISO_ZOCALO_6">#REF!</definedName>
    <definedName name="MO_PISO_ZOCALO_7" localSheetId="8">#REF!</definedName>
    <definedName name="MO_PISO_ZOCALO_7">#REF!</definedName>
    <definedName name="MO_PISO_ZOCALO_8" localSheetId="8">#REF!</definedName>
    <definedName name="MO_PISO_ZOCALO_8">#REF!</definedName>
    <definedName name="MO_PISO_ZOCALO_9" localSheetId="8">#REF!</definedName>
    <definedName name="MO_PISO_ZOCALO_9">#REF!</definedName>
    <definedName name="MO_REPELLO" localSheetId="8">#REF!</definedName>
    <definedName name="MO_REPELLO">#REF!</definedName>
    <definedName name="MO_REPELLO_10" localSheetId="8">#REF!</definedName>
    <definedName name="MO_REPELLO_10">#REF!</definedName>
    <definedName name="MO_REPELLO_11" localSheetId="8">#REF!</definedName>
    <definedName name="MO_REPELLO_11">#REF!</definedName>
    <definedName name="MO_REPELLO_6" localSheetId="8">#REF!</definedName>
    <definedName name="MO_REPELLO_6">#REF!</definedName>
    <definedName name="MO_REPELLO_7" localSheetId="8">#REF!</definedName>
    <definedName name="MO_REPELLO_7">#REF!</definedName>
    <definedName name="MO_REPELLO_8" localSheetId="8">#REF!</definedName>
    <definedName name="MO_REPELLO_8">#REF!</definedName>
    <definedName name="MO_REPELLO_9" localSheetId="8">#REF!</definedName>
    <definedName name="MO_REPELLO_9">#REF!</definedName>
    <definedName name="MO_RESANE_FROTA" localSheetId="8">#REF!</definedName>
    <definedName name="MO_RESANE_FROTA">#REF!</definedName>
    <definedName name="MO_RESANE_FROTA_10" localSheetId="8">#REF!</definedName>
    <definedName name="MO_RESANE_FROTA_10">#REF!</definedName>
    <definedName name="MO_RESANE_FROTA_11" localSheetId="8">#REF!</definedName>
    <definedName name="MO_RESANE_FROTA_11">#REF!</definedName>
    <definedName name="MO_RESANE_FROTA_6" localSheetId="8">#REF!</definedName>
    <definedName name="MO_RESANE_FROTA_6">#REF!</definedName>
    <definedName name="MO_RESANE_FROTA_7" localSheetId="8">#REF!</definedName>
    <definedName name="MO_RESANE_FROTA_7">#REF!</definedName>
    <definedName name="MO_RESANE_FROTA_8" localSheetId="8">#REF!</definedName>
    <definedName name="MO_RESANE_FROTA_8">#REF!</definedName>
    <definedName name="MO_RESANE_FROTA_9" localSheetId="8">#REF!</definedName>
    <definedName name="MO_RESANE_FROTA_9">#REF!</definedName>
    <definedName name="MO_RESANE_GOMA" localSheetId="8">#REF!</definedName>
    <definedName name="MO_RESANE_GOMA">#REF!</definedName>
    <definedName name="MO_RESANE_GOMA_10" localSheetId="8">#REF!</definedName>
    <definedName name="MO_RESANE_GOMA_10">#REF!</definedName>
    <definedName name="MO_RESANE_GOMA_11" localSheetId="8">#REF!</definedName>
    <definedName name="MO_RESANE_GOMA_11">#REF!</definedName>
    <definedName name="MO_RESANE_GOMA_6" localSheetId="8">#REF!</definedName>
    <definedName name="MO_RESANE_GOMA_6">#REF!</definedName>
    <definedName name="MO_RESANE_GOMA_7" localSheetId="8">#REF!</definedName>
    <definedName name="MO_RESANE_GOMA_7">#REF!</definedName>
    <definedName name="MO_RESANE_GOMA_8" localSheetId="8">#REF!</definedName>
    <definedName name="MO_RESANE_GOMA_8">#REF!</definedName>
    <definedName name="MO_RESANE_GOMA_9" localSheetId="8">#REF!</definedName>
    <definedName name="MO_RESANE_GOMA_9">#REF!</definedName>
    <definedName name="MO_SUBIDA_BLOCK_4_1NIVEL" localSheetId="8">#REF!</definedName>
    <definedName name="MO_SUBIDA_BLOCK_4_1NIVEL">#REF!</definedName>
    <definedName name="MO_SUBIDA_BLOCK_4_1NIVEL_10" localSheetId="8">#REF!</definedName>
    <definedName name="MO_SUBIDA_BLOCK_4_1NIVEL_10">#REF!</definedName>
    <definedName name="MO_SUBIDA_BLOCK_4_1NIVEL_11" localSheetId="8">#REF!</definedName>
    <definedName name="MO_SUBIDA_BLOCK_4_1NIVEL_11">#REF!</definedName>
    <definedName name="MO_SUBIDA_BLOCK_4_1NIVEL_6" localSheetId="8">#REF!</definedName>
    <definedName name="MO_SUBIDA_BLOCK_4_1NIVEL_6">#REF!</definedName>
    <definedName name="MO_SUBIDA_BLOCK_4_1NIVEL_7" localSheetId="8">#REF!</definedName>
    <definedName name="MO_SUBIDA_BLOCK_4_1NIVEL_7">#REF!</definedName>
    <definedName name="MO_SUBIDA_BLOCK_4_1NIVEL_8" localSheetId="8">#REF!</definedName>
    <definedName name="MO_SUBIDA_BLOCK_4_1NIVEL_8">#REF!</definedName>
    <definedName name="MO_SUBIDA_BLOCK_4_1NIVEL_9" localSheetId="8">#REF!</definedName>
    <definedName name="MO_SUBIDA_BLOCK_4_1NIVEL_9">#REF!</definedName>
    <definedName name="MO_SUBIDA_BLOCK_6_1NIVEL" localSheetId="8">#REF!</definedName>
    <definedName name="MO_SUBIDA_BLOCK_6_1NIVEL">#REF!</definedName>
    <definedName name="MO_SUBIDA_BLOCK_6_1NIVEL_10" localSheetId="8">#REF!</definedName>
    <definedName name="MO_SUBIDA_BLOCK_6_1NIVEL_10">#REF!</definedName>
    <definedName name="MO_SUBIDA_BLOCK_6_1NIVEL_11" localSheetId="8">#REF!</definedName>
    <definedName name="MO_SUBIDA_BLOCK_6_1NIVEL_11">#REF!</definedName>
    <definedName name="MO_SUBIDA_BLOCK_6_1NIVEL_6" localSheetId="8">#REF!</definedName>
    <definedName name="MO_SUBIDA_BLOCK_6_1NIVEL_6">#REF!</definedName>
    <definedName name="MO_SUBIDA_BLOCK_6_1NIVEL_7" localSheetId="8">#REF!</definedName>
    <definedName name="MO_SUBIDA_BLOCK_6_1NIVEL_7">#REF!</definedName>
    <definedName name="MO_SUBIDA_BLOCK_6_1NIVEL_8" localSheetId="8">#REF!</definedName>
    <definedName name="MO_SUBIDA_BLOCK_6_1NIVEL_8">#REF!</definedName>
    <definedName name="MO_SUBIDA_BLOCK_6_1NIVEL_9" localSheetId="8">#REF!</definedName>
    <definedName name="MO_SUBIDA_BLOCK_6_1NIVEL_9">#REF!</definedName>
    <definedName name="MO_SUBIDA_BLOCK_8_1NIVEL" localSheetId="8">#REF!</definedName>
    <definedName name="MO_SUBIDA_BLOCK_8_1NIVEL">#REF!</definedName>
    <definedName name="MO_SUBIDA_BLOCK_8_1NIVEL_10" localSheetId="8">#REF!</definedName>
    <definedName name="MO_SUBIDA_BLOCK_8_1NIVEL_10">#REF!</definedName>
    <definedName name="MO_SUBIDA_BLOCK_8_1NIVEL_11" localSheetId="8">#REF!</definedName>
    <definedName name="MO_SUBIDA_BLOCK_8_1NIVEL_11">#REF!</definedName>
    <definedName name="MO_SUBIDA_BLOCK_8_1NIVEL_6" localSheetId="8">#REF!</definedName>
    <definedName name="MO_SUBIDA_BLOCK_8_1NIVEL_6">#REF!</definedName>
    <definedName name="MO_SUBIDA_BLOCK_8_1NIVEL_7" localSheetId="8">#REF!</definedName>
    <definedName name="MO_SUBIDA_BLOCK_8_1NIVEL_7">#REF!</definedName>
    <definedName name="MO_SUBIDA_BLOCK_8_1NIVEL_8" localSheetId="8">#REF!</definedName>
    <definedName name="MO_SUBIDA_BLOCK_8_1NIVEL_8">#REF!</definedName>
    <definedName name="MO_SUBIDA_BLOCK_8_1NIVEL_9" localSheetId="8">#REF!</definedName>
    <definedName name="MO_SUBIDA_BLOCK_8_1NIVEL_9">#REF!</definedName>
    <definedName name="MO_SUBIDA_CEMENTO_1NIVEL" localSheetId="8">#REF!</definedName>
    <definedName name="MO_SUBIDA_CEMENTO_1NIVEL">#REF!</definedName>
    <definedName name="MO_SUBIDA_CEMENTO_1NIVEL_10" localSheetId="8">#REF!</definedName>
    <definedName name="MO_SUBIDA_CEMENTO_1NIVEL_10">#REF!</definedName>
    <definedName name="MO_SUBIDA_CEMENTO_1NIVEL_11" localSheetId="8">#REF!</definedName>
    <definedName name="MO_SUBIDA_CEMENTO_1NIVEL_11">#REF!</definedName>
    <definedName name="MO_SUBIDA_CEMENTO_1NIVEL_6" localSheetId="8">#REF!</definedName>
    <definedName name="MO_SUBIDA_CEMENTO_1NIVEL_6">#REF!</definedName>
    <definedName name="MO_SUBIDA_CEMENTO_1NIVEL_7" localSheetId="8">#REF!</definedName>
    <definedName name="MO_SUBIDA_CEMENTO_1NIVEL_7">#REF!</definedName>
    <definedName name="MO_SUBIDA_CEMENTO_1NIVEL_8" localSheetId="8">#REF!</definedName>
    <definedName name="MO_SUBIDA_CEMENTO_1NIVEL_8">#REF!</definedName>
    <definedName name="MO_SUBIDA_CEMENTO_1NIVEL_9" localSheetId="8">#REF!</definedName>
    <definedName name="MO_SUBIDA_CEMENTO_1NIVEL_9">#REF!</definedName>
    <definedName name="MO_SUBIDA_MADERA_1NIVEL" localSheetId="8">#REF!</definedName>
    <definedName name="MO_SUBIDA_MADERA_1NIVEL">#REF!</definedName>
    <definedName name="MO_SUBIDA_MADERA_1NIVEL_10" localSheetId="8">#REF!</definedName>
    <definedName name="MO_SUBIDA_MADERA_1NIVEL_10">#REF!</definedName>
    <definedName name="MO_SUBIDA_MADERA_1NIVEL_11" localSheetId="8">#REF!</definedName>
    <definedName name="MO_SUBIDA_MADERA_1NIVEL_11">#REF!</definedName>
    <definedName name="MO_SUBIDA_MADERA_1NIVEL_6" localSheetId="8">#REF!</definedName>
    <definedName name="MO_SUBIDA_MADERA_1NIVEL_6">#REF!</definedName>
    <definedName name="MO_SUBIDA_MADERA_1NIVEL_7" localSheetId="8">#REF!</definedName>
    <definedName name="MO_SUBIDA_MADERA_1NIVEL_7">#REF!</definedName>
    <definedName name="MO_SUBIDA_MADERA_1NIVEL_8" localSheetId="8">#REF!</definedName>
    <definedName name="MO_SUBIDA_MADERA_1NIVEL_8">#REF!</definedName>
    <definedName name="MO_SUBIDA_MADERA_1NIVEL_9" localSheetId="8">#REF!</definedName>
    <definedName name="MO_SUBIDA_MADERA_1NIVEL_9">#REF!</definedName>
    <definedName name="MO_SUBIR_AGREGADO_1Nivel" localSheetId="8">#REF!</definedName>
    <definedName name="MO_SUBIR_AGREGADO_1Nivel">#REF!</definedName>
    <definedName name="MO_SUBIR_AGREGADO_1Nivel_10" localSheetId="8">#REF!</definedName>
    <definedName name="MO_SUBIR_AGREGADO_1Nivel_10">#REF!</definedName>
    <definedName name="MO_SUBIR_AGREGADO_1Nivel_11" localSheetId="8">#REF!</definedName>
    <definedName name="MO_SUBIR_AGREGADO_1Nivel_11">#REF!</definedName>
    <definedName name="MO_SUBIR_AGREGADO_1Nivel_6" localSheetId="8">#REF!</definedName>
    <definedName name="MO_SUBIR_AGREGADO_1Nivel_6">#REF!</definedName>
    <definedName name="MO_SUBIR_AGREGADO_1Nivel_7" localSheetId="8">#REF!</definedName>
    <definedName name="MO_SUBIR_AGREGADO_1Nivel_7">#REF!</definedName>
    <definedName name="MO_SUBIR_AGREGADO_1Nivel_8" localSheetId="8">#REF!</definedName>
    <definedName name="MO_SUBIR_AGREGADO_1Nivel_8">#REF!</definedName>
    <definedName name="MO_SUBIR_AGREGADO_1Nivel_9" localSheetId="8">#REF!</definedName>
    <definedName name="MO_SUBIR_AGREGADO_1Nivel_9">#REF!</definedName>
    <definedName name="MO_SubirAcero_1Niv" localSheetId="8">#REF!</definedName>
    <definedName name="MO_SubirAcero_1Niv">#REF!</definedName>
    <definedName name="MO_SubirAcero_1Niv_10" localSheetId="8">#REF!</definedName>
    <definedName name="MO_SubirAcero_1Niv_10">#REF!</definedName>
    <definedName name="MO_SubirAcero_1Niv_11" localSheetId="8">#REF!</definedName>
    <definedName name="MO_SubirAcero_1Niv_11">#REF!</definedName>
    <definedName name="MO_SubirAcero_1Niv_6" localSheetId="8">#REF!</definedName>
    <definedName name="MO_SubirAcero_1Niv_6">#REF!</definedName>
    <definedName name="MO_SubirAcero_1Niv_7" localSheetId="8">#REF!</definedName>
    <definedName name="MO_SubirAcero_1Niv_7">#REF!</definedName>
    <definedName name="MO_SubirAcero_1Niv_8" localSheetId="8">#REF!</definedName>
    <definedName name="MO_SubirAcero_1Niv_8">#REF!</definedName>
    <definedName name="MO_SubirAcero_1Niv_9" localSheetId="8">#REF!</definedName>
    <definedName name="MO_SubirAcero_1Niv_9">#REF!</definedName>
    <definedName name="MO_ZABALETA_PISO" localSheetId="8">#REF!</definedName>
    <definedName name="MO_ZABALETA_PISO">#REF!</definedName>
    <definedName name="MO_ZABALETA_PISO_10" localSheetId="8">#REF!</definedName>
    <definedName name="MO_ZABALETA_PISO_10">#REF!</definedName>
    <definedName name="MO_ZABALETA_PISO_11" localSheetId="8">#REF!</definedName>
    <definedName name="MO_ZABALETA_PISO_11">#REF!</definedName>
    <definedName name="MO_ZABALETA_PISO_6" localSheetId="8">#REF!</definedName>
    <definedName name="MO_ZABALETA_PISO_6">#REF!</definedName>
    <definedName name="MO_ZABALETA_PISO_7" localSheetId="8">#REF!</definedName>
    <definedName name="MO_ZABALETA_PISO_7">#REF!</definedName>
    <definedName name="MO_ZABALETA_PISO_8" localSheetId="8">#REF!</definedName>
    <definedName name="MO_ZABALETA_PISO_8">#REF!</definedName>
    <definedName name="MO_ZABALETA_PISO_9" localSheetId="8">#REF!</definedName>
    <definedName name="MO_ZABALETA_PISO_9">#REF!</definedName>
    <definedName name="MO_ZABALETA_TECHO" localSheetId="8">#REF!</definedName>
    <definedName name="MO_ZABALETA_TECHO">#REF!</definedName>
    <definedName name="MO_ZABALETA_TECHO_10" localSheetId="8">#REF!</definedName>
    <definedName name="MO_ZABALETA_TECHO_10">#REF!</definedName>
    <definedName name="MO_ZABALETA_TECHO_11" localSheetId="8">#REF!</definedName>
    <definedName name="MO_ZABALETA_TECHO_11">#REF!</definedName>
    <definedName name="MO_ZABALETA_TECHO_6" localSheetId="8">#REF!</definedName>
    <definedName name="MO_ZABALETA_TECHO_6">#REF!</definedName>
    <definedName name="MO_ZABALETA_TECHO_7" localSheetId="8">#REF!</definedName>
    <definedName name="MO_ZABALETA_TECHO_7">#REF!</definedName>
    <definedName name="MO_ZABALETA_TECHO_8" localSheetId="8">#REF!</definedName>
    <definedName name="MO_ZABALETA_TECHO_8">#REF!</definedName>
    <definedName name="MO_ZABALETA_TECHO_9" localSheetId="8">#REF!</definedName>
    <definedName name="MO_ZABALETA_TECHO_9">#REF!</definedName>
    <definedName name="moacero" localSheetId="8">#REF!</definedName>
    <definedName name="moacero">#REF!</definedName>
    <definedName name="moacero_8" localSheetId="8">#REF!</definedName>
    <definedName name="moacero_8">#REF!</definedName>
    <definedName name="moaceromalla" localSheetId="8">#REF!</definedName>
    <definedName name="moaceromalla">#REF!</definedName>
    <definedName name="moaceromalla_8" localSheetId="8">#REF!</definedName>
    <definedName name="moaceromalla_8">#REF!</definedName>
    <definedName name="moacerorampa" localSheetId="8">#REF!</definedName>
    <definedName name="moacerorampa">#REF!</definedName>
    <definedName name="moacerorampa_8" localSheetId="8">#REF!</definedName>
    <definedName name="moacerorampa_8">#REF!</definedName>
    <definedName name="MOLDE_ESTAMPADO" localSheetId="8">#REF!</definedName>
    <definedName name="MOLDE_ESTAMPADO">#REF!</definedName>
    <definedName name="MOLDE_ESTAMPADO_10" localSheetId="8">#REF!</definedName>
    <definedName name="MOLDE_ESTAMPADO_10">#REF!</definedName>
    <definedName name="MOLDE_ESTAMPADO_11" localSheetId="8">#REF!</definedName>
    <definedName name="MOLDE_ESTAMPADO_11">#REF!</definedName>
    <definedName name="MOLDE_ESTAMPADO_6" localSheetId="8">#REF!</definedName>
    <definedName name="MOLDE_ESTAMPADO_6">#REF!</definedName>
    <definedName name="MOLDE_ESTAMPADO_7" localSheetId="8">#REF!</definedName>
    <definedName name="MOLDE_ESTAMPADO_7">#REF!</definedName>
    <definedName name="MOLDE_ESTAMPADO_8" localSheetId="8">#REF!</definedName>
    <definedName name="MOLDE_ESTAMPADO_8">#REF!</definedName>
    <definedName name="MOLDE_ESTAMPADO_9" localSheetId="8">#REF!</definedName>
    <definedName name="MOLDE_ESTAMPADO_9">#REF!</definedName>
    <definedName name="MOPISOCERAMICA" localSheetId="8">[21]INS!#REF!</definedName>
    <definedName name="MOPISOCERAMICA">[21]INS!#REF!</definedName>
    <definedName name="MOPISOCERAMICA_6" localSheetId="8">#REF!</definedName>
    <definedName name="MOPISOCERAMICA_6">#REF!</definedName>
    <definedName name="MOPISOCERAMICA_8" localSheetId="8">#REF!</definedName>
    <definedName name="MOPISOCERAMICA_8">#REF!</definedName>
    <definedName name="morpanete">'[40]Analisis Unit. '!$F$85</definedName>
    <definedName name="mortero.1.4.pañete">'[50]Ana. Horm mexc mort'!$D$85</definedName>
    <definedName name="MOTONIVELADORA" localSheetId="8">#REF!</definedName>
    <definedName name="MOTONIVELADORA">#REF!</definedName>
    <definedName name="MOTONIVELADORA_10" localSheetId="8">#REF!</definedName>
    <definedName name="MOTONIVELADORA_10">#REF!</definedName>
    <definedName name="MOTONIVELADORA_11" localSheetId="8">#REF!</definedName>
    <definedName name="MOTONIVELADORA_11">#REF!</definedName>
    <definedName name="MOTONIVELADORA_6" localSheetId="8">#REF!</definedName>
    <definedName name="MOTONIVELADORA_6">#REF!</definedName>
    <definedName name="MOTONIVELADORA_7" localSheetId="8">#REF!</definedName>
    <definedName name="MOTONIVELADORA_7">#REF!</definedName>
    <definedName name="MOTONIVELADORA_8" localSheetId="8">#REF!</definedName>
    <definedName name="MOTONIVELADORA_8">#REF!</definedName>
    <definedName name="MOTONIVELADORA_9" localSheetId="8">#REF!</definedName>
    <definedName name="MOTONIVELADORA_9">#REF!</definedName>
    <definedName name="Muro.Bloque.4cm.SNP">[39]Análisis!$N$845</definedName>
    <definedName name="Muro.Bloque.6cm.BNP">[39]Análisis!$N$821</definedName>
    <definedName name="Muro.Bloque.6cm.SNPT">[39]Análisis!$N$808</definedName>
    <definedName name="muro.h.a.20cm">[51]Análisis!$D$729</definedName>
    <definedName name="Muro.Hormigon.Armado.de20">[23]Análisis!$D$286</definedName>
    <definedName name="muro.shee.ambas.caras">'[52]Muros Interiores h=2.8 m '!$E$64</definedName>
    <definedName name="MURO30" localSheetId="8">#REF!</definedName>
    <definedName name="MURO30">#REF!</definedName>
    <definedName name="MURO30_6" localSheetId="8">#REF!</definedName>
    <definedName name="MURO30_6">#REF!</definedName>
    <definedName name="MUROBOVEDA12A10X2AD" localSheetId="8">#REF!</definedName>
    <definedName name="MUROBOVEDA12A10X2AD">#REF!</definedName>
    <definedName name="MUROBOVEDA12A10X2AD_6" localSheetId="8">#REF!</definedName>
    <definedName name="MUROBOVEDA12A10X2AD_6">#REF!</definedName>
    <definedName name="muros.plycem.ambas.caras">'[52]MurosInt.h=2.8 m Plycem 2 lados'!$E$64</definedName>
    <definedName name="muros.una.cshee.plycem">'[52]MurosInt.h=2.8 m U C con plycem'!$E$64</definedName>
    <definedName name="NADA" localSheetId="8">[66]Insumos!#REF!</definedName>
    <definedName name="NADA">[66]Insumos!#REF!</definedName>
    <definedName name="NADA_6" localSheetId="8">#REF!</definedName>
    <definedName name="NADA_6">#REF!</definedName>
    <definedName name="NADA_8" localSheetId="8">#REF!</definedName>
    <definedName name="NADA_8">#REF!</definedName>
    <definedName name="NINGUNA" localSheetId="8">[66]Insumos!#REF!</definedName>
    <definedName name="NINGUNA">[66]Insumos!#REF!</definedName>
    <definedName name="NINGUNA_6" localSheetId="8">#REF!</definedName>
    <definedName name="NINGUNA_6">#REF!</definedName>
    <definedName name="NINGUNA_8" localSheetId="8">#REF!</definedName>
    <definedName name="NINGUNA_8">#REF!</definedName>
    <definedName name="NIPLE_ACERO_12x3" localSheetId="8">#REF!</definedName>
    <definedName name="NIPLE_ACERO_12x3">#REF!</definedName>
    <definedName name="NIPLE_ACERO_12x3_10" localSheetId="8">#REF!</definedName>
    <definedName name="NIPLE_ACERO_12x3_10">#REF!</definedName>
    <definedName name="NIPLE_ACERO_12x3_11" localSheetId="8">#REF!</definedName>
    <definedName name="NIPLE_ACERO_12x3_11">#REF!</definedName>
    <definedName name="NIPLE_ACERO_12x3_6" localSheetId="8">#REF!</definedName>
    <definedName name="NIPLE_ACERO_12x3_6">#REF!</definedName>
    <definedName name="NIPLE_ACERO_12x3_7" localSheetId="8">#REF!</definedName>
    <definedName name="NIPLE_ACERO_12x3_7">#REF!</definedName>
    <definedName name="NIPLE_ACERO_12x3_8" localSheetId="8">#REF!</definedName>
    <definedName name="NIPLE_ACERO_12x3_8">#REF!</definedName>
    <definedName name="NIPLE_ACERO_12x3_9" localSheetId="8">#REF!</definedName>
    <definedName name="NIPLE_ACERO_12x3_9">#REF!</definedName>
    <definedName name="NIPLE_ACERO_16x2" localSheetId="8">#REF!</definedName>
    <definedName name="NIPLE_ACERO_16x2">#REF!</definedName>
    <definedName name="NIPLE_ACERO_16x2_10" localSheetId="8">#REF!</definedName>
    <definedName name="NIPLE_ACERO_16x2_10">#REF!</definedName>
    <definedName name="NIPLE_ACERO_16x2_11" localSheetId="8">#REF!</definedName>
    <definedName name="NIPLE_ACERO_16x2_11">#REF!</definedName>
    <definedName name="NIPLE_ACERO_16x2_6" localSheetId="8">#REF!</definedName>
    <definedName name="NIPLE_ACERO_16x2_6">#REF!</definedName>
    <definedName name="NIPLE_ACERO_16x2_7" localSheetId="8">#REF!</definedName>
    <definedName name="NIPLE_ACERO_16x2_7">#REF!</definedName>
    <definedName name="NIPLE_ACERO_16x2_8" localSheetId="8">#REF!</definedName>
    <definedName name="NIPLE_ACERO_16x2_8">#REF!</definedName>
    <definedName name="NIPLE_ACERO_16x2_9" localSheetId="8">#REF!</definedName>
    <definedName name="NIPLE_ACERO_16x2_9">#REF!</definedName>
    <definedName name="NIPLE_ACERO_16x3" localSheetId="8">#REF!</definedName>
    <definedName name="NIPLE_ACERO_16x3">#REF!</definedName>
    <definedName name="NIPLE_ACERO_16x3_10" localSheetId="8">#REF!</definedName>
    <definedName name="NIPLE_ACERO_16x3_10">#REF!</definedName>
    <definedName name="NIPLE_ACERO_16x3_11" localSheetId="8">#REF!</definedName>
    <definedName name="NIPLE_ACERO_16x3_11">#REF!</definedName>
    <definedName name="NIPLE_ACERO_16x3_6" localSheetId="8">#REF!</definedName>
    <definedName name="NIPLE_ACERO_16x3_6">#REF!</definedName>
    <definedName name="NIPLE_ACERO_16x3_7" localSheetId="8">#REF!</definedName>
    <definedName name="NIPLE_ACERO_16x3_7">#REF!</definedName>
    <definedName name="NIPLE_ACERO_16x3_8" localSheetId="8">#REF!</definedName>
    <definedName name="NIPLE_ACERO_16x3_8">#REF!</definedName>
    <definedName name="NIPLE_ACERO_16x3_9" localSheetId="8">#REF!</definedName>
    <definedName name="NIPLE_ACERO_16x3_9">#REF!</definedName>
    <definedName name="NIPLE_ACERO_20x3" localSheetId="8">#REF!</definedName>
    <definedName name="NIPLE_ACERO_20x3">#REF!</definedName>
    <definedName name="NIPLE_ACERO_20x3_10" localSheetId="8">#REF!</definedName>
    <definedName name="NIPLE_ACERO_20x3_10">#REF!</definedName>
    <definedName name="NIPLE_ACERO_20x3_11" localSheetId="8">#REF!</definedName>
    <definedName name="NIPLE_ACERO_20x3_11">#REF!</definedName>
    <definedName name="NIPLE_ACERO_20x3_6" localSheetId="8">#REF!</definedName>
    <definedName name="NIPLE_ACERO_20x3_6">#REF!</definedName>
    <definedName name="NIPLE_ACERO_20x3_7" localSheetId="8">#REF!</definedName>
    <definedName name="NIPLE_ACERO_20x3_7">#REF!</definedName>
    <definedName name="NIPLE_ACERO_20x3_8" localSheetId="8">#REF!</definedName>
    <definedName name="NIPLE_ACERO_20x3_8">#REF!</definedName>
    <definedName name="NIPLE_ACERO_20x3_9" localSheetId="8">#REF!</definedName>
    <definedName name="NIPLE_ACERO_20x3_9">#REF!</definedName>
    <definedName name="NIPLE_ACERO_6x3" localSheetId="8">#REF!</definedName>
    <definedName name="NIPLE_ACERO_6x3">#REF!</definedName>
    <definedName name="NIPLE_ACERO_6x3_10" localSheetId="8">#REF!</definedName>
    <definedName name="NIPLE_ACERO_6x3_10">#REF!</definedName>
    <definedName name="NIPLE_ACERO_6x3_11" localSheetId="8">#REF!</definedName>
    <definedName name="NIPLE_ACERO_6x3_11">#REF!</definedName>
    <definedName name="NIPLE_ACERO_6x3_6" localSheetId="8">#REF!</definedName>
    <definedName name="NIPLE_ACERO_6x3_6">#REF!</definedName>
    <definedName name="NIPLE_ACERO_6x3_7" localSheetId="8">#REF!</definedName>
    <definedName name="NIPLE_ACERO_6x3_7">#REF!</definedName>
    <definedName name="NIPLE_ACERO_6x3_8" localSheetId="8">#REF!</definedName>
    <definedName name="NIPLE_ACERO_6x3_8">#REF!</definedName>
    <definedName name="NIPLE_ACERO_6x3_9" localSheetId="8">#REF!</definedName>
    <definedName name="NIPLE_ACERO_6x3_9">#REF!</definedName>
    <definedName name="NIPLE_ACERO_8x3" localSheetId="8">#REF!</definedName>
    <definedName name="NIPLE_ACERO_8x3">#REF!</definedName>
    <definedName name="NIPLE_ACERO_8x3_10" localSheetId="8">#REF!</definedName>
    <definedName name="NIPLE_ACERO_8x3_10">#REF!</definedName>
    <definedName name="NIPLE_ACERO_8x3_11" localSheetId="8">#REF!</definedName>
    <definedName name="NIPLE_ACERO_8x3_11">#REF!</definedName>
    <definedName name="NIPLE_ACERO_8x3_6" localSheetId="8">#REF!</definedName>
    <definedName name="NIPLE_ACERO_8x3_6">#REF!</definedName>
    <definedName name="NIPLE_ACERO_8x3_7" localSheetId="8">#REF!</definedName>
    <definedName name="NIPLE_ACERO_8x3_7">#REF!</definedName>
    <definedName name="NIPLE_ACERO_8x3_8" localSheetId="8">#REF!</definedName>
    <definedName name="NIPLE_ACERO_8x3_8">#REF!</definedName>
    <definedName name="NIPLE_ACERO_8x3_9" localSheetId="8">#REF!</definedName>
    <definedName name="NIPLE_ACERO_8x3_9">#REF!</definedName>
    <definedName name="NIPLE_ACERO_PLATILLADO_12x12" localSheetId="8">#REF!</definedName>
    <definedName name="NIPLE_ACERO_PLATILLADO_12x12">#REF!</definedName>
    <definedName name="NIPLE_ACERO_PLATILLADO_12x12_10" localSheetId="8">#REF!</definedName>
    <definedName name="NIPLE_ACERO_PLATILLADO_12x12_10">#REF!</definedName>
    <definedName name="NIPLE_ACERO_PLATILLADO_12x12_11" localSheetId="8">#REF!</definedName>
    <definedName name="NIPLE_ACERO_PLATILLADO_12x12_11">#REF!</definedName>
    <definedName name="NIPLE_ACERO_PLATILLADO_12x12_6" localSheetId="8">#REF!</definedName>
    <definedName name="NIPLE_ACERO_PLATILLADO_12x12_6">#REF!</definedName>
    <definedName name="NIPLE_ACERO_PLATILLADO_12x12_7" localSheetId="8">#REF!</definedName>
    <definedName name="NIPLE_ACERO_PLATILLADO_12x12_7">#REF!</definedName>
    <definedName name="NIPLE_ACERO_PLATILLADO_12x12_8" localSheetId="8">#REF!</definedName>
    <definedName name="NIPLE_ACERO_PLATILLADO_12x12_8">#REF!</definedName>
    <definedName name="NIPLE_ACERO_PLATILLADO_12x12_9" localSheetId="8">#REF!</definedName>
    <definedName name="NIPLE_ACERO_PLATILLADO_12x12_9">#REF!</definedName>
    <definedName name="NIPLE_ACERO_PLATILLADO_2x1" localSheetId="8">#REF!</definedName>
    <definedName name="NIPLE_ACERO_PLATILLADO_2x1">#REF!</definedName>
    <definedName name="NIPLE_ACERO_PLATILLADO_2x1_10" localSheetId="8">#REF!</definedName>
    <definedName name="NIPLE_ACERO_PLATILLADO_2x1_10">#REF!</definedName>
    <definedName name="NIPLE_ACERO_PLATILLADO_2x1_11" localSheetId="8">#REF!</definedName>
    <definedName name="NIPLE_ACERO_PLATILLADO_2x1_11">#REF!</definedName>
    <definedName name="NIPLE_ACERO_PLATILLADO_2x1_6" localSheetId="8">#REF!</definedName>
    <definedName name="NIPLE_ACERO_PLATILLADO_2x1_6">#REF!</definedName>
    <definedName name="NIPLE_ACERO_PLATILLADO_2x1_7" localSheetId="8">#REF!</definedName>
    <definedName name="NIPLE_ACERO_PLATILLADO_2x1_7">#REF!</definedName>
    <definedName name="NIPLE_ACERO_PLATILLADO_2x1_8" localSheetId="8">#REF!</definedName>
    <definedName name="NIPLE_ACERO_PLATILLADO_2x1_8">#REF!</definedName>
    <definedName name="NIPLE_ACERO_PLATILLADO_2x1_9" localSheetId="8">#REF!</definedName>
    <definedName name="NIPLE_ACERO_PLATILLADO_2x1_9">#REF!</definedName>
    <definedName name="NIPLE_ACERO_PLATILLADO_3x1" localSheetId="8">#REF!</definedName>
    <definedName name="NIPLE_ACERO_PLATILLADO_3x1">#REF!</definedName>
    <definedName name="NIPLE_ACERO_PLATILLADO_3x1_10" localSheetId="8">#REF!</definedName>
    <definedName name="NIPLE_ACERO_PLATILLADO_3x1_10">#REF!</definedName>
    <definedName name="NIPLE_ACERO_PLATILLADO_3x1_11" localSheetId="8">#REF!</definedName>
    <definedName name="NIPLE_ACERO_PLATILLADO_3x1_11">#REF!</definedName>
    <definedName name="NIPLE_ACERO_PLATILLADO_3x1_6" localSheetId="8">#REF!</definedName>
    <definedName name="NIPLE_ACERO_PLATILLADO_3x1_6">#REF!</definedName>
    <definedName name="NIPLE_ACERO_PLATILLADO_3x1_7" localSheetId="8">#REF!</definedName>
    <definedName name="NIPLE_ACERO_PLATILLADO_3x1_7">#REF!</definedName>
    <definedName name="NIPLE_ACERO_PLATILLADO_3x1_8" localSheetId="8">#REF!</definedName>
    <definedName name="NIPLE_ACERO_PLATILLADO_3x1_8">#REF!</definedName>
    <definedName name="NIPLE_ACERO_PLATILLADO_3x1_9" localSheetId="8">#REF!</definedName>
    <definedName name="NIPLE_ACERO_PLATILLADO_3x1_9">#REF!</definedName>
    <definedName name="NIPLE_ACERO_PLATILLADO_8x1" localSheetId="8">#REF!</definedName>
    <definedName name="NIPLE_ACERO_PLATILLADO_8x1">#REF!</definedName>
    <definedName name="NIPLE_ACERO_PLATILLADO_8x1_10" localSheetId="8">#REF!</definedName>
    <definedName name="NIPLE_ACERO_PLATILLADO_8x1_10">#REF!</definedName>
    <definedName name="NIPLE_ACERO_PLATILLADO_8x1_11" localSheetId="8">#REF!</definedName>
    <definedName name="NIPLE_ACERO_PLATILLADO_8x1_11">#REF!</definedName>
    <definedName name="NIPLE_ACERO_PLATILLADO_8x1_6" localSheetId="8">#REF!</definedName>
    <definedName name="NIPLE_ACERO_PLATILLADO_8x1_6">#REF!</definedName>
    <definedName name="NIPLE_ACERO_PLATILLADO_8x1_7" localSheetId="8">#REF!</definedName>
    <definedName name="NIPLE_ACERO_PLATILLADO_8x1_7">#REF!</definedName>
    <definedName name="NIPLE_ACERO_PLATILLADO_8x1_8" localSheetId="8">#REF!</definedName>
    <definedName name="NIPLE_ACERO_PLATILLADO_8x1_8">#REF!</definedName>
    <definedName name="NIPLE_ACERO_PLATILLADO_8x1_9" localSheetId="8">#REF!</definedName>
    <definedName name="NIPLE_ACERO_PLATILLADO_8x1_9">#REF!</definedName>
    <definedName name="NIPLE_CROMO_38x2_12" localSheetId="8">#REF!</definedName>
    <definedName name="NIPLE_CROMO_38x2_12">#REF!</definedName>
    <definedName name="NIPLE_CROMO_38x2_12_10" localSheetId="8">#REF!</definedName>
    <definedName name="NIPLE_CROMO_38x2_12_10">#REF!</definedName>
    <definedName name="NIPLE_CROMO_38x2_12_11" localSheetId="8">#REF!</definedName>
    <definedName name="NIPLE_CROMO_38x2_12_11">#REF!</definedName>
    <definedName name="NIPLE_CROMO_38x2_12_6" localSheetId="8">#REF!</definedName>
    <definedName name="NIPLE_CROMO_38x2_12_6">#REF!</definedName>
    <definedName name="NIPLE_CROMO_38x2_12_7" localSheetId="8">#REF!</definedName>
    <definedName name="NIPLE_CROMO_38x2_12_7">#REF!</definedName>
    <definedName name="NIPLE_CROMO_38x2_12_8" localSheetId="8">#REF!</definedName>
    <definedName name="NIPLE_CROMO_38x2_12_8">#REF!</definedName>
    <definedName name="NIPLE_CROMO_38x2_12_9" localSheetId="8">#REF!</definedName>
    <definedName name="NIPLE_CROMO_38x2_12_9">#REF!</definedName>
    <definedName name="NIPLE_HG_12x4" localSheetId="8">#REF!</definedName>
    <definedName name="NIPLE_HG_12x4">#REF!</definedName>
    <definedName name="NIPLE_HG_12x4_10" localSheetId="8">#REF!</definedName>
    <definedName name="NIPLE_HG_12x4_10">#REF!</definedName>
    <definedName name="NIPLE_HG_12x4_11" localSheetId="8">#REF!</definedName>
    <definedName name="NIPLE_HG_12x4_11">#REF!</definedName>
    <definedName name="NIPLE_HG_12x4_6" localSheetId="8">#REF!</definedName>
    <definedName name="NIPLE_HG_12x4_6">#REF!</definedName>
    <definedName name="NIPLE_HG_12x4_7" localSheetId="8">#REF!</definedName>
    <definedName name="NIPLE_HG_12x4_7">#REF!</definedName>
    <definedName name="NIPLE_HG_12x4_8" localSheetId="8">#REF!</definedName>
    <definedName name="NIPLE_HG_12x4_8">#REF!</definedName>
    <definedName name="NIPLE_HG_12x4_9" localSheetId="8">#REF!</definedName>
    <definedName name="NIPLE_HG_12x4_9">#REF!</definedName>
    <definedName name="NIPLE_HG_34x4" localSheetId="8">#REF!</definedName>
    <definedName name="NIPLE_HG_34x4">#REF!</definedName>
    <definedName name="NIPLE_HG_34x4_10" localSheetId="8">#REF!</definedName>
    <definedName name="NIPLE_HG_34x4_10">#REF!</definedName>
    <definedName name="NIPLE_HG_34x4_11" localSheetId="8">#REF!</definedName>
    <definedName name="NIPLE_HG_34x4_11">#REF!</definedName>
    <definedName name="NIPLE_HG_34x4_6" localSheetId="8">#REF!</definedName>
    <definedName name="NIPLE_HG_34x4_6">#REF!</definedName>
    <definedName name="NIPLE_HG_34x4_7" localSheetId="8">#REF!</definedName>
    <definedName name="NIPLE_HG_34x4_7">#REF!</definedName>
    <definedName name="NIPLE_HG_34x4_8" localSheetId="8">#REF!</definedName>
    <definedName name="NIPLE_HG_34x4_8">#REF!</definedName>
    <definedName name="NIPLE_HG_34x4_9" localSheetId="8">#REF!</definedName>
    <definedName name="NIPLE_HG_34x4_9">#REF!</definedName>
    <definedName name="NUEVA" localSheetId="8">#REF!</definedName>
    <definedName name="NUEVA">#REF!</definedName>
    <definedName name="num_linhas" localSheetId="8">#REF!</definedName>
    <definedName name="num_linhas">#REF!</definedName>
    <definedName name="OPERADOR_GREADER" localSheetId="8">#REF!</definedName>
    <definedName name="OPERADOR_GREADER">#REF!</definedName>
    <definedName name="OPERADOR_GREADER_10" localSheetId="8">#REF!</definedName>
    <definedName name="OPERADOR_GREADER_10">#REF!</definedName>
    <definedName name="OPERADOR_GREADER_11" localSheetId="8">#REF!</definedName>
    <definedName name="OPERADOR_GREADER_11">#REF!</definedName>
    <definedName name="OPERADOR_GREADER_6" localSheetId="8">#REF!</definedName>
    <definedName name="OPERADOR_GREADER_6">#REF!</definedName>
    <definedName name="OPERADOR_GREADER_7" localSheetId="8">#REF!</definedName>
    <definedName name="OPERADOR_GREADER_7">#REF!</definedName>
    <definedName name="OPERADOR_GREADER_8" localSheetId="8">#REF!</definedName>
    <definedName name="OPERADOR_GREADER_8">#REF!</definedName>
    <definedName name="OPERADOR_GREADER_9" localSheetId="8">#REF!</definedName>
    <definedName name="OPERADOR_GREADER_9">#REF!</definedName>
    <definedName name="OPERADOR_PALA" localSheetId="8">#REF!</definedName>
    <definedName name="OPERADOR_PALA">#REF!</definedName>
    <definedName name="OPERADOR_PALA_10" localSheetId="8">#REF!</definedName>
    <definedName name="OPERADOR_PALA_10">#REF!</definedName>
    <definedName name="OPERADOR_PALA_11" localSheetId="8">#REF!</definedName>
    <definedName name="OPERADOR_PALA_11">#REF!</definedName>
    <definedName name="OPERADOR_PALA_6" localSheetId="8">#REF!</definedName>
    <definedName name="OPERADOR_PALA_6">#REF!</definedName>
    <definedName name="OPERADOR_PALA_7" localSheetId="8">#REF!</definedName>
    <definedName name="OPERADOR_PALA_7">#REF!</definedName>
    <definedName name="OPERADOR_PALA_8" localSheetId="8">#REF!</definedName>
    <definedName name="OPERADOR_PALA_8">#REF!</definedName>
    <definedName name="OPERADOR_PALA_9" localSheetId="8">#REF!</definedName>
    <definedName name="OPERADOR_PALA_9">#REF!</definedName>
    <definedName name="OPERADOR_TRACTOR" localSheetId="8">#REF!</definedName>
    <definedName name="OPERADOR_TRACTOR">#REF!</definedName>
    <definedName name="OPERADOR_TRACTOR_10" localSheetId="8">#REF!</definedName>
    <definedName name="OPERADOR_TRACTOR_10">#REF!</definedName>
    <definedName name="OPERADOR_TRACTOR_11" localSheetId="8">#REF!</definedName>
    <definedName name="OPERADOR_TRACTOR_11">#REF!</definedName>
    <definedName name="OPERADOR_TRACTOR_6" localSheetId="8">#REF!</definedName>
    <definedName name="OPERADOR_TRACTOR_6">#REF!</definedName>
    <definedName name="OPERADOR_TRACTOR_7" localSheetId="8">#REF!</definedName>
    <definedName name="OPERADOR_TRACTOR_7">#REF!</definedName>
    <definedName name="OPERADOR_TRACTOR_8" localSheetId="8">#REF!</definedName>
    <definedName name="OPERADOR_TRACTOR_8">#REF!</definedName>
    <definedName name="OPERADOR_TRACTOR_9" localSheetId="8">#REF!</definedName>
    <definedName name="OPERADOR_TRACTOR_9">#REF!</definedName>
    <definedName name="operadorpala">[41]OBRAMANO!$F$72</definedName>
    <definedName name="operadorretro">[41]OBRAMANO!$F$77</definedName>
    <definedName name="operadorrodillo">[41]OBRAMANO!$F$75</definedName>
    <definedName name="operadortractor">[41]OBRAMANO!$F$76</definedName>
    <definedName name="Operario_1ra" localSheetId="8">#REF!</definedName>
    <definedName name="Operario_1ra">#REF!</definedName>
    <definedName name="Operario_1ra_10" localSheetId="8">#REF!</definedName>
    <definedName name="Operario_1ra_10">#REF!</definedName>
    <definedName name="Operario_1ra_11" localSheetId="8">#REF!</definedName>
    <definedName name="Operario_1ra_11">#REF!</definedName>
    <definedName name="Operario_1ra_6" localSheetId="8">#REF!</definedName>
    <definedName name="Operario_1ra_6">#REF!</definedName>
    <definedName name="Operario_1ra_7" localSheetId="8">#REF!</definedName>
    <definedName name="Operario_1ra_7">#REF!</definedName>
    <definedName name="Operario_1ra_8" localSheetId="8">#REF!</definedName>
    <definedName name="Operario_1ra_8">#REF!</definedName>
    <definedName name="Operario_1ra_9" localSheetId="8">#REF!</definedName>
    <definedName name="Operario_1ra_9">#REF!</definedName>
    <definedName name="Operario_2da" localSheetId="8">#REF!</definedName>
    <definedName name="Operario_2da">#REF!</definedName>
    <definedName name="Operario_2da_10" localSheetId="8">#REF!</definedName>
    <definedName name="Operario_2da_10">#REF!</definedName>
    <definedName name="Operario_2da_11" localSheetId="8">#REF!</definedName>
    <definedName name="Operario_2da_11">#REF!</definedName>
    <definedName name="Operario_2da_6" localSheetId="8">#REF!</definedName>
    <definedName name="Operario_2da_6">#REF!</definedName>
    <definedName name="Operario_2da_7" localSheetId="8">#REF!</definedName>
    <definedName name="Operario_2da_7">#REF!</definedName>
    <definedName name="Operario_2da_8" localSheetId="8">#REF!</definedName>
    <definedName name="Operario_2da_8">#REF!</definedName>
    <definedName name="Operario_2da_9" localSheetId="8">#REF!</definedName>
    <definedName name="Operario_2da_9">#REF!</definedName>
    <definedName name="Operario_3ra" localSheetId="8">#REF!</definedName>
    <definedName name="Operario_3ra">#REF!</definedName>
    <definedName name="Operario_3ra_10" localSheetId="8">#REF!</definedName>
    <definedName name="Operario_3ra_10">#REF!</definedName>
    <definedName name="Operario_3ra_11" localSheetId="8">#REF!</definedName>
    <definedName name="Operario_3ra_11">#REF!</definedName>
    <definedName name="Operario_3ra_6" localSheetId="8">#REF!</definedName>
    <definedName name="Operario_3ra_6">#REF!</definedName>
    <definedName name="Operario_3ra_7" localSheetId="8">#REF!</definedName>
    <definedName name="Operario_3ra_7">#REF!</definedName>
    <definedName name="Operario_3ra_8" localSheetId="8">#REF!</definedName>
    <definedName name="Operario_3ra_8">#REF!</definedName>
    <definedName name="Operario_3ra_9" localSheetId="8">#REF!</definedName>
    <definedName name="Operario_3ra_9">#REF!</definedName>
    <definedName name="OPERARIOPRIMERA" localSheetId="3">[46]SALARIOS!$C$10</definedName>
    <definedName name="OPERARIOPRIMERA">[47]SALARIOS!$C$10</definedName>
    <definedName name="OXIGENO_CIL" localSheetId="8">#REF!</definedName>
    <definedName name="OXIGENO_CIL">#REF!</definedName>
    <definedName name="OXIGENO_CIL_10" localSheetId="8">#REF!</definedName>
    <definedName name="OXIGENO_CIL_10">#REF!</definedName>
    <definedName name="OXIGENO_CIL_11" localSheetId="8">#REF!</definedName>
    <definedName name="OXIGENO_CIL_11">#REF!</definedName>
    <definedName name="OXIGENO_CIL_6" localSheetId="8">#REF!</definedName>
    <definedName name="OXIGENO_CIL_6">#REF!</definedName>
    <definedName name="OXIGENO_CIL_7" localSheetId="8">#REF!</definedName>
    <definedName name="OXIGENO_CIL_7">#REF!</definedName>
    <definedName name="OXIGENO_CIL_8" localSheetId="8">#REF!</definedName>
    <definedName name="OXIGENO_CIL_8">#REF!</definedName>
    <definedName name="OXIGENO_CIL_9" localSheetId="8">#REF!</definedName>
    <definedName name="OXIGENO_CIL_9">#REF!</definedName>
    <definedName name="p" localSheetId="8">[67]peso!#REF!</definedName>
    <definedName name="p">[67]peso!#REF!</definedName>
    <definedName name="P.U.Dimecote9">[68]Insumos!$E$13</definedName>
    <definedName name="P.U.Thinner1000">[68]Insumos!$E$12</definedName>
    <definedName name="P.U.Urethane_Acrilico">[68]Insumos!$E$17</definedName>
    <definedName name="p_8" localSheetId="8">#REF!</definedName>
    <definedName name="p_8">#REF!</definedName>
    <definedName name="P_CAL">[8]Ins!$E$337</definedName>
    <definedName name="P_CLAVO">[8]Ins!$E$909</definedName>
    <definedName name="P_HILO">[8]Herram!$E$24</definedName>
    <definedName name="P_PINO1x4x12BR">[8]Ins!$E$917</definedName>
    <definedName name="P1XE" localSheetId="8">#REF!</definedName>
    <definedName name="P1XE">#REF!</definedName>
    <definedName name="P1XE_6" localSheetId="8">#REF!</definedName>
    <definedName name="P1XE_6">#REF!</definedName>
    <definedName name="P1XT" localSheetId="8">#REF!</definedName>
    <definedName name="P1XT">#REF!</definedName>
    <definedName name="P1XT_6" localSheetId="8">#REF!</definedName>
    <definedName name="P1XT_6">#REF!</definedName>
    <definedName name="P1YE" localSheetId="8">#REF!</definedName>
    <definedName name="P1YE">#REF!</definedName>
    <definedName name="P1YE_6" localSheetId="8">#REF!</definedName>
    <definedName name="P1YE_6">#REF!</definedName>
    <definedName name="P1YT" localSheetId="8">#REF!</definedName>
    <definedName name="P1YT">#REF!</definedName>
    <definedName name="P1YT_6" localSheetId="8">#REF!</definedName>
    <definedName name="P1YT_6">#REF!</definedName>
    <definedName name="P2XE" localSheetId="8">#REF!</definedName>
    <definedName name="P2XE">#REF!</definedName>
    <definedName name="P2XE_6" localSheetId="8">#REF!</definedName>
    <definedName name="P2XE_6">#REF!</definedName>
    <definedName name="P2XT" localSheetId="8">#REF!</definedName>
    <definedName name="P2XT">#REF!</definedName>
    <definedName name="P2XT_6" localSheetId="8">#REF!</definedName>
    <definedName name="P2XT_6">#REF!</definedName>
    <definedName name="P2YE" localSheetId="8">#REF!</definedName>
    <definedName name="P2YE">#REF!</definedName>
    <definedName name="P2YE_6" localSheetId="8">#REF!</definedName>
    <definedName name="P2YE_6">#REF!</definedName>
    <definedName name="P3XE" localSheetId="8">#REF!</definedName>
    <definedName name="P3XE">#REF!</definedName>
    <definedName name="P3XE_6" localSheetId="8">#REF!</definedName>
    <definedName name="P3XE_6">#REF!</definedName>
    <definedName name="P3XT" localSheetId="8">#REF!</definedName>
    <definedName name="P3XT">#REF!</definedName>
    <definedName name="P3XT_6" localSheetId="8">#REF!</definedName>
    <definedName name="P3XT_6">#REF!</definedName>
    <definedName name="P3YE" localSheetId="8">#REF!</definedName>
    <definedName name="P3YE">#REF!</definedName>
    <definedName name="P3YE_6" localSheetId="8">#REF!</definedName>
    <definedName name="P3YE_6">#REF!</definedName>
    <definedName name="P3YT" localSheetId="8">#REF!</definedName>
    <definedName name="P3YT">#REF!</definedName>
    <definedName name="P3YT_6" localSheetId="8">#REF!</definedName>
    <definedName name="P3YT_6">#REF!</definedName>
    <definedName name="P4XE" localSheetId="8">#REF!</definedName>
    <definedName name="P4XE">#REF!</definedName>
    <definedName name="P4XE_6" localSheetId="8">#REF!</definedName>
    <definedName name="P4XE_6">#REF!</definedName>
    <definedName name="P4XT" localSheetId="8">#REF!</definedName>
    <definedName name="P4XT">#REF!</definedName>
    <definedName name="P4XT_6" localSheetId="8">#REF!</definedName>
    <definedName name="P4XT_6">#REF!</definedName>
    <definedName name="P4YE" localSheetId="8">#REF!</definedName>
    <definedName name="P4YE">#REF!</definedName>
    <definedName name="P4YE_6" localSheetId="8">#REF!</definedName>
    <definedName name="P4YE_6">#REF!</definedName>
    <definedName name="P4YT" localSheetId="8">#REF!</definedName>
    <definedName name="P4YT">#REF!</definedName>
    <definedName name="P4YT_6" localSheetId="8">#REF!</definedName>
    <definedName name="P4YT_6">#REF!</definedName>
    <definedName name="P5XE" localSheetId="8">#REF!</definedName>
    <definedName name="P5XE">#REF!</definedName>
    <definedName name="P5XE_6" localSheetId="8">#REF!</definedName>
    <definedName name="P5XE_6">#REF!</definedName>
    <definedName name="P5YE" localSheetId="8">#REF!</definedName>
    <definedName name="P5YE">#REF!</definedName>
    <definedName name="P5YE_6" localSheetId="8">#REF!</definedName>
    <definedName name="P5YE_6">#REF!</definedName>
    <definedName name="P5YT" localSheetId="8">#REF!</definedName>
    <definedName name="P5YT">#REF!</definedName>
    <definedName name="P5YT_6" localSheetId="8">#REF!</definedName>
    <definedName name="P5YT_6">#REF!</definedName>
    <definedName name="P6XE" localSheetId="8">#REF!</definedName>
    <definedName name="P6XE">#REF!</definedName>
    <definedName name="P6XE_6" localSheetId="8">#REF!</definedName>
    <definedName name="P6XE_6">#REF!</definedName>
    <definedName name="P6XT" localSheetId="8">#REF!</definedName>
    <definedName name="P6XT">#REF!</definedName>
    <definedName name="P6XT_6" localSheetId="8">#REF!</definedName>
    <definedName name="P6XT_6">#REF!</definedName>
    <definedName name="P6YE" localSheetId="8">#REF!</definedName>
    <definedName name="P6YE">#REF!</definedName>
    <definedName name="P6YE_6" localSheetId="8">#REF!</definedName>
    <definedName name="P6YE_6">#REF!</definedName>
    <definedName name="P6YT" localSheetId="8">#REF!</definedName>
    <definedName name="P6YT">#REF!</definedName>
    <definedName name="P6YT_6" localSheetId="8">#REF!</definedName>
    <definedName name="P6YT_6">#REF!</definedName>
    <definedName name="P7XE" localSheetId="8">#REF!</definedName>
    <definedName name="P7XE">#REF!</definedName>
    <definedName name="P7XE_6" localSheetId="8">#REF!</definedName>
    <definedName name="P7XE_6">#REF!</definedName>
    <definedName name="P7YE" localSheetId="8">#REF!</definedName>
    <definedName name="P7YE">#REF!</definedName>
    <definedName name="P7YE_6" localSheetId="8">#REF!</definedName>
    <definedName name="P7YE_6">#REF!</definedName>
    <definedName name="P7YT" localSheetId="8">#REF!</definedName>
    <definedName name="P7YT">#REF!</definedName>
    <definedName name="P7YT_6" localSheetId="8">#REF!</definedName>
    <definedName name="P7YT_6">#REF!</definedName>
    <definedName name="PALA" localSheetId="8">#REF!</definedName>
    <definedName name="PALA">#REF!</definedName>
    <definedName name="PALA_10" localSheetId="8">#REF!</definedName>
    <definedName name="PALA_10">#REF!</definedName>
    <definedName name="PALA_11" localSheetId="8">#REF!</definedName>
    <definedName name="PALA_11">#REF!</definedName>
    <definedName name="PALA_6" localSheetId="8">#REF!</definedName>
    <definedName name="PALA_6">#REF!</definedName>
    <definedName name="PALA_7" localSheetId="8">#REF!</definedName>
    <definedName name="PALA_7">#REF!</definedName>
    <definedName name="PALA_8" localSheetId="8">#REF!</definedName>
    <definedName name="PALA_8">#REF!</definedName>
    <definedName name="PALA_9" localSheetId="8">#REF!</definedName>
    <definedName name="PALA_9">#REF!</definedName>
    <definedName name="PALA_950" localSheetId="8">#REF!</definedName>
    <definedName name="PALA_950">#REF!</definedName>
    <definedName name="PALA_950_10" localSheetId="8">#REF!</definedName>
    <definedName name="PALA_950_10">#REF!</definedName>
    <definedName name="PALA_950_11" localSheetId="8">#REF!</definedName>
    <definedName name="PALA_950_11">#REF!</definedName>
    <definedName name="PALA_950_6" localSheetId="8">#REF!</definedName>
    <definedName name="PALA_950_6">#REF!</definedName>
    <definedName name="PALA_950_7" localSheetId="8">#REF!</definedName>
    <definedName name="PALA_950_7">#REF!</definedName>
    <definedName name="PALA_950_8" localSheetId="8">#REF!</definedName>
    <definedName name="PALA_950_8">#REF!</definedName>
    <definedName name="PALA_950_9" localSheetId="8">#REF!</definedName>
    <definedName name="PALA_950_9">#REF!</definedName>
    <definedName name="PANEL_DIST_24C" localSheetId="8">#REF!</definedName>
    <definedName name="PANEL_DIST_24C">#REF!</definedName>
    <definedName name="PANEL_DIST_24C_10" localSheetId="8">#REF!</definedName>
    <definedName name="PANEL_DIST_24C_10">#REF!</definedName>
    <definedName name="PANEL_DIST_24C_11" localSheetId="8">#REF!</definedName>
    <definedName name="PANEL_DIST_24C_11">#REF!</definedName>
    <definedName name="PANEL_DIST_24C_6" localSheetId="8">#REF!</definedName>
    <definedName name="PANEL_DIST_24C_6">#REF!</definedName>
    <definedName name="PANEL_DIST_24C_7" localSheetId="8">#REF!</definedName>
    <definedName name="PANEL_DIST_24C_7">#REF!</definedName>
    <definedName name="PANEL_DIST_24C_8" localSheetId="8">#REF!</definedName>
    <definedName name="PANEL_DIST_24C_8">#REF!</definedName>
    <definedName name="PANEL_DIST_24C_9" localSheetId="8">#REF!</definedName>
    <definedName name="PANEL_DIST_24C_9">#REF!</definedName>
    <definedName name="PANEL_DIST_32C" localSheetId="8">#REF!</definedName>
    <definedName name="PANEL_DIST_32C">#REF!</definedName>
    <definedName name="PANEL_DIST_32C_10" localSheetId="8">#REF!</definedName>
    <definedName name="PANEL_DIST_32C_10">#REF!</definedName>
    <definedName name="PANEL_DIST_32C_11" localSheetId="8">#REF!</definedName>
    <definedName name="PANEL_DIST_32C_11">#REF!</definedName>
    <definedName name="PANEL_DIST_32C_6" localSheetId="8">#REF!</definedName>
    <definedName name="PANEL_DIST_32C_6">#REF!</definedName>
    <definedName name="PANEL_DIST_32C_7" localSheetId="8">#REF!</definedName>
    <definedName name="PANEL_DIST_32C_7">#REF!</definedName>
    <definedName name="PANEL_DIST_32C_8" localSheetId="8">#REF!</definedName>
    <definedName name="PANEL_DIST_32C_8">#REF!</definedName>
    <definedName name="PANEL_DIST_32C_9" localSheetId="8">#REF!</definedName>
    <definedName name="PANEL_DIST_32C_9">#REF!</definedName>
    <definedName name="PANEL_DIST_4a8C" localSheetId="8">#REF!</definedName>
    <definedName name="PANEL_DIST_4a8C">#REF!</definedName>
    <definedName name="PANEL_DIST_4a8C_10" localSheetId="8">#REF!</definedName>
    <definedName name="PANEL_DIST_4a8C_10">#REF!</definedName>
    <definedName name="PANEL_DIST_4a8C_11" localSheetId="8">#REF!</definedName>
    <definedName name="PANEL_DIST_4a8C_11">#REF!</definedName>
    <definedName name="PANEL_DIST_4a8C_6" localSheetId="8">#REF!</definedName>
    <definedName name="PANEL_DIST_4a8C_6">#REF!</definedName>
    <definedName name="PANEL_DIST_4a8C_7" localSheetId="8">#REF!</definedName>
    <definedName name="PANEL_DIST_4a8C_7">#REF!</definedName>
    <definedName name="PANEL_DIST_4a8C_8" localSheetId="8">#REF!</definedName>
    <definedName name="PANEL_DIST_4a8C_8">#REF!</definedName>
    <definedName name="PANEL_DIST_4a8C_9" localSheetId="8">#REF!</definedName>
    <definedName name="PANEL_DIST_4a8C_9">#REF!</definedName>
    <definedName name="Panel_Plastbau">'[18]LISTA DE PRECIO'!$C$9</definedName>
    <definedName name="PanelDist_6a12_Circ_125a" localSheetId="8">#REF!</definedName>
    <definedName name="PanelDist_6a12_Circ_125a">#REF!</definedName>
    <definedName name="PanelDist_6a12_Circ_125a_10" localSheetId="8">#REF!</definedName>
    <definedName name="PanelDist_6a12_Circ_125a_10">#REF!</definedName>
    <definedName name="PanelDist_6a12_Circ_125a_11" localSheetId="8">#REF!</definedName>
    <definedName name="PanelDist_6a12_Circ_125a_11">#REF!</definedName>
    <definedName name="PanelDist_6a12_Circ_125a_6" localSheetId="8">#REF!</definedName>
    <definedName name="PanelDist_6a12_Circ_125a_6">#REF!</definedName>
    <definedName name="PanelDist_6a12_Circ_125a_7" localSheetId="8">#REF!</definedName>
    <definedName name="PanelDist_6a12_Circ_125a_7">#REF!</definedName>
    <definedName name="PanelDist_6a12_Circ_125a_8" localSheetId="8">#REF!</definedName>
    <definedName name="PanelDist_6a12_Circ_125a_8">#REF!</definedName>
    <definedName name="PanelDist_6a12_Circ_125a_9" localSheetId="8">#REF!</definedName>
    <definedName name="PanelDist_6a12_Circ_125a_9">#REF!</definedName>
    <definedName name="Pañete.Paredes">[39]Análisis!$N$906</definedName>
    <definedName name="PARARRAYOS_9KV" localSheetId="8">#REF!</definedName>
    <definedName name="PARARRAYOS_9KV">#REF!</definedName>
    <definedName name="PARARRAYOS_9KV_10" localSheetId="8">#REF!</definedName>
    <definedName name="PARARRAYOS_9KV_10">#REF!</definedName>
    <definedName name="PARARRAYOS_9KV_11" localSheetId="8">#REF!</definedName>
    <definedName name="PARARRAYOS_9KV_11">#REF!</definedName>
    <definedName name="PARARRAYOS_9KV_6" localSheetId="8">#REF!</definedName>
    <definedName name="PARARRAYOS_9KV_6">#REF!</definedName>
    <definedName name="PARARRAYOS_9KV_7" localSheetId="8">#REF!</definedName>
    <definedName name="PARARRAYOS_9KV_7">#REF!</definedName>
    <definedName name="PARARRAYOS_9KV_8" localSheetId="8">#REF!</definedName>
    <definedName name="PARARRAYOS_9KV_8">#REF!</definedName>
    <definedName name="PARARRAYOS_9KV_9" localSheetId="8">#REF!</definedName>
    <definedName name="PARARRAYOS_9KV_9">#REF!</definedName>
    <definedName name="Peon" localSheetId="8">#REF!</definedName>
    <definedName name="Peon">#REF!</definedName>
    <definedName name="Peon_1" localSheetId="8">#REF!</definedName>
    <definedName name="Peon_1" localSheetId="3">[20]MO!$B$11</definedName>
    <definedName name="Peon_1">#REF!</definedName>
    <definedName name="Peon_1_10" localSheetId="8">#REF!</definedName>
    <definedName name="Peon_1_10">#REF!</definedName>
    <definedName name="Peon_1_11" localSheetId="8">#REF!</definedName>
    <definedName name="Peon_1_11">#REF!</definedName>
    <definedName name="Peon_1_5" localSheetId="8">#REF!</definedName>
    <definedName name="Peon_1_5">#REF!</definedName>
    <definedName name="Peon_1_6" localSheetId="8">#REF!</definedName>
    <definedName name="Peon_1_6">#REF!</definedName>
    <definedName name="Peon_1_7" localSheetId="8">#REF!</definedName>
    <definedName name="Peon_1_7">#REF!</definedName>
    <definedName name="Peon_1_8" localSheetId="8">#REF!</definedName>
    <definedName name="Peon_1_8">#REF!</definedName>
    <definedName name="Peon_1_9" localSheetId="8">#REF!</definedName>
    <definedName name="Peon_1_9">#REF!</definedName>
    <definedName name="Peon_6" localSheetId="8">#REF!</definedName>
    <definedName name="Peon_6">#REF!</definedName>
    <definedName name="Peon_Colchas" localSheetId="3">[31]MO!$B$11</definedName>
    <definedName name="Peon_Colchas">[32]MO!$B$11</definedName>
    <definedName name="peon_dia" localSheetId="8">#REF!</definedName>
    <definedName name="peon_dia">#REF!</definedName>
    <definedName name="PEONCARP" localSheetId="8">[21]INS!#REF!</definedName>
    <definedName name="PEONCARP">[21]INS!#REF!</definedName>
    <definedName name="PEONCARP_6" localSheetId="8">#REF!</definedName>
    <definedName name="PEONCARP_6">#REF!</definedName>
    <definedName name="PEONCARP_8" localSheetId="8">#REF!</definedName>
    <definedName name="PEONCARP_8">#REF!</definedName>
    <definedName name="PERFIL_CUADRADO_34" localSheetId="3">[31]INSU!$B$91</definedName>
    <definedName name="PERFIL_CUADRADO_34">[32]INSU!$B$91</definedName>
    <definedName name="pergolado.area.piscina">[51]Análisis!$D$1633</definedName>
    <definedName name="Pernos" localSheetId="8">#REF!</definedName>
    <definedName name="Pernos">#REF!</definedName>
    <definedName name="Pernos_3">"$#REF!.$B$68"</definedName>
    <definedName name="Pernos_6" localSheetId="8">#REF!</definedName>
    <definedName name="Pernos_6">#REF!</definedName>
    <definedName name="Pernos_8" localSheetId="8">#REF!</definedName>
    <definedName name="Pernos_8">#REF!</definedName>
    <definedName name="PICO" localSheetId="8">#REF!</definedName>
    <definedName name="PICO">#REF!</definedName>
    <definedName name="PICO_10" localSheetId="8">#REF!</definedName>
    <definedName name="PICO_10">#REF!</definedName>
    <definedName name="PICO_11" localSheetId="8">#REF!</definedName>
    <definedName name="PICO_11">#REF!</definedName>
    <definedName name="PICO_6" localSheetId="8">#REF!</definedName>
    <definedName name="PICO_6">#REF!</definedName>
    <definedName name="PICO_7" localSheetId="8">#REF!</definedName>
    <definedName name="PICO_7">#REF!</definedName>
    <definedName name="PICO_8" localSheetId="8">#REF!</definedName>
    <definedName name="PICO_8">#REF!</definedName>
    <definedName name="PICO_9" localSheetId="8">#REF!</definedName>
    <definedName name="PICO_9">#REF!</definedName>
    <definedName name="PIEDRA" localSheetId="8">#REF!</definedName>
    <definedName name="PIEDRA">#REF!</definedName>
    <definedName name="PIEDRA_10" localSheetId="8">#REF!</definedName>
    <definedName name="PIEDRA_10">#REF!</definedName>
    <definedName name="PIEDRA_11" localSheetId="8">#REF!</definedName>
    <definedName name="PIEDRA_11">#REF!</definedName>
    <definedName name="PIEDRA_6" localSheetId="8">#REF!</definedName>
    <definedName name="PIEDRA_6">#REF!</definedName>
    <definedName name="PIEDRA_7" localSheetId="8">#REF!</definedName>
    <definedName name="PIEDRA_7">#REF!</definedName>
    <definedName name="PIEDRA_8" localSheetId="8">#REF!</definedName>
    <definedName name="PIEDRA_8">#REF!</definedName>
    <definedName name="PIEDRA_9" localSheetId="8">#REF!</definedName>
    <definedName name="PIEDRA_9">#REF!</definedName>
    <definedName name="PIEDRA_GAVIONES" localSheetId="8">#REF!</definedName>
    <definedName name="PIEDRA_GAVIONES">#REF!</definedName>
    <definedName name="PIEDRA_GAVIONES_10" localSheetId="8">#REF!</definedName>
    <definedName name="PIEDRA_GAVIONES_10">#REF!</definedName>
    <definedName name="PIEDRA_GAVIONES_11" localSheetId="8">#REF!</definedName>
    <definedName name="PIEDRA_GAVIONES_11">#REF!</definedName>
    <definedName name="PIEDRA_GAVIONES_6" localSheetId="8">#REF!</definedName>
    <definedName name="PIEDRA_GAVIONES_6">#REF!</definedName>
    <definedName name="PIEDRA_GAVIONES_7" localSheetId="8">#REF!</definedName>
    <definedName name="PIEDRA_GAVIONES_7">#REF!</definedName>
    <definedName name="PIEDRA_GAVIONES_8" localSheetId="8">#REF!</definedName>
    <definedName name="PIEDRA_GAVIONES_8">#REF!</definedName>
    <definedName name="PIEDRA_GAVIONES_9" localSheetId="8">#REF!</definedName>
    <definedName name="PIEDRA_GAVIONES_9">#REF!</definedName>
    <definedName name="PINO" localSheetId="3">[46]INS!$D$770</definedName>
    <definedName name="PINO">[47]INS!$D$770</definedName>
    <definedName name="pino.tratado">[69]Insumos!$C$35</definedName>
    <definedName name="Pintura.epoxica.piscina">[51]Análisis!$D$1562</definedName>
    <definedName name="pintura.man.puertas">[49]Análisis!$D$1549</definedName>
    <definedName name="pintura.mant.puertas">[48]Análisis!$D$1164</definedName>
    <definedName name="pintura.sobre.clavot">[49]Análisis!$D$1556</definedName>
    <definedName name="PINTURA_ACR_COLOR_PREPARADO" localSheetId="8">#REF!</definedName>
    <definedName name="PINTURA_ACR_COLOR_PREPARADO">#REF!</definedName>
    <definedName name="PINTURA_ACR_COLOR_PREPARADO_10" localSheetId="8">#REF!</definedName>
    <definedName name="PINTURA_ACR_COLOR_PREPARADO_10">#REF!</definedName>
    <definedName name="PINTURA_ACR_COLOR_PREPARADO_11" localSheetId="8">#REF!</definedName>
    <definedName name="PINTURA_ACR_COLOR_PREPARADO_11">#REF!</definedName>
    <definedName name="PINTURA_ACR_COLOR_PREPARADO_6" localSheetId="8">#REF!</definedName>
    <definedName name="PINTURA_ACR_COLOR_PREPARADO_6">#REF!</definedName>
    <definedName name="PINTURA_ACR_COLOR_PREPARADO_7" localSheetId="8">#REF!</definedName>
    <definedName name="PINTURA_ACR_COLOR_PREPARADO_7">#REF!</definedName>
    <definedName name="PINTURA_ACR_COLOR_PREPARADO_8" localSheetId="8">#REF!</definedName>
    <definedName name="PINTURA_ACR_COLOR_PREPARADO_8">#REF!</definedName>
    <definedName name="PINTURA_ACR_COLOR_PREPARADO_9" localSheetId="8">#REF!</definedName>
    <definedName name="PINTURA_ACR_COLOR_PREPARADO_9">#REF!</definedName>
    <definedName name="PINTURA_ACR_EXT" localSheetId="8">#REF!</definedName>
    <definedName name="PINTURA_ACR_EXT">#REF!</definedName>
    <definedName name="PINTURA_ACR_EXT_10" localSheetId="8">#REF!</definedName>
    <definedName name="PINTURA_ACR_EXT_10">#REF!</definedName>
    <definedName name="PINTURA_ACR_EXT_11" localSheetId="8">#REF!</definedName>
    <definedName name="PINTURA_ACR_EXT_11">#REF!</definedName>
    <definedName name="PINTURA_ACR_EXT_6" localSheetId="8">#REF!</definedName>
    <definedName name="PINTURA_ACR_EXT_6">#REF!</definedName>
    <definedName name="PINTURA_ACR_EXT_7" localSheetId="8">#REF!</definedName>
    <definedName name="PINTURA_ACR_EXT_7">#REF!</definedName>
    <definedName name="PINTURA_ACR_EXT_8" localSheetId="8">#REF!</definedName>
    <definedName name="PINTURA_ACR_EXT_8">#REF!</definedName>
    <definedName name="PINTURA_ACR_EXT_9" localSheetId="8">#REF!</definedName>
    <definedName name="PINTURA_ACR_EXT_9">#REF!</definedName>
    <definedName name="PINTURA_ACR_INT" localSheetId="8">#REF!</definedName>
    <definedName name="PINTURA_ACR_INT">#REF!</definedName>
    <definedName name="PINTURA_ACR_INT_10" localSheetId="8">#REF!</definedName>
    <definedName name="PINTURA_ACR_INT_10">#REF!</definedName>
    <definedName name="PINTURA_ACR_INT_11" localSheetId="8">#REF!</definedName>
    <definedName name="PINTURA_ACR_INT_11">#REF!</definedName>
    <definedName name="PINTURA_ACR_INT_6" localSheetId="8">#REF!</definedName>
    <definedName name="PINTURA_ACR_INT_6">#REF!</definedName>
    <definedName name="PINTURA_ACR_INT_7" localSheetId="8">#REF!</definedName>
    <definedName name="PINTURA_ACR_INT_7">#REF!</definedName>
    <definedName name="PINTURA_ACR_INT_8" localSheetId="8">#REF!</definedName>
    <definedName name="PINTURA_ACR_INT_8">#REF!</definedName>
    <definedName name="PINTURA_ACR_INT_9" localSheetId="8">#REF!</definedName>
    <definedName name="PINTURA_ACR_INT_9">#REF!</definedName>
    <definedName name="PINTURA_BASE" localSheetId="8">#REF!</definedName>
    <definedName name="PINTURA_BASE">#REF!</definedName>
    <definedName name="PINTURA_BASE_10" localSheetId="8">#REF!</definedName>
    <definedName name="PINTURA_BASE_10">#REF!</definedName>
    <definedName name="PINTURA_BASE_11" localSheetId="8">#REF!</definedName>
    <definedName name="PINTURA_BASE_11">#REF!</definedName>
    <definedName name="PINTURA_BASE_6" localSheetId="8">#REF!</definedName>
    <definedName name="PINTURA_BASE_6">#REF!</definedName>
    <definedName name="PINTURA_BASE_7" localSheetId="8">#REF!</definedName>
    <definedName name="PINTURA_BASE_7">#REF!</definedName>
    <definedName name="PINTURA_BASE_8" localSheetId="8">#REF!</definedName>
    <definedName name="PINTURA_BASE_8">#REF!</definedName>
    <definedName name="PINTURA_BASE_9" localSheetId="8">#REF!</definedName>
    <definedName name="PINTURA_BASE_9">#REF!</definedName>
    <definedName name="PINTURA_MANTENIMIENTO" localSheetId="8">#REF!</definedName>
    <definedName name="PINTURA_MANTENIMIENTO">#REF!</definedName>
    <definedName name="PINTURA_MANTENIMIENTO_10" localSheetId="8">#REF!</definedName>
    <definedName name="PINTURA_MANTENIMIENTO_10">#REF!</definedName>
    <definedName name="PINTURA_MANTENIMIENTO_11" localSheetId="8">#REF!</definedName>
    <definedName name="PINTURA_MANTENIMIENTO_11">#REF!</definedName>
    <definedName name="PINTURA_MANTENIMIENTO_6" localSheetId="8">#REF!</definedName>
    <definedName name="PINTURA_MANTENIMIENTO_6">#REF!</definedName>
    <definedName name="PINTURA_MANTENIMIENTO_7" localSheetId="8">#REF!</definedName>
    <definedName name="PINTURA_MANTENIMIENTO_7">#REF!</definedName>
    <definedName name="PINTURA_MANTENIMIENTO_8" localSheetId="8">#REF!</definedName>
    <definedName name="PINTURA_MANTENIMIENTO_8">#REF!</definedName>
    <definedName name="PINTURA_MANTENIMIENTO_9" localSheetId="8">#REF!</definedName>
    <definedName name="PINTURA_MANTENIMIENTO_9">#REF!</definedName>
    <definedName name="PINTURA_OXIDO_ROJO" localSheetId="8">#REF!</definedName>
    <definedName name="PINTURA_OXIDO_ROJO">#REF!</definedName>
    <definedName name="PINTURA_OXIDO_ROJO_10" localSheetId="8">#REF!</definedName>
    <definedName name="PINTURA_OXIDO_ROJO_10">#REF!</definedName>
    <definedName name="PINTURA_OXIDO_ROJO_11" localSheetId="8">#REF!</definedName>
    <definedName name="PINTURA_OXIDO_ROJO_11">#REF!</definedName>
    <definedName name="PINTURA_OXIDO_ROJO_6" localSheetId="8">#REF!</definedName>
    <definedName name="PINTURA_OXIDO_ROJO_6">#REF!</definedName>
    <definedName name="PINTURA_OXIDO_ROJO_7" localSheetId="8">#REF!</definedName>
    <definedName name="PINTURA_OXIDO_ROJO_7">#REF!</definedName>
    <definedName name="PINTURA_OXIDO_ROJO_8" localSheetId="8">#REF!</definedName>
    <definedName name="PINTURA_OXIDO_ROJO_8">#REF!</definedName>
    <definedName name="PINTURA_OXIDO_ROJO_9" localSheetId="8">#REF!</definedName>
    <definedName name="PINTURA_OXIDO_ROJO_9">#REF!</definedName>
    <definedName name="Piso.Ceram.Serv.">[23]Análisis!$D$580</definedName>
    <definedName name="Piso.Ceramica.A">[23]Análisis!$D$522</definedName>
    <definedName name="Piso.Ceramica.B">[23]Análisis!$D$541</definedName>
    <definedName name="Piso.Ceramica.C">[23]Análisis!$D$560</definedName>
    <definedName name="piso.granito.ext.crema">[23]Análisis!$D$415</definedName>
    <definedName name="piso.granito.ext.rosado">[23]Análisis!$D$427</definedName>
    <definedName name="piso.granito.ext.rozado">[23]Análisis!$D$427</definedName>
    <definedName name="Piso.granito.fondo.blanco">[23]Análisis!$D$449</definedName>
    <definedName name="Piso.granito.fondo.gris">[23]Análisis!$D$460</definedName>
    <definedName name="piso.granito.p.exterior.rojo">[23]Análisis!$D$438</definedName>
    <definedName name="piso.granito.p.exterior.rosado">[23]Análisis!$D$438</definedName>
    <definedName name="piso.mosaico.25x25">[49]Análisis!$D$1256</definedName>
    <definedName name="piso.porcelanato.40x40">[23]Análisis!$D$491</definedName>
    <definedName name="PISO_GRANITO_FONDO_BCO" localSheetId="3">[31]INSU!$B$103</definedName>
    <definedName name="PISO_GRANITO_FONDO_BCO">[32]INSU!$B$103</definedName>
    <definedName name="plafond.sheetrock">'[52]Plafond Sheetrock'!$E$54</definedName>
    <definedName name="planta.electrica500w">[23]Resumen!$D$25</definedName>
    <definedName name="PLANTA_ELECTRICA" localSheetId="8">#REF!</definedName>
    <definedName name="PLANTA_ELECTRICA">#REF!</definedName>
    <definedName name="PLANTA_ELECTRICA_10" localSheetId="8">#REF!</definedName>
    <definedName name="PLANTA_ELECTRICA_10">#REF!</definedName>
    <definedName name="PLANTA_ELECTRICA_11" localSheetId="8">#REF!</definedName>
    <definedName name="PLANTA_ELECTRICA_11">#REF!</definedName>
    <definedName name="PLANTA_ELECTRICA_6" localSheetId="8">#REF!</definedName>
    <definedName name="PLANTA_ELECTRICA_6">#REF!</definedName>
    <definedName name="PLANTA_ELECTRICA_7" localSheetId="8">#REF!</definedName>
    <definedName name="PLANTA_ELECTRICA_7">#REF!</definedName>
    <definedName name="PLANTA_ELECTRICA_8" localSheetId="8">#REF!</definedName>
    <definedName name="PLANTA_ELECTRICA_8">#REF!</definedName>
    <definedName name="PLANTA_ELECTRICA_9" localSheetId="8">#REF!</definedName>
    <definedName name="PLANTA_ELECTRICA_9">#REF!</definedName>
    <definedName name="PLASTICO" localSheetId="3">[31]INSU!$B$90</definedName>
    <definedName name="PLASTICO">[32]INSU!$B$90</definedName>
    <definedName name="platea.piscina">[51]Análisis!$D$200</definedName>
    <definedName name="PLIGADORA2" localSheetId="3">[58]INS!$D$563</definedName>
    <definedName name="PLIGADORA2">[21]INS!$D$563</definedName>
    <definedName name="PLIGADORA2_6" localSheetId="8">#REF!</definedName>
    <definedName name="PLIGADORA2_6">#REF!</definedName>
    <definedName name="PLOMERO" localSheetId="8">[21]INS!#REF!</definedName>
    <definedName name="PLOMERO">[21]INS!#REF!</definedName>
    <definedName name="PLOMERO_6" localSheetId="8">#REF!</definedName>
    <definedName name="PLOMERO_6">#REF!</definedName>
    <definedName name="PLOMERO_8" localSheetId="8">#REF!</definedName>
    <definedName name="PLOMERO_8">#REF!</definedName>
    <definedName name="PLOMERO_SOLDADOR" localSheetId="8">#REF!</definedName>
    <definedName name="PLOMERO_SOLDADOR">#REF!</definedName>
    <definedName name="PLOMERO_SOLDADOR_10" localSheetId="8">#REF!</definedName>
    <definedName name="PLOMERO_SOLDADOR_10">#REF!</definedName>
    <definedName name="PLOMERO_SOLDADOR_11" localSheetId="8">#REF!</definedName>
    <definedName name="PLOMERO_SOLDADOR_11">#REF!</definedName>
    <definedName name="PLOMERO_SOLDADOR_6" localSheetId="8">#REF!</definedName>
    <definedName name="PLOMERO_SOLDADOR_6">#REF!</definedName>
    <definedName name="PLOMERO_SOLDADOR_7" localSheetId="8">#REF!</definedName>
    <definedName name="PLOMERO_SOLDADOR_7">#REF!</definedName>
    <definedName name="PLOMERO_SOLDADOR_8" localSheetId="8">#REF!</definedName>
    <definedName name="PLOMERO_SOLDADOR_8">#REF!</definedName>
    <definedName name="PLOMERO_SOLDADOR_9" localSheetId="8">#REF!</definedName>
    <definedName name="PLOMERO_SOLDADOR_9">#REF!</definedName>
    <definedName name="PLOMEROAYUDANTE" localSheetId="8">[21]INS!#REF!</definedName>
    <definedName name="PLOMEROAYUDANTE">[21]INS!#REF!</definedName>
    <definedName name="PLOMEROAYUDANTE_6" localSheetId="8">#REF!</definedName>
    <definedName name="PLOMEROAYUDANTE_6">#REF!</definedName>
    <definedName name="PLOMEROAYUDANTE_8" localSheetId="8">#REF!</definedName>
    <definedName name="PLOMEROAYUDANTE_8">#REF!</definedName>
    <definedName name="PLOMEROOFICIAL" localSheetId="8">[21]INS!#REF!</definedName>
    <definedName name="PLOMEROOFICIAL">[21]INS!#REF!</definedName>
    <definedName name="PLOMEROOFICIAL_6" localSheetId="8">#REF!</definedName>
    <definedName name="PLOMEROOFICIAL_6">#REF!</definedName>
    <definedName name="PLOMEROOFICIAL_8" localSheetId="8">#REF!</definedName>
    <definedName name="PLOMEROOFICIAL_8">#REF!</definedName>
    <definedName name="PLYWOOD_34_2CARAS" localSheetId="8">#REF!</definedName>
    <definedName name="PLYWOOD_34_2CARAS" localSheetId="3">[20]INSU!$D$133</definedName>
    <definedName name="PLYWOOD_34_2CARAS">#REF!</definedName>
    <definedName name="PLYWOOD_34_2CARAS_10" localSheetId="8">#REF!</definedName>
    <definedName name="PLYWOOD_34_2CARAS_10">#REF!</definedName>
    <definedName name="PLYWOOD_34_2CARAS_11" localSheetId="8">#REF!</definedName>
    <definedName name="PLYWOOD_34_2CARAS_11">#REF!</definedName>
    <definedName name="PLYWOOD_34_2CARAS_5" localSheetId="8">#REF!</definedName>
    <definedName name="PLYWOOD_34_2CARAS_5">#REF!</definedName>
    <definedName name="PLYWOOD_34_2CARAS_6" localSheetId="8">#REF!</definedName>
    <definedName name="PLYWOOD_34_2CARAS_6">#REF!</definedName>
    <definedName name="PLYWOOD_34_2CARAS_7" localSheetId="8">#REF!</definedName>
    <definedName name="PLYWOOD_34_2CARAS_7">#REF!</definedName>
    <definedName name="PLYWOOD_34_2CARAS_8" localSheetId="8">#REF!</definedName>
    <definedName name="PLYWOOD_34_2CARAS_8">#REF!</definedName>
    <definedName name="PLYWOOD_34_2CARAS_9" localSheetId="8">#REF!</definedName>
    <definedName name="PLYWOOD_34_2CARAS_9">#REF!</definedName>
    <definedName name="pmadera2162" localSheetId="8">[38]precios!#REF!</definedName>
    <definedName name="pmadera2162">[38]precios!#REF!</definedName>
    <definedName name="pmadera2162_8" localSheetId="8">#REF!</definedName>
    <definedName name="pmadera2162_8">#REF!</definedName>
    <definedName name="po">[70]PRESUPUESTO!$O$9:$O$236</definedName>
    <definedName name="Porcelanato30x60">[23]Análisis!$D$512</definedName>
    <definedName name="porcentaje_3">"$#REF!.$J$12"</definedName>
    <definedName name="POSTE_HA_25_CUAD" localSheetId="8">#REF!</definedName>
    <definedName name="POSTE_HA_25_CUAD">#REF!</definedName>
    <definedName name="POSTE_HA_25_CUAD_10" localSheetId="8">#REF!</definedName>
    <definedName name="POSTE_HA_25_CUAD_10">#REF!</definedName>
    <definedName name="POSTE_HA_25_CUAD_11" localSheetId="8">#REF!</definedName>
    <definedName name="POSTE_HA_25_CUAD_11">#REF!</definedName>
    <definedName name="POSTE_HA_25_CUAD_6" localSheetId="8">#REF!</definedName>
    <definedName name="POSTE_HA_25_CUAD_6">#REF!</definedName>
    <definedName name="POSTE_HA_25_CUAD_7" localSheetId="8">#REF!</definedName>
    <definedName name="POSTE_HA_25_CUAD_7">#REF!</definedName>
    <definedName name="POSTE_HA_25_CUAD_8" localSheetId="8">#REF!</definedName>
    <definedName name="POSTE_HA_25_CUAD_8">#REF!</definedName>
    <definedName name="POSTE_HA_25_CUAD_9" localSheetId="8">#REF!</definedName>
    <definedName name="POSTE_HA_25_CUAD_9">#REF!</definedName>
    <definedName name="POSTE_HA_30_CUAD" localSheetId="8">#REF!</definedName>
    <definedName name="POSTE_HA_30_CUAD">#REF!</definedName>
    <definedName name="POSTE_HA_30_CUAD_10" localSheetId="8">#REF!</definedName>
    <definedName name="POSTE_HA_30_CUAD_10">#REF!</definedName>
    <definedName name="POSTE_HA_30_CUAD_11" localSheetId="8">#REF!</definedName>
    <definedName name="POSTE_HA_30_CUAD_11">#REF!</definedName>
    <definedName name="POSTE_HA_30_CUAD_6" localSheetId="8">#REF!</definedName>
    <definedName name="POSTE_HA_30_CUAD_6">#REF!</definedName>
    <definedName name="POSTE_HA_30_CUAD_7" localSheetId="8">#REF!</definedName>
    <definedName name="POSTE_HA_30_CUAD_7">#REF!</definedName>
    <definedName name="POSTE_HA_30_CUAD_8" localSheetId="8">#REF!</definedName>
    <definedName name="POSTE_HA_30_CUAD_8">#REF!</definedName>
    <definedName name="POSTE_HA_30_CUAD_9" localSheetId="8">#REF!</definedName>
    <definedName name="POSTE_HA_30_CUAD_9">#REF!</definedName>
    <definedName name="POSTE_HA_35_CUAD" localSheetId="8">#REF!</definedName>
    <definedName name="POSTE_HA_35_CUAD">#REF!</definedName>
    <definedName name="POSTE_HA_35_CUAD_10" localSheetId="8">#REF!</definedName>
    <definedName name="POSTE_HA_35_CUAD_10">#REF!</definedName>
    <definedName name="POSTE_HA_35_CUAD_11" localSheetId="8">#REF!</definedName>
    <definedName name="POSTE_HA_35_CUAD_11">#REF!</definedName>
    <definedName name="POSTE_HA_35_CUAD_6" localSheetId="8">#REF!</definedName>
    <definedName name="POSTE_HA_35_CUAD_6">#REF!</definedName>
    <definedName name="POSTE_HA_35_CUAD_7" localSheetId="8">#REF!</definedName>
    <definedName name="POSTE_HA_35_CUAD_7">#REF!</definedName>
    <definedName name="POSTE_HA_35_CUAD_8" localSheetId="8">#REF!</definedName>
    <definedName name="POSTE_HA_35_CUAD_8">#REF!</definedName>
    <definedName name="POSTE_HA_35_CUAD_9" localSheetId="8">#REF!</definedName>
    <definedName name="POSTE_HA_35_CUAD_9">#REF!</definedName>
    <definedName name="POSTE_HA_40_CUAD" localSheetId="8">#REF!</definedName>
    <definedName name="POSTE_HA_40_CUAD">#REF!</definedName>
    <definedName name="POSTE_HA_40_CUAD_10" localSheetId="8">#REF!</definedName>
    <definedName name="POSTE_HA_40_CUAD_10">#REF!</definedName>
    <definedName name="POSTE_HA_40_CUAD_11" localSheetId="8">#REF!</definedName>
    <definedName name="POSTE_HA_40_CUAD_11">#REF!</definedName>
    <definedName name="POSTE_HA_40_CUAD_6" localSheetId="8">#REF!</definedName>
    <definedName name="POSTE_HA_40_CUAD_6">#REF!</definedName>
    <definedName name="POSTE_HA_40_CUAD_7" localSheetId="8">#REF!</definedName>
    <definedName name="POSTE_HA_40_CUAD_7">#REF!</definedName>
    <definedName name="POSTE_HA_40_CUAD_8" localSheetId="8">#REF!</definedName>
    <definedName name="POSTE_HA_40_CUAD_8">#REF!</definedName>
    <definedName name="POSTE_HA_40_CUAD_9" localSheetId="8">#REF!</definedName>
    <definedName name="POSTE_HA_40_CUAD_9">#REF!</definedName>
    <definedName name="PPD">'[71]med.mov.de tierras'!$D$6</definedName>
    <definedName name="PREC._UNITARIO">#N/A</definedName>
    <definedName name="PREC._UNITARIO_6">NA()</definedName>
    <definedName name="precios" localSheetId="3">[72]Precios!$A$4:$F$1576</definedName>
    <definedName name="precios">[73]Precios!$A$4:$F$1576</definedName>
    <definedName name="PRESUPUESTO">#N/A</definedName>
    <definedName name="PRESUPUESTO_6">NA()</definedName>
    <definedName name="PRIMA_3">"$#REF!.$M$38"</definedName>
    <definedName name="PU_3">"$#REF!.$E$1:$E$65534"</definedName>
    <definedName name="pu1_2">"$#REF!.$E$1:$E$65534"</definedName>
    <definedName name="pu1_3">"$#REF!.$E$1:$E$65534"</definedName>
    <definedName name="PU6_2">"$#REF!.$E$1:$E$65534"</definedName>
    <definedName name="PU6_3">"$#REF!.$E$1:$E$65534"</definedName>
    <definedName name="puerta.enrollable.p.moteles">[23]Insumos!$E$42</definedName>
    <definedName name="PUERTA_PANEL_PINO" localSheetId="8">#REF!</definedName>
    <definedName name="PUERTA_PANEL_PINO">#REF!</definedName>
    <definedName name="PUERTA_PANEL_PINO_10" localSheetId="8">#REF!</definedName>
    <definedName name="PUERTA_PANEL_PINO_10">#REF!</definedName>
    <definedName name="PUERTA_PANEL_PINO_11" localSheetId="8">#REF!</definedName>
    <definedName name="PUERTA_PANEL_PINO_11">#REF!</definedName>
    <definedName name="PUERTA_PANEL_PINO_6" localSheetId="8">#REF!</definedName>
    <definedName name="PUERTA_PANEL_PINO_6">#REF!</definedName>
    <definedName name="PUERTA_PANEL_PINO_7" localSheetId="8">#REF!</definedName>
    <definedName name="PUERTA_PANEL_PINO_7">#REF!</definedName>
    <definedName name="PUERTA_PANEL_PINO_8" localSheetId="8">#REF!</definedName>
    <definedName name="PUERTA_PANEL_PINO_8">#REF!</definedName>
    <definedName name="PUERTA_PANEL_PINO_9" localSheetId="8">#REF!</definedName>
    <definedName name="PUERTA_PANEL_PINO_9">#REF!</definedName>
    <definedName name="PUERTA_PLYWOOD" localSheetId="8">#REF!</definedName>
    <definedName name="PUERTA_PLYWOOD">#REF!</definedName>
    <definedName name="PUERTA_PLYWOOD_10" localSheetId="8">#REF!</definedName>
    <definedName name="PUERTA_PLYWOOD_10">#REF!</definedName>
    <definedName name="PUERTA_PLYWOOD_11" localSheetId="8">#REF!</definedName>
    <definedName name="PUERTA_PLYWOOD_11">#REF!</definedName>
    <definedName name="PUERTA_PLYWOOD_6" localSheetId="8">#REF!</definedName>
    <definedName name="PUERTA_PLYWOOD_6">#REF!</definedName>
    <definedName name="PUERTA_PLYWOOD_7" localSheetId="8">#REF!</definedName>
    <definedName name="PUERTA_PLYWOOD_7">#REF!</definedName>
    <definedName name="PUERTA_PLYWOOD_8" localSheetId="8">#REF!</definedName>
    <definedName name="PUERTA_PLYWOOD_8">#REF!</definedName>
    <definedName name="PUERTA_PLYWOOD_9" localSheetId="8">#REF!</definedName>
    <definedName name="PUERTA_PLYWOOD_9">#REF!</definedName>
    <definedName name="PULIDO_Y_BRILLADO_ESCALON" localSheetId="8">#REF!</definedName>
    <definedName name="PULIDO_Y_BRILLADO_ESCALON">#REF!</definedName>
    <definedName name="PULIDO_Y_BRILLADO_ESCALON_10" localSheetId="8">#REF!</definedName>
    <definedName name="PULIDO_Y_BRILLADO_ESCALON_10">#REF!</definedName>
    <definedName name="PULIDO_Y_BRILLADO_ESCALON_11" localSheetId="8">#REF!</definedName>
    <definedName name="PULIDO_Y_BRILLADO_ESCALON_11">#REF!</definedName>
    <definedName name="PULIDO_Y_BRILLADO_ESCALON_6" localSheetId="8">#REF!</definedName>
    <definedName name="PULIDO_Y_BRILLADO_ESCALON_6">#REF!</definedName>
    <definedName name="PULIDO_Y_BRILLADO_ESCALON_7" localSheetId="8">#REF!</definedName>
    <definedName name="PULIDO_Y_BRILLADO_ESCALON_7">#REF!</definedName>
    <definedName name="PULIDO_Y_BRILLADO_ESCALON_8" localSheetId="8">#REF!</definedName>
    <definedName name="PULIDO_Y_BRILLADO_ESCALON_8">#REF!</definedName>
    <definedName name="PULIDO_Y_BRILLADO_ESCALON_9" localSheetId="8">#REF!</definedName>
    <definedName name="PULIDO_Y_BRILLADO_ESCALON_9">#REF!</definedName>
    <definedName name="PULIDOyBRILLADO_TC" localSheetId="8">#REF!</definedName>
    <definedName name="PULIDOyBRILLADO_TC">#REF!</definedName>
    <definedName name="PULIDOyBRILLADO_TC_10" localSheetId="8">#REF!</definedName>
    <definedName name="PULIDOyBRILLADO_TC_10">#REF!</definedName>
    <definedName name="PULIDOyBRILLADO_TC_11" localSheetId="8">#REF!</definedName>
    <definedName name="PULIDOyBRILLADO_TC_11">#REF!</definedName>
    <definedName name="PULIDOyBRILLADO_TC_6" localSheetId="8">#REF!</definedName>
    <definedName name="PULIDOyBRILLADO_TC_6">#REF!</definedName>
    <definedName name="PULIDOyBRILLADO_TC_7" localSheetId="8">#REF!</definedName>
    <definedName name="PULIDOyBRILLADO_TC_7">#REF!</definedName>
    <definedName name="PULIDOyBRILLADO_TC_8" localSheetId="8">#REF!</definedName>
    <definedName name="PULIDOyBRILLADO_TC_8">#REF!</definedName>
    <definedName name="PULIDOyBRILLADO_TC_9" localSheetId="8">#REF!</definedName>
    <definedName name="PULIDOyBRILLADO_TC_9">#REF!</definedName>
    <definedName name="PUZAPATAMURORAMPA">'[17]Análisis de Precios'!$F$201</definedName>
    <definedName name="PWINCHE2000K" localSheetId="3">[58]INS!$D$568</definedName>
    <definedName name="PWINCHE2000K">[21]INS!$D$568</definedName>
    <definedName name="PWINCHE2000K_6" localSheetId="8">#REF!</definedName>
    <definedName name="PWINCHE2000K_6">#REF!</definedName>
    <definedName name="Q" localSheetId="8">#REF!</definedName>
    <definedName name="Q" localSheetId="3">[1]CUB02!$W$1:$W$8</definedName>
    <definedName name="Q">#REF!</definedName>
    <definedName name="Q_10" localSheetId="8">#REF!</definedName>
    <definedName name="Q_10">#REF!</definedName>
    <definedName name="Q_11" localSheetId="8">#REF!</definedName>
    <definedName name="Q_11">#REF!</definedName>
    <definedName name="Q_5" localSheetId="8">#REF!</definedName>
    <definedName name="Q_5">#REF!</definedName>
    <definedName name="Q_6" localSheetId="8">#REF!</definedName>
    <definedName name="Q_6">#REF!</definedName>
    <definedName name="Q_7" localSheetId="8">#REF!</definedName>
    <definedName name="Q_7">#REF!</definedName>
    <definedName name="Q_8" localSheetId="8">#REF!</definedName>
    <definedName name="Q_8">#REF!</definedName>
    <definedName name="Q_9" localSheetId="8">#REF!</definedName>
    <definedName name="Q_9">#REF!</definedName>
    <definedName name="QQ" localSheetId="8">[74]INS!#REF!</definedName>
    <definedName name="QQ">[74]INS!#REF!</definedName>
    <definedName name="QQQ" localSheetId="8">[13]M.O.!#REF!</definedName>
    <definedName name="QQQ">[13]M.O.!#REF!</definedName>
    <definedName name="QQQQ" localSheetId="8">#REF!</definedName>
    <definedName name="QQQQ">#REF!</definedName>
    <definedName name="QQQQQ" localSheetId="8">#REF!</definedName>
    <definedName name="QQQQQ">#REF!</definedName>
    <definedName name="qw">[70]PRESUPUESTO!$M$10:$AH$731</definedName>
    <definedName name="qwe" localSheetId="3">[20]INSU!$D$133</definedName>
    <definedName name="qwe">[25]PRESUPUESTO!$D$133</definedName>
    <definedName name="qwe_6" localSheetId="8">#REF!</definedName>
    <definedName name="qwe_6">#REF!</definedName>
    <definedName name="RASTRILLO" localSheetId="8">#REF!</definedName>
    <definedName name="RASTRILLO">#REF!</definedName>
    <definedName name="RASTRILLO_10" localSheetId="8">#REF!</definedName>
    <definedName name="RASTRILLO_10">#REF!</definedName>
    <definedName name="RASTRILLO_11" localSheetId="8">#REF!</definedName>
    <definedName name="RASTRILLO_11">#REF!</definedName>
    <definedName name="RASTRILLO_6" localSheetId="8">#REF!</definedName>
    <definedName name="RASTRILLO_6">#REF!</definedName>
    <definedName name="RASTRILLO_7" localSheetId="8">#REF!</definedName>
    <definedName name="RASTRILLO_7">#REF!</definedName>
    <definedName name="RASTRILLO_8" localSheetId="8">#REF!</definedName>
    <definedName name="RASTRILLO_8">#REF!</definedName>
    <definedName name="RASTRILLO_9" localSheetId="8">#REF!</definedName>
    <definedName name="RASTRILLO_9">#REF!</definedName>
    <definedName name="REAL" localSheetId="8">#REF!</definedName>
    <definedName name="REAL">#REF!</definedName>
    <definedName name="Recreación">'[23]Hoja de presupuesto'!$G$173</definedName>
    <definedName name="REDUCCION_BUSHING_HG_12x38" localSheetId="8">#REF!</definedName>
    <definedName name="REDUCCION_BUSHING_HG_12x38">#REF!</definedName>
    <definedName name="REDUCCION_BUSHING_HG_12x38_10" localSheetId="8">#REF!</definedName>
    <definedName name="REDUCCION_BUSHING_HG_12x38_10">#REF!</definedName>
    <definedName name="REDUCCION_BUSHING_HG_12x38_11" localSheetId="8">#REF!</definedName>
    <definedName name="REDUCCION_BUSHING_HG_12x38_11">#REF!</definedName>
    <definedName name="REDUCCION_BUSHING_HG_12x38_6" localSheetId="8">#REF!</definedName>
    <definedName name="REDUCCION_BUSHING_HG_12x38_6">#REF!</definedName>
    <definedName name="REDUCCION_BUSHING_HG_12x38_7" localSheetId="8">#REF!</definedName>
    <definedName name="REDUCCION_BUSHING_HG_12x38_7">#REF!</definedName>
    <definedName name="REDUCCION_BUSHING_HG_12x38_8" localSheetId="8">#REF!</definedName>
    <definedName name="REDUCCION_BUSHING_HG_12x38_8">#REF!</definedName>
    <definedName name="REDUCCION_BUSHING_HG_12x38_9" localSheetId="8">#REF!</definedName>
    <definedName name="REDUCCION_BUSHING_HG_12x38_9">#REF!</definedName>
    <definedName name="REDUCCION_PVC_34a12" localSheetId="8">#REF!</definedName>
    <definedName name="REDUCCION_PVC_34a12">#REF!</definedName>
    <definedName name="REDUCCION_PVC_34a12_10" localSheetId="8">#REF!</definedName>
    <definedName name="REDUCCION_PVC_34a12_10">#REF!</definedName>
    <definedName name="REDUCCION_PVC_34a12_11" localSheetId="8">#REF!</definedName>
    <definedName name="REDUCCION_PVC_34a12_11">#REF!</definedName>
    <definedName name="REDUCCION_PVC_34a12_6" localSheetId="8">#REF!</definedName>
    <definedName name="REDUCCION_PVC_34a12_6">#REF!</definedName>
    <definedName name="REDUCCION_PVC_34a12_7" localSheetId="8">#REF!</definedName>
    <definedName name="REDUCCION_PVC_34a12_7">#REF!</definedName>
    <definedName name="REDUCCION_PVC_34a12_8" localSheetId="8">#REF!</definedName>
    <definedName name="REDUCCION_PVC_34a12_8">#REF!</definedName>
    <definedName name="REDUCCION_PVC_34a12_9" localSheetId="8">#REF!</definedName>
    <definedName name="REDUCCION_PVC_34a12_9">#REF!</definedName>
    <definedName name="REDUCCION_PVC_DREN_4x2" localSheetId="8">#REF!</definedName>
    <definedName name="REDUCCION_PVC_DREN_4x2">#REF!</definedName>
    <definedName name="REDUCCION_PVC_DREN_4x2_10" localSheetId="8">#REF!</definedName>
    <definedName name="REDUCCION_PVC_DREN_4x2_10">#REF!</definedName>
    <definedName name="REDUCCION_PVC_DREN_4x2_11" localSheetId="8">#REF!</definedName>
    <definedName name="REDUCCION_PVC_DREN_4x2_11">#REF!</definedName>
    <definedName name="REDUCCION_PVC_DREN_4x2_6" localSheetId="8">#REF!</definedName>
    <definedName name="REDUCCION_PVC_DREN_4x2_6">#REF!</definedName>
    <definedName name="REDUCCION_PVC_DREN_4x2_7" localSheetId="8">#REF!</definedName>
    <definedName name="REDUCCION_PVC_DREN_4x2_7">#REF!</definedName>
    <definedName name="REDUCCION_PVC_DREN_4x2_8" localSheetId="8">#REF!</definedName>
    <definedName name="REDUCCION_PVC_DREN_4x2_8">#REF!</definedName>
    <definedName name="REDUCCION_PVC_DREN_4x2_9" localSheetId="8">#REF!</definedName>
    <definedName name="REDUCCION_PVC_DREN_4x2_9">#REF!</definedName>
    <definedName name="REFERENCIA" localSheetId="3">[75]COF!$G$733</definedName>
    <definedName name="REFERENCIA">[76]COF!$G$733</definedName>
    <definedName name="REFERENCIA_10" localSheetId="8">#REF!</definedName>
    <definedName name="REFERENCIA_10">#REF!</definedName>
    <definedName name="REFERENCIA_11" localSheetId="8">#REF!</definedName>
    <definedName name="REFERENCIA_11">#REF!</definedName>
    <definedName name="REFERENCIA_6" localSheetId="8">#REF!</definedName>
    <definedName name="REFERENCIA_6">#REF!</definedName>
    <definedName name="REFERENCIA_7" localSheetId="8">#REF!</definedName>
    <definedName name="REFERENCIA_7">#REF!</definedName>
    <definedName name="REFERENCIA_8" localSheetId="8">#REF!</definedName>
    <definedName name="REFERENCIA_8">#REF!</definedName>
    <definedName name="REFERENCIA_9" localSheetId="8">#REF!</definedName>
    <definedName name="REFERENCIA_9">#REF!</definedName>
    <definedName name="REGISTRO_ELEC_6x6" localSheetId="8">#REF!</definedName>
    <definedName name="REGISTRO_ELEC_6x6">#REF!</definedName>
    <definedName name="REGISTRO_ELEC_6x6_10" localSheetId="8">#REF!</definedName>
    <definedName name="REGISTRO_ELEC_6x6_10">#REF!</definedName>
    <definedName name="REGISTRO_ELEC_6x6_11" localSheetId="8">#REF!</definedName>
    <definedName name="REGISTRO_ELEC_6x6_11">#REF!</definedName>
    <definedName name="REGISTRO_ELEC_6x6_6" localSheetId="8">#REF!</definedName>
    <definedName name="REGISTRO_ELEC_6x6_6">#REF!</definedName>
    <definedName name="REGISTRO_ELEC_6x6_7" localSheetId="8">#REF!</definedName>
    <definedName name="REGISTRO_ELEC_6x6_7">#REF!</definedName>
    <definedName name="REGISTRO_ELEC_6x6_8" localSheetId="8">#REF!</definedName>
    <definedName name="REGISTRO_ELEC_6x6_8">#REF!</definedName>
    <definedName name="REGISTRO_ELEC_6x6_9" localSheetId="8">#REF!</definedName>
    <definedName name="REGISTRO_ELEC_6x6_9">#REF!</definedName>
    <definedName name="REGLA_PAÑETE" localSheetId="8">#REF!</definedName>
    <definedName name="REGLA_PAÑETE">#REF!</definedName>
    <definedName name="REGLA_PAÑETE_10" localSheetId="8">#REF!</definedName>
    <definedName name="REGLA_PAÑETE_10">#REF!</definedName>
    <definedName name="REGLA_PAÑETE_11" localSheetId="8">#REF!</definedName>
    <definedName name="REGLA_PAÑETE_11">#REF!</definedName>
    <definedName name="REGLA_PAÑETE_6" localSheetId="8">#REF!</definedName>
    <definedName name="REGLA_PAÑETE_6">#REF!</definedName>
    <definedName name="REGLA_PAÑETE_7" localSheetId="8">#REF!</definedName>
    <definedName name="REGLA_PAÑETE_7">#REF!</definedName>
    <definedName name="REGLA_PAÑETE_8" localSheetId="8">#REF!</definedName>
    <definedName name="REGLA_PAÑETE_8">#REF!</definedName>
    <definedName name="REGLA_PAÑETE_9" localSheetId="8">#REF!</definedName>
    <definedName name="REGLA_PAÑETE_9">#REF!</definedName>
    <definedName name="REJILLA_PISO" localSheetId="8">#REF!</definedName>
    <definedName name="REJILLA_PISO">#REF!</definedName>
    <definedName name="REJILLA_PISO_10" localSheetId="8">#REF!</definedName>
    <definedName name="REJILLA_PISO_10">#REF!</definedName>
    <definedName name="REJILLA_PISO_11" localSheetId="8">#REF!</definedName>
    <definedName name="REJILLA_PISO_11">#REF!</definedName>
    <definedName name="REJILLA_PISO_6" localSheetId="8">#REF!</definedName>
    <definedName name="REJILLA_PISO_6">#REF!</definedName>
    <definedName name="REJILLA_PISO_7" localSheetId="8">#REF!</definedName>
    <definedName name="REJILLA_PISO_7">#REF!</definedName>
    <definedName name="REJILLA_PISO_8" localSheetId="8">#REF!</definedName>
    <definedName name="REJILLA_PISO_8">#REF!</definedName>
    <definedName name="REJILLA_PISO_9" localSheetId="8">#REF!</definedName>
    <definedName name="REJILLA_PISO_9">#REF!</definedName>
    <definedName name="REJILLAS_1x1" localSheetId="8">#REF!</definedName>
    <definedName name="REJILLAS_1x1">#REF!</definedName>
    <definedName name="REJILLAS_1x1_10" localSheetId="8">#REF!</definedName>
    <definedName name="REJILLAS_1x1_10">#REF!</definedName>
    <definedName name="REJILLAS_1x1_11" localSheetId="8">#REF!</definedName>
    <definedName name="REJILLAS_1x1_11">#REF!</definedName>
    <definedName name="REJILLAS_1x1_6" localSheetId="8">#REF!</definedName>
    <definedName name="REJILLAS_1x1_6">#REF!</definedName>
    <definedName name="REJILLAS_1x1_7" localSheetId="8">#REF!</definedName>
    <definedName name="REJILLAS_1x1_7">#REF!</definedName>
    <definedName name="REJILLAS_1x1_8" localSheetId="8">#REF!</definedName>
    <definedName name="REJILLAS_1x1_8">#REF!</definedName>
    <definedName name="REJILLAS_1x1_9" localSheetId="8">#REF!</definedName>
    <definedName name="REJILLAS_1x1_9">#REF!</definedName>
    <definedName name="REPORTE">#N/A</definedName>
    <definedName name="REPORTE_01">#N/A</definedName>
    <definedName name="REPORTE_01_6">NA()</definedName>
    <definedName name="REPORTE_02">#N/A</definedName>
    <definedName name="REPORTE_02_6">NA()</definedName>
    <definedName name="REPORTE_03">#N/A</definedName>
    <definedName name="REPORTE_03_6">NA()</definedName>
    <definedName name="REPORTE_04">#N/A</definedName>
    <definedName name="REPORTE_04_6">NA()</definedName>
    <definedName name="REPORTE_05">#N/A</definedName>
    <definedName name="REPORTE_05_6">NA()</definedName>
    <definedName name="REPORTE_06">#N/A</definedName>
    <definedName name="REPORTE_06_6">NA()</definedName>
    <definedName name="REPORTE_07">#N/A</definedName>
    <definedName name="REPORTE_07_6">NA()</definedName>
    <definedName name="REPORTE_08">#N/A</definedName>
    <definedName name="REPORTE_08_6">NA()</definedName>
    <definedName name="REPORTE_09">#N/A</definedName>
    <definedName name="REPORTE_09_6">NA()</definedName>
    <definedName name="REPORTE_6">NA()</definedName>
    <definedName name="RETRO_320" localSheetId="8">#REF!</definedName>
    <definedName name="RETRO_320">#REF!</definedName>
    <definedName name="RETRO_320_10" localSheetId="8">#REF!</definedName>
    <definedName name="RETRO_320_10">#REF!</definedName>
    <definedName name="RETRO_320_11" localSheetId="8">#REF!</definedName>
    <definedName name="RETRO_320_11">#REF!</definedName>
    <definedName name="RETRO_320_6" localSheetId="8">#REF!</definedName>
    <definedName name="RETRO_320_6">#REF!</definedName>
    <definedName name="RETRO_320_7" localSheetId="8">#REF!</definedName>
    <definedName name="RETRO_320_7">#REF!</definedName>
    <definedName name="RETRO_320_8" localSheetId="8">#REF!</definedName>
    <definedName name="RETRO_320_8">#REF!</definedName>
    <definedName name="RETRO_320_9" localSheetId="8">#REF!</definedName>
    <definedName name="RETRO_320_9">#REF!</definedName>
    <definedName name="Rev.ceram.15x15.serv.">[23]Análisis!$D$620</definedName>
    <definedName name="Rev.ceram.cocina.bano">[23]Análisis!$D$601</definedName>
    <definedName name="Reves.de.ladrillo.2x4x8">[23]Análisis!$D$629</definedName>
    <definedName name="Reves.Piedra.caliza">[23]Análisis!$D$645</definedName>
    <definedName name="Revest.en.piedra.coralina">[23]Análisis!$D$638</definedName>
    <definedName name="Revest.marmol">[23]Análisis!$D$591</definedName>
    <definedName name="Revest.Porcelanato30x60">[23]Análisis!$D$610</definedName>
    <definedName name="REVESTIMIENTO_CERAMICA_20x20" localSheetId="8">#REF!</definedName>
    <definedName name="REVESTIMIENTO_CERAMICA_20x20">#REF!</definedName>
    <definedName name="REVESTIMIENTO_CERAMICA_20x20_10" localSheetId="8">#REF!</definedName>
    <definedName name="REVESTIMIENTO_CERAMICA_20x20_10">#REF!</definedName>
    <definedName name="REVESTIMIENTO_CERAMICA_20x20_11" localSheetId="8">#REF!</definedName>
    <definedName name="REVESTIMIENTO_CERAMICA_20x20_11">#REF!</definedName>
    <definedName name="REVESTIMIENTO_CERAMICA_20x20_6" localSheetId="8">#REF!</definedName>
    <definedName name="REVESTIMIENTO_CERAMICA_20x20_6">#REF!</definedName>
    <definedName name="REVESTIMIENTO_CERAMICA_20x20_7" localSheetId="8">#REF!</definedName>
    <definedName name="REVESTIMIENTO_CERAMICA_20x20_7">#REF!</definedName>
    <definedName name="REVESTIMIENTO_CERAMICA_20x20_8" localSheetId="8">#REF!</definedName>
    <definedName name="REVESTIMIENTO_CERAMICA_20x20_8">#REF!</definedName>
    <definedName name="REVESTIMIENTO_CERAMICA_20x20_9" localSheetId="8">#REF!</definedName>
    <definedName name="REVESTIMIENTO_CERAMICA_20x20_9">#REF!</definedName>
    <definedName name="RODILLO_CAT_815" localSheetId="8">#REF!</definedName>
    <definedName name="RODILLO_CAT_815">#REF!</definedName>
    <definedName name="RODILLO_CAT_815_10" localSheetId="8">#REF!</definedName>
    <definedName name="RODILLO_CAT_815_10">#REF!</definedName>
    <definedName name="RODILLO_CAT_815_11" localSheetId="8">#REF!</definedName>
    <definedName name="RODILLO_CAT_815_11">#REF!</definedName>
    <definedName name="RODILLO_CAT_815_6" localSheetId="8">#REF!</definedName>
    <definedName name="RODILLO_CAT_815_6">#REF!</definedName>
    <definedName name="RODILLO_CAT_815_7" localSheetId="8">#REF!</definedName>
    <definedName name="RODILLO_CAT_815_7">#REF!</definedName>
    <definedName name="RODILLO_CAT_815_8" localSheetId="8">#REF!</definedName>
    <definedName name="RODILLO_CAT_815_8">#REF!</definedName>
    <definedName name="RODILLO_CAT_815_9" localSheetId="8">#REF!</definedName>
    <definedName name="RODILLO_CAT_815_9">#REF!</definedName>
    <definedName name="ROSETA" localSheetId="8">#REF!</definedName>
    <definedName name="ROSETA">#REF!</definedName>
    <definedName name="ROSETA_10" localSheetId="8">#REF!</definedName>
    <definedName name="ROSETA_10">#REF!</definedName>
    <definedName name="ROSETA_11" localSheetId="8">#REF!</definedName>
    <definedName name="ROSETA_11">#REF!</definedName>
    <definedName name="ROSETA_6" localSheetId="8">#REF!</definedName>
    <definedName name="ROSETA_6">#REF!</definedName>
    <definedName name="ROSETA_7" localSheetId="8">#REF!</definedName>
    <definedName name="ROSETA_7">#REF!</definedName>
    <definedName name="ROSETA_8" localSheetId="8">#REF!</definedName>
    <definedName name="ROSETA_8">#REF!</definedName>
    <definedName name="ROSETA_9" localSheetId="8">#REF!</definedName>
    <definedName name="ROSETA_9">#REF!</definedName>
    <definedName name="SALARIO" localSheetId="8">#REF!</definedName>
    <definedName name="SALARIO">#REF!</definedName>
    <definedName name="SALIDA">#N/A</definedName>
    <definedName name="SALIDA_6">NA()</definedName>
    <definedName name="SDSDFSDFSDF" localSheetId="8">#REF!</definedName>
    <definedName name="SDSDFSDFSDF">#REF!</definedName>
    <definedName name="SDSDFSDFSDF_6" localSheetId="8">#REF!</definedName>
    <definedName name="SDSDFSDFSDF_6">#REF!</definedName>
    <definedName name="SEGUETA" localSheetId="8">#REF!</definedName>
    <definedName name="SEGUETA">#REF!</definedName>
    <definedName name="SEGUETA_10" localSheetId="8">#REF!</definedName>
    <definedName name="SEGUETA_10">#REF!</definedName>
    <definedName name="SEGUETA_11" localSheetId="8">#REF!</definedName>
    <definedName name="SEGUETA_11">#REF!</definedName>
    <definedName name="SEGUETA_6" localSheetId="8">#REF!</definedName>
    <definedName name="SEGUETA_6">#REF!</definedName>
    <definedName name="SEGUETA_7" localSheetId="8">#REF!</definedName>
    <definedName name="SEGUETA_7">#REF!</definedName>
    <definedName name="SEGUETA_8" localSheetId="8">#REF!</definedName>
    <definedName name="SEGUETA_8">#REF!</definedName>
    <definedName name="SEGUETA_9" localSheetId="8">#REF!</definedName>
    <definedName name="SEGUETA_9">#REF!</definedName>
    <definedName name="sheetrock.media">[45]Insumos!$L$38</definedName>
    <definedName name="SIERRA_ELECTRICA" localSheetId="8">#REF!</definedName>
    <definedName name="SIERRA_ELECTRICA">#REF!</definedName>
    <definedName name="SIERRA_ELECTRICA_10" localSheetId="8">#REF!</definedName>
    <definedName name="SIERRA_ELECTRICA_10">#REF!</definedName>
    <definedName name="SIERRA_ELECTRICA_11" localSheetId="8">#REF!</definedName>
    <definedName name="SIERRA_ELECTRICA_11">#REF!</definedName>
    <definedName name="SIERRA_ELECTRICA_6" localSheetId="8">#REF!</definedName>
    <definedName name="SIERRA_ELECTRICA_6">#REF!</definedName>
    <definedName name="SIERRA_ELECTRICA_7" localSheetId="8">#REF!</definedName>
    <definedName name="SIERRA_ELECTRICA_7">#REF!</definedName>
    <definedName name="SIERRA_ELECTRICA_8" localSheetId="8">#REF!</definedName>
    <definedName name="SIERRA_ELECTRICA_8">#REF!</definedName>
    <definedName name="SIERRA_ELECTRICA_9" localSheetId="8">#REF!</definedName>
    <definedName name="SIERRA_ELECTRICA_9">#REF!</definedName>
    <definedName name="SIFON_PVC_1_12" localSheetId="8">#REF!</definedName>
    <definedName name="SIFON_PVC_1_12">#REF!</definedName>
    <definedName name="SIFON_PVC_1_12_10" localSheetId="8">#REF!</definedName>
    <definedName name="SIFON_PVC_1_12_10">#REF!</definedName>
    <definedName name="SIFON_PVC_1_12_11" localSheetId="8">#REF!</definedName>
    <definedName name="SIFON_PVC_1_12_11">#REF!</definedName>
    <definedName name="SIFON_PVC_1_12_6" localSheetId="8">#REF!</definedName>
    <definedName name="SIFON_PVC_1_12_6">#REF!</definedName>
    <definedName name="SIFON_PVC_1_12_7" localSheetId="8">#REF!</definedName>
    <definedName name="SIFON_PVC_1_12_7">#REF!</definedName>
    <definedName name="SIFON_PVC_1_12_8" localSheetId="8">#REF!</definedName>
    <definedName name="SIFON_PVC_1_12_8">#REF!</definedName>
    <definedName name="SIFON_PVC_1_12_9" localSheetId="8">#REF!</definedName>
    <definedName name="SIFON_PVC_1_12_9">#REF!</definedName>
    <definedName name="SIFON_PVC_1_14" localSheetId="8">#REF!</definedName>
    <definedName name="SIFON_PVC_1_14">#REF!</definedName>
    <definedName name="SIFON_PVC_1_14_10" localSheetId="8">#REF!</definedName>
    <definedName name="SIFON_PVC_1_14_10">#REF!</definedName>
    <definedName name="SIFON_PVC_1_14_11" localSheetId="8">#REF!</definedName>
    <definedName name="SIFON_PVC_1_14_11">#REF!</definedName>
    <definedName name="SIFON_PVC_1_14_6" localSheetId="8">#REF!</definedName>
    <definedName name="SIFON_PVC_1_14_6">#REF!</definedName>
    <definedName name="SIFON_PVC_1_14_7" localSheetId="8">#REF!</definedName>
    <definedName name="SIFON_PVC_1_14_7">#REF!</definedName>
    <definedName name="SIFON_PVC_1_14_8" localSheetId="8">#REF!</definedName>
    <definedName name="SIFON_PVC_1_14_8">#REF!</definedName>
    <definedName name="SIFON_PVC_1_14_9" localSheetId="8">#REF!</definedName>
    <definedName name="SIFON_PVC_1_14_9">#REF!</definedName>
    <definedName name="SIFON_PVC_2" localSheetId="8">#REF!</definedName>
    <definedName name="SIFON_PVC_2">#REF!</definedName>
    <definedName name="SIFON_PVC_2_10" localSheetId="8">#REF!</definedName>
    <definedName name="SIFON_PVC_2_10">#REF!</definedName>
    <definedName name="SIFON_PVC_2_11" localSheetId="8">#REF!</definedName>
    <definedName name="SIFON_PVC_2_11">#REF!</definedName>
    <definedName name="SIFON_PVC_2_6" localSheetId="8">#REF!</definedName>
    <definedName name="SIFON_PVC_2_6">#REF!</definedName>
    <definedName name="SIFON_PVC_2_7" localSheetId="8">#REF!</definedName>
    <definedName name="SIFON_PVC_2_7">#REF!</definedName>
    <definedName name="SIFON_PVC_2_8" localSheetId="8">#REF!</definedName>
    <definedName name="SIFON_PVC_2_8">#REF!</definedName>
    <definedName name="SIFON_PVC_2_9" localSheetId="8">#REF!</definedName>
    <definedName name="SIFON_PVC_2_9">#REF!</definedName>
    <definedName name="SIFON_PVC_4" localSheetId="8">#REF!</definedName>
    <definedName name="SIFON_PVC_4">#REF!</definedName>
    <definedName name="SIFON_PVC_4_10" localSheetId="8">#REF!</definedName>
    <definedName name="SIFON_PVC_4_10">#REF!</definedName>
    <definedName name="SIFON_PVC_4_11" localSheetId="8">#REF!</definedName>
    <definedName name="SIFON_PVC_4_11">#REF!</definedName>
    <definedName name="SIFON_PVC_4_6" localSheetId="8">#REF!</definedName>
    <definedName name="SIFON_PVC_4_6">#REF!</definedName>
    <definedName name="SIFON_PVC_4_7" localSheetId="8">#REF!</definedName>
    <definedName name="SIFON_PVC_4_7">#REF!</definedName>
    <definedName name="SIFON_PVC_4_8" localSheetId="8">#REF!</definedName>
    <definedName name="SIFON_PVC_4_8">#REF!</definedName>
    <definedName name="SIFON_PVC_4_9" localSheetId="8">#REF!</definedName>
    <definedName name="SIFON_PVC_4_9">#REF!</definedName>
    <definedName name="SILICONE" localSheetId="8">#REF!</definedName>
    <definedName name="SILICONE">#REF!</definedName>
    <definedName name="SILICONE_10" localSheetId="8">#REF!</definedName>
    <definedName name="SILICONE_10">#REF!</definedName>
    <definedName name="SILICONE_11" localSheetId="8">#REF!</definedName>
    <definedName name="SILICONE_11">#REF!</definedName>
    <definedName name="SILICONE_6" localSheetId="8">#REF!</definedName>
    <definedName name="SILICONE_6">#REF!</definedName>
    <definedName name="SILICONE_7" localSheetId="8">#REF!</definedName>
    <definedName name="SILICONE_7">#REF!</definedName>
    <definedName name="SILICONE_8" localSheetId="8">#REF!</definedName>
    <definedName name="SILICONE_8">#REF!</definedName>
    <definedName name="SILICONE_9" localSheetId="8">#REF!</definedName>
    <definedName name="SILICONE_9">#REF!</definedName>
    <definedName name="sistema.aire.acondicionado">[23]Resumen!$D$24</definedName>
    <definedName name="SOLDADORA" localSheetId="8">#REF!</definedName>
    <definedName name="SOLDADORA">#REF!</definedName>
    <definedName name="SOLDADORA_10" localSheetId="8">#REF!</definedName>
    <definedName name="SOLDADORA_10">#REF!</definedName>
    <definedName name="SOLDADORA_11" localSheetId="8">#REF!</definedName>
    <definedName name="SOLDADORA_11">#REF!</definedName>
    <definedName name="SOLDADORA_6" localSheetId="8">#REF!</definedName>
    <definedName name="SOLDADORA_6">#REF!</definedName>
    <definedName name="SOLDADORA_7" localSheetId="8">#REF!</definedName>
    <definedName name="SOLDADORA_7">#REF!</definedName>
    <definedName name="SOLDADORA_8" localSheetId="8">#REF!</definedName>
    <definedName name="SOLDADORA_8">#REF!</definedName>
    <definedName name="SOLDADORA_9" localSheetId="8">#REF!</definedName>
    <definedName name="SOLDADORA_9">#REF!</definedName>
    <definedName name="spm" localSheetId="8">#REF!</definedName>
    <definedName name="spm">#REF!</definedName>
    <definedName name="SS" localSheetId="3">[36]M.O.!$C$12</definedName>
    <definedName name="SS">[24]M.O.!$C$12</definedName>
    <definedName name="stud2.5.s22">[45]Insumos!$L$30</definedName>
    <definedName name="SUB_TOTAL" localSheetId="8">#REF!</definedName>
    <definedName name="SUB_TOTAL">#REF!</definedName>
    <definedName name="SUB_TOTAL_10" localSheetId="8">#REF!</definedName>
    <definedName name="SUB_TOTAL_10">#REF!</definedName>
    <definedName name="SUB_TOTAL_11" localSheetId="8">#REF!</definedName>
    <definedName name="SUB_TOTAL_11">#REF!</definedName>
    <definedName name="SUB_TOTAL_6" localSheetId="8">#REF!</definedName>
    <definedName name="SUB_TOTAL_6">#REF!</definedName>
    <definedName name="SUB_TOTAL_7" localSheetId="8">#REF!</definedName>
    <definedName name="SUB_TOTAL_7">#REF!</definedName>
    <definedName name="SUB_TOTAL_8" localSheetId="8">#REF!</definedName>
    <definedName name="SUB_TOTAL_8">#REF!</definedName>
    <definedName name="SUB_TOTAL_9" localSheetId="8">#REF!</definedName>
    <definedName name="SUB_TOTAL_9">#REF!</definedName>
    <definedName name="SUB_TOTAL_EN_RD">'[77]Laurel(OBINSA)'!$H$107</definedName>
    <definedName name="subtotal_3">"$#REF!.$H$59"</definedName>
    <definedName name="SUBTOTAL1_3">"$#REF!.$H$52"</definedName>
    <definedName name="SUBTOTALA_3">"$#REF!.$M$53"</definedName>
    <definedName name="SUBTOTALGASTOSGENERALES_3">"$#REF!.$H$67"</definedName>
    <definedName name="SUBTOTALGASTOSGENERALES1_3">"$#REF!.$H$59"</definedName>
    <definedName name="SUBTOTALPRESU_3">"$#REF!.$F$52"</definedName>
    <definedName name="SUELDO_3">"$#REF!.$#REF!$#REF!"</definedName>
    <definedName name="TANQUE_55Gls" localSheetId="8">#REF!</definedName>
    <definedName name="TANQUE_55Gls">#REF!</definedName>
    <definedName name="TANQUE_55Gls_10" localSheetId="8">#REF!</definedName>
    <definedName name="TANQUE_55Gls_10">#REF!</definedName>
    <definedName name="TANQUE_55Gls_11" localSheetId="8">#REF!</definedName>
    <definedName name="TANQUE_55Gls_11">#REF!</definedName>
    <definedName name="TANQUE_55Gls_6" localSheetId="8">#REF!</definedName>
    <definedName name="TANQUE_55Gls_6">#REF!</definedName>
    <definedName name="TANQUE_55Gls_7" localSheetId="8">#REF!</definedName>
    <definedName name="TANQUE_55Gls_7">#REF!</definedName>
    <definedName name="TANQUE_55Gls_8" localSheetId="8">#REF!</definedName>
    <definedName name="TANQUE_55Gls_8">#REF!</definedName>
    <definedName name="TANQUE_55Gls_9" localSheetId="8">#REF!</definedName>
    <definedName name="TANQUE_55Gls_9">#REF!</definedName>
    <definedName name="TAPA_ALUMINIO_1x1" localSheetId="8">#REF!</definedName>
    <definedName name="TAPA_ALUMINIO_1x1">#REF!</definedName>
    <definedName name="TAPA_ALUMINIO_1x1_10" localSheetId="8">#REF!</definedName>
    <definedName name="TAPA_ALUMINIO_1x1_10">#REF!</definedName>
    <definedName name="TAPA_ALUMINIO_1x1_11" localSheetId="8">#REF!</definedName>
    <definedName name="TAPA_ALUMINIO_1x1_11">#REF!</definedName>
    <definedName name="TAPA_ALUMINIO_1x1_6" localSheetId="8">#REF!</definedName>
    <definedName name="TAPA_ALUMINIO_1x1_6">#REF!</definedName>
    <definedName name="TAPA_ALUMINIO_1x1_7" localSheetId="8">#REF!</definedName>
    <definedName name="TAPA_ALUMINIO_1x1_7">#REF!</definedName>
    <definedName name="TAPA_ALUMINIO_1x1_8" localSheetId="8">#REF!</definedName>
    <definedName name="TAPA_ALUMINIO_1x1_8">#REF!</definedName>
    <definedName name="TAPA_ALUMINIO_1x1_9" localSheetId="8">#REF!</definedName>
    <definedName name="TAPA_ALUMINIO_1x1_9">#REF!</definedName>
    <definedName name="TAPA_REGISTRO_HF" localSheetId="8">#REF!</definedName>
    <definedName name="TAPA_REGISTRO_HF">#REF!</definedName>
    <definedName name="TAPA_REGISTRO_HF_10" localSheetId="8">#REF!</definedName>
    <definedName name="TAPA_REGISTRO_HF_10">#REF!</definedName>
    <definedName name="TAPA_REGISTRO_HF_11" localSheetId="8">#REF!</definedName>
    <definedName name="TAPA_REGISTRO_HF_11">#REF!</definedName>
    <definedName name="TAPA_REGISTRO_HF_6" localSheetId="8">#REF!</definedName>
    <definedName name="TAPA_REGISTRO_HF_6">#REF!</definedName>
    <definedName name="TAPA_REGISTRO_HF_7" localSheetId="8">#REF!</definedName>
    <definedName name="TAPA_REGISTRO_HF_7">#REF!</definedName>
    <definedName name="TAPA_REGISTRO_HF_8" localSheetId="8">#REF!</definedName>
    <definedName name="TAPA_REGISTRO_HF_8">#REF!</definedName>
    <definedName name="TAPA_REGISTRO_HF_9" localSheetId="8">#REF!</definedName>
    <definedName name="TAPA_REGISTRO_HF_9">#REF!</definedName>
    <definedName name="TAPA_REGISTRO_HF_LIVIANA" localSheetId="8">#REF!</definedName>
    <definedName name="TAPA_REGISTRO_HF_LIVIANA">#REF!</definedName>
    <definedName name="TAPA_REGISTRO_HF_LIVIANA_10" localSheetId="8">#REF!</definedName>
    <definedName name="TAPA_REGISTRO_HF_LIVIANA_10">#REF!</definedName>
    <definedName name="TAPA_REGISTRO_HF_LIVIANA_11" localSheetId="8">#REF!</definedName>
    <definedName name="TAPA_REGISTRO_HF_LIVIANA_11">#REF!</definedName>
    <definedName name="TAPA_REGISTRO_HF_LIVIANA_6" localSheetId="8">#REF!</definedName>
    <definedName name="TAPA_REGISTRO_HF_LIVIANA_6">#REF!</definedName>
    <definedName name="TAPA_REGISTRO_HF_LIVIANA_7" localSheetId="8">#REF!</definedName>
    <definedName name="TAPA_REGISTRO_HF_LIVIANA_7">#REF!</definedName>
    <definedName name="TAPA_REGISTRO_HF_LIVIANA_8" localSheetId="8">#REF!</definedName>
    <definedName name="TAPA_REGISTRO_HF_LIVIANA_8">#REF!</definedName>
    <definedName name="TAPA_REGISTRO_HF_LIVIANA_9" localSheetId="8">#REF!</definedName>
    <definedName name="TAPA_REGISTRO_HF_LIVIANA_9">#REF!</definedName>
    <definedName name="TAPE_3M" localSheetId="8">#REF!</definedName>
    <definedName name="TAPE_3M">#REF!</definedName>
    <definedName name="TAPE_3M_10" localSheetId="8">#REF!</definedName>
    <definedName name="TAPE_3M_10">#REF!</definedName>
    <definedName name="TAPE_3M_11" localSheetId="8">#REF!</definedName>
    <definedName name="TAPE_3M_11">#REF!</definedName>
    <definedName name="TAPE_3M_6" localSheetId="8">#REF!</definedName>
    <definedName name="TAPE_3M_6">#REF!</definedName>
    <definedName name="TAPE_3M_7" localSheetId="8">#REF!</definedName>
    <definedName name="TAPE_3M_7">#REF!</definedName>
    <definedName name="TAPE_3M_8" localSheetId="8">#REF!</definedName>
    <definedName name="TAPE_3M_8">#REF!</definedName>
    <definedName name="TAPE_3M_9" localSheetId="8">#REF!</definedName>
    <definedName name="TAPE_3M_9">#REF!</definedName>
    <definedName name="TASA">[65]Insumos!$H$2</definedName>
    <definedName name="TC" localSheetId="8">#REF!</definedName>
    <definedName name="TC">#REF!</definedName>
    <definedName name="Techo.Madera.Shingle">[39]Análisis!$N$1024</definedName>
    <definedName name="TEE_ACERO_12x8" localSheetId="8">#REF!</definedName>
    <definedName name="TEE_ACERO_12x8">#REF!</definedName>
    <definedName name="TEE_ACERO_12x8_10" localSheetId="8">#REF!</definedName>
    <definedName name="TEE_ACERO_12x8_10">#REF!</definedName>
    <definedName name="TEE_ACERO_12x8_11" localSheetId="8">#REF!</definedName>
    <definedName name="TEE_ACERO_12x8_11">#REF!</definedName>
    <definedName name="TEE_ACERO_12x8_6" localSheetId="8">#REF!</definedName>
    <definedName name="TEE_ACERO_12x8_6">#REF!</definedName>
    <definedName name="TEE_ACERO_12x8_7" localSheetId="8">#REF!</definedName>
    <definedName name="TEE_ACERO_12x8_7">#REF!</definedName>
    <definedName name="TEE_ACERO_12x8_8" localSheetId="8">#REF!</definedName>
    <definedName name="TEE_ACERO_12x8_8">#REF!</definedName>
    <definedName name="TEE_ACERO_12x8_9" localSheetId="8">#REF!</definedName>
    <definedName name="TEE_ACERO_12x8_9">#REF!</definedName>
    <definedName name="TEE_ACERO_16x12" localSheetId="8">#REF!</definedName>
    <definedName name="TEE_ACERO_16x12">#REF!</definedName>
    <definedName name="TEE_ACERO_16x12_10" localSheetId="8">#REF!</definedName>
    <definedName name="TEE_ACERO_16x12_10">#REF!</definedName>
    <definedName name="TEE_ACERO_16x12_11" localSheetId="8">#REF!</definedName>
    <definedName name="TEE_ACERO_16x12_11">#REF!</definedName>
    <definedName name="TEE_ACERO_16x12_6" localSheetId="8">#REF!</definedName>
    <definedName name="TEE_ACERO_16x12_6">#REF!</definedName>
    <definedName name="TEE_ACERO_16x12_7" localSheetId="8">#REF!</definedName>
    <definedName name="TEE_ACERO_16x12_7">#REF!</definedName>
    <definedName name="TEE_ACERO_16x12_8" localSheetId="8">#REF!</definedName>
    <definedName name="TEE_ACERO_16x12_8">#REF!</definedName>
    <definedName name="TEE_ACERO_16x12_9" localSheetId="8">#REF!</definedName>
    <definedName name="TEE_ACERO_16x12_9">#REF!</definedName>
    <definedName name="TEE_ACERO_16x16" localSheetId="8">#REF!</definedName>
    <definedName name="TEE_ACERO_16x16">#REF!</definedName>
    <definedName name="TEE_ACERO_16x16_10" localSheetId="8">#REF!</definedName>
    <definedName name="TEE_ACERO_16x16_10">#REF!</definedName>
    <definedName name="TEE_ACERO_16x16_11" localSheetId="8">#REF!</definedName>
    <definedName name="TEE_ACERO_16x16_11">#REF!</definedName>
    <definedName name="TEE_ACERO_16x16_6" localSheetId="8">#REF!</definedName>
    <definedName name="TEE_ACERO_16x16_6">#REF!</definedName>
    <definedName name="TEE_ACERO_16x16_7" localSheetId="8">#REF!</definedName>
    <definedName name="TEE_ACERO_16x16_7">#REF!</definedName>
    <definedName name="TEE_ACERO_16x16_8" localSheetId="8">#REF!</definedName>
    <definedName name="TEE_ACERO_16x16_8">#REF!</definedName>
    <definedName name="TEE_ACERO_16x16_9" localSheetId="8">#REF!</definedName>
    <definedName name="TEE_ACERO_16x16_9">#REF!</definedName>
    <definedName name="TEE_ACERO_16x6" localSheetId="8">#REF!</definedName>
    <definedName name="TEE_ACERO_16x6">#REF!</definedName>
    <definedName name="TEE_ACERO_16x6_10" localSheetId="8">#REF!</definedName>
    <definedName name="TEE_ACERO_16x6_10">#REF!</definedName>
    <definedName name="TEE_ACERO_16x6_11" localSheetId="8">#REF!</definedName>
    <definedName name="TEE_ACERO_16x6_11">#REF!</definedName>
    <definedName name="TEE_ACERO_16x6_6" localSheetId="8">#REF!</definedName>
    <definedName name="TEE_ACERO_16x6_6">#REF!</definedName>
    <definedName name="TEE_ACERO_16x6_7" localSheetId="8">#REF!</definedName>
    <definedName name="TEE_ACERO_16x6_7">#REF!</definedName>
    <definedName name="TEE_ACERO_16x6_8" localSheetId="8">#REF!</definedName>
    <definedName name="TEE_ACERO_16x6_8">#REF!</definedName>
    <definedName name="TEE_ACERO_16x6_9" localSheetId="8">#REF!</definedName>
    <definedName name="TEE_ACERO_16x6_9">#REF!</definedName>
    <definedName name="TEE_ACERO_16x8" localSheetId="8">#REF!</definedName>
    <definedName name="TEE_ACERO_16x8">#REF!</definedName>
    <definedName name="TEE_ACERO_16x8_10" localSheetId="8">#REF!</definedName>
    <definedName name="TEE_ACERO_16x8_10">#REF!</definedName>
    <definedName name="TEE_ACERO_16x8_11" localSheetId="8">#REF!</definedName>
    <definedName name="TEE_ACERO_16x8_11">#REF!</definedName>
    <definedName name="TEE_ACERO_16x8_6" localSheetId="8">#REF!</definedName>
    <definedName name="TEE_ACERO_16x8_6">#REF!</definedName>
    <definedName name="TEE_ACERO_16x8_7" localSheetId="8">#REF!</definedName>
    <definedName name="TEE_ACERO_16x8_7">#REF!</definedName>
    <definedName name="TEE_ACERO_16x8_8" localSheetId="8">#REF!</definedName>
    <definedName name="TEE_ACERO_16x8_8">#REF!</definedName>
    <definedName name="TEE_ACERO_16x8_9" localSheetId="8">#REF!</definedName>
    <definedName name="TEE_ACERO_16x8_9">#REF!</definedName>
    <definedName name="TEE_ACERO_20x16" localSheetId="8">#REF!</definedName>
    <definedName name="TEE_ACERO_20x16">#REF!</definedName>
    <definedName name="TEE_ACERO_20x16_10" localSheetId="8">#REF!</definedName>
    <definedName name="TEE_ACERO_20x16_10">#REF!</definedName>
    <definedName name="TEE_ACERO_20x16_11" localSheetId="8">#REF!</definedName>
    <definedName name="TEE_ACERO_20x16_11">#REF!</definedName>
    <definedName name="TEE_ACERO_20x16_6" localSheetId="8">#REF!</definedName>
    <definedName name="TEE_ACERO_20x16_6">#REF!</definedName>
    <definedName name="TEE_ACERO_20x16_7" localSheetId="8">#REF!</definedName>
    <definedName name="TEE_ACERO_20x16_7">#REF!</definedName>
    <definedName name="TEE_ACERO_20x16_8" localSheetId="8">#REF!</definedName>
    <definedName name="TEE_ACERO_20x16_8">#REF!</definedName>
    <definedName name="TEE_ACERO_20x16_9" localSheetId="8">#REF!</definedName>
    <definedName name="TEE_ACERO_20x16_9">#REF!</definedName>
    <definedName name="TEE_CPVC_12" localSheetId="8">#REF!</definedName>
    <definedName name="TEE_CPVC_12">#REF!</definedName>
    <definedName name="TEE_CPVC_12_10" localSheetId="8">#REF!</definedName>
    <definedName name="TEE_CPVC_12_10">#REF!</definedName>
    <definedName name="TEE_CPVC_12_11" localSheetId="8">#REF!</definedName>
    <definedName name="TEE_CPVC_12_11">#REF!</definedName>
    <definedName name="TEE_CPVC_12_6" localSheetId="8">#REF!</definedName>
    <definedName name="TEE_CPVC_12_6">#REF!</definedName>
    <definedName name="TEE_CPVC_12_7" localSheetId="8">#REF!</definedName>
    <definedName name="TEE_CPVC_12_7">#REF!</definedName>
    <definedName name="TEE_CPVC_12_8" localSheetId="8">#REF!</definedName>
    <definedName name="TEE_CPVC_12_8">#REF!</definedName>
    <definedName name="TEE_CPVC_12_9" localSheetId="8">#REF!</definedName>
    <definedName name="TEE_CPVC_12_9">#REF!</definedName>
    <definedName name="TEE_HG_1" localSheetId="8">#REF!</definedName>
    <definedName name="TEE_HG_1">#REF!</definedName>
    <definedName name="TEE_HG_1_10" localSheetId="8">#REF!</definedName>
    <definedName name="TEE_HG_1_10">#REF!</definedName>
    <definedName name="TEE_HG_1_11" localSheetId="8">#REF!</definedName>
    <definedName name="TEE_HG_1_11">#REF!</definedName>
    <definedName name="TEE_HG_1_12" localSheetId="8">#REF!</definedName>
    <definedName name="TEE_HG_1_12">#REF!</definedName>
    <definedName name="TEE_HG_1_12_10" localSheetId="8">#REF!</definedName>
    <definedName name="TEE_HG_1_12_10">#REF!</definedName>
    <definedName name="TEE_HG_1_12_11" localSheetId="8">#REF!</definedName>
    <definedName name="TEE_HG_1_12_11">#REF!</definedName>
    <definedName name="TEE_HG_1_12_6" localSheetId="8">#REF!</definedName>
    <definedName name="TEE_HG_1_12_6">#REF!</definedName>
    <definedName name="TEE_HG_1_12_7" localSheetId="8">#REF!</definedName>
    <definedName name="TEE_HG_1_12_7">#REF!</definedName>
    <definedName name="TEE_HG_1_12_8" localSheetId="8">#REF!</definedName>
    <definedName name="TEE_HG_1_12_8">#REF!</definedName>
    <definedName name="TEE_HG_1_12_9" localSheetId="8">#REF!</definedName>
    <definedName name="TEE_HG_1_12_9">#REF!</definedName>
    <definedName name="TEE_HG_1_6" localSheetId="8">#REF!</definedName>
    <definedName name="TEE_HG_1_6">#REF!</definedName>
    <definedName name="TEE_HG_1_7" localSheetId="8">#REF!</definedName>
    <definedName name="TEE_HG_1_7">#REF!</definedName>
    <definedName name="TEE_HG_1_8" localSheetId="8">#REF!</definedName>
    <definedName name="TEE_HG_1_8">#REF!</definedName>
    <definedName name="TEE_HG_1_9" localSheetId="8">#REF!</definedName>
    <definedName name="TEE_HG_1_9">#REF!</definedName>
    <definedName name="TEE_HG_12" localSheetId="8">#REF!</definedName>
    <definedName name="TEE_HG_12">#REF!</definedName>
    <definedName name="TEE_HG_12_10" localSheetId="8">#REF!</definedName>
    <definedName name="TEE_HG_12_10">#REF!</definedName>
    <definedName name="TEE_HG_12_11" localSheetId="8">#REF!</definedName>
    <definedName name="TEE_HG_12_11">#REF!</definedName>
    <definedName name="TEE_HG_12_6" localSheetId="8">#REF!</definedName>
    <definedName name="TEE_HG_12_6">#REF!</definedName>
    <definedName name="TEE_HG_12_7" localSheetId="8">#REF!</definedName>
    <definedName name="TEE_HG_12_7">#REF!</definedName>
    <definedName name="TEE_HG_12_8" localSheetId="8">#REF!</definedName>
    <definedName name="TEE_HG_12_8">#REF!</definedName>
    <definedName name="TEE_HG_12_9" localSheetId="8">#REF!</definedName>
    <definedName name="TEE_HG_12_9">#REF!</definedName>
    <definedName name="TEE_HG_34" localSheetId="8">#REF!</definedName>
    <definedName name="TEE_HG_34">#REF!</definedName>
    <definedName name="TEE_HG_34_10" localSheetId="8">#REF!</definedName>
    <definedName name="TEE_HG_34_10">#REF!</definedName>
    <definedName name="TEE_HG_34_11" localSheetId="8">#REF!</definedName>
    <definedName name="TEE_HG_34_11">#REF!</definedName>
    <definedName name="TEE_HG_34_6" localSheetId="8">#REF!</definedName>
    <definedName name="TEE_HG_34_6">#REF!</definedName>
    <definedName name="TEE_HG_34_7" localSheetId="8">#REF!</definedName>
    <definedName name="TEE_HG_34_7">#REF!</definedName>
    <definedName name="TEE_HG_34_8" localSheetId="8">#REF!</definedName>
    <definedName name="TEE_HG_34_8">#REF!</definedName>
    <definedName name="TEE_HG_34_9" localSheetId="8">#REF!</definedName>
    <definedName name="TEE_HG_34_9">#REF!</definedName>
    <definedName name="TEE_PVC_PRES_1" localSheetId="8">#REF!</definedName>
    <definedName name="TEE_PVC_PRES_1">#REF!</definedName>
    <definedName name="TEE_PVC_PRES_1_10" localSheetId="8">#REF!</definedName>
    <definedName name="TEE_PVC_PRES_1_10">#REF!</definedName>
    <definedName name="TEE_PVC_PRES_1_11" localSheetId="8">#REF!</definedName>
    <definedName name="TEE_PVC_PRES_1_11">#REF!</definedName>
    <definedName name="TEE_PVC_PRES_1_6" localSheetId="8">#REF!</definedName>
    <definedName name="TEE_PVC_PRES_1_6">#REF!</definedName>
    <definedName name="TEE_PVC_PRES_1_7" localSheetId="8">#REF!</definedName>
    <definedName name="TEE_PVC_PRES_1_7">#REF!</definedName>
    <definedName name="TEE_PVC_PRES_1_8" localSheetId="8">#REF!</definedName>
    <definedName name="TEE_PVC_PRES_1_8">#REF!</definedName>
    <definedName name="TEE_PVC_PRES_1_9" localSheetId="8">#REF!</definedName>
    <definedName name="TEE_PVC_PRES_1_9">#REF!</definedName>
    <definedName name="TEE_PVC_PRES_12" localSheetId="8">#REF!</definedName>
    <definedName name="TEE_PVC_PRES_12">#REF!</definedName>
    <definedName name="TEE_PVC_PRES_12_10" localSheetId="8">#REF!</definedName>
    <definedName name="TEE_PVC_PRES_12_10">#REF!</definedName>
    <definedName name="TEE_PVC_PRES_12_11" localSheetId="8">#REF!</definedName>
    <definedName name="TEE_PVC_PRES_12_11">#REF!</definedName>
    <definedName name="TEE_PVC_PRES_12_6" localSheetId="8">#REF!</definedName>
    <definedName name="TEE_PVC_PRES_12_6">#REF!</definedName>
    <definedName name="TEE_PVC_PRES_12_7" localSheetId="8">#REF!</definedName>
    <definedName name="TEE_PVC_PRES_12_7">#REF!</definedName>
    <definedName name="TEE_PVC_PRES_12_8" localSheetId="8">#REF!</definedName>
    <definedName name="TEE_PVC_PRES_12_8">#REF!</definedName>
    <definedName name="TEE_PVC_PRES_12_9" localSheetId="8">#REF!</definedName>
    <definedName name="TEE_PVC_PRES_12_9">#REF!</definedName>
    <definedName name="TEE_PVC_PRES_34" localSheetId="8">#REF!</definedName>
    <definedName name="TEE_PVC_PRES_34">#REF!</definedName>
    <definedName name="TEE_PVC_PRES_34_10" localSheetId="8">#REF!</definedName>
    <definedName name="TEE_PVC_PRES_34_10">#REF!</definedName>
    <definedName name="TEE_PVC_PRES_34_11" localSheetId="8">#REF!</definedName>
    <definedName name="TEE_PVC_PRES_34_11">#REF!</definedName>
    <definedName name="TEE_PVC_PRES_34_6" localSheetId="8">#REF!</definedName>
    <definedName name="TEE_PVC_PRES_34_6">#REF!</definedName>
    <definedName name="TEE_PVC_PRES_34_7" localSheetId="8">#REF!</definedName>
    <definedName name="TEE_PVC_PRES_34_7">#REF!</definedName>
    <definedName name="TEE_PVC_PRES_34_8" localSheetId="8">#REF!</definedName>
    <definedName name="TEE_PVC_PRES_34_8">#REF!</definedName>
    <definedName name="TEE_PVC_PRES_34_9" localSheetId="8">#REF!</definedName>
    <definedName name="TEE_PVC_PRES_34_9">#REF!</definedName>
    <definedName name="TEFLON" localSheetId="8">#REF!</definedName>
    <definedName name="TEFLON">#REF!</definedName>
    <definedName name="TEFLON_10" localSheetId="8">#REF!</definedName>
    <definedName name="TEFLON_10">#REF!</definedName>
    <definedName name="TEFLON_11" localSheetId="8">#REF!</definedName>
    <definedName name="TEFLON_11">#REF!</definedName>
    <definedName name="TEFLON_6" localSheetId="8">#REF!</definedName>
    <definedName name="TEFLON_6">#REF!</definedName>
    <definedName name="TEFLON_7" localSheetId="8">#REF!</definedName>
    <definedName name="TEFLON_7">#REF!</definedName>
    <definedName name="TEFLON_8" localSheetId="8">#REF!</definedName>
    <definedName name="TEFLON_8">#REF!</definedName>
    <definedName name="TEFLON_9" localSheetId="8">#REF!</definedName>
    <definedName name="TEFLON_9">#REF!</definedName>
    <definedName name="Tejas.en.techo">[23]Análisis!$D$365</definedName>
    <definedName name="THINNER" localSheetId="8">#REF!</definedName>
    <definedName name="THINNER">#REF!</definedName>
    <definedName name="THINNER_10" localSheetId="8">#REF!</definedName>
    <definedName name="THINNER_10">#REF!</definedName>
    <definedName name="THINNER_11" localSheetId="8">#REF!</definedName>
    <definedName name="THINNER_11">#REF!</definedName>
    <definedName name="THINNER_6" localSheetId="8">#REF!</definedName>
    <definedName name="THINNER_6">#REF!</definedName>
    <definedName name="THINNER_7" localSheetId="8">#REF!</definedName>
    <definedName name="THINNER_7">#REF!</definedName>
    <definedName name="THINNER_8" localSheetId="8">#REF!</definedName>
    <definedName name="THINNER_8">#REF!</definedName>
    <definedName name="THINNER_9" localSheetId="8">#REF!</definedName>
    <definedName name="THINNER_9">#REF!</definedName>
    <definedName name="_xlnm.Print_Titles" localSheetId="1">ACUEDUCTO!$2:$12</definedName>
    <definedName name="_xlnm.Print_Titles" localSheetId="8">'lista '!$1:$8</definedName>
    <definedName name="_xlnm.Print_Titles" localSheetId="6">'Pre Villar Pando Limpio (2)'!$1:$11</definedName>
    <definedName name="_xlnm.Print_Titles" localSheetId="7">'Pre Villar Pando Limpio (3)'!$1:$11</definedName>
    <definedName name="_xlnm.Print_Titles">#N/A</definedName>
    <definedName name="Tolas" localSheetId="8">#REF!</definedName>
    <definedName name="Tolas">#REF!</definedName>
    <definedName name="Tolas_3">"$#REF!.$B$13"</definedName>
    <definedName name="Tolas_8" localSheetId="8">#REF!</definedName>
    <definedName name="Tolas_8">#REF!</definedName>
    <definedName name="TOMACORRIENTE_110V" localSheetId="8">#REF!</definedName>
    <definedName name="TOMACORRIENTE_110V">#REF!</definedName>
    <definedName name="TOMACORRIENTE_110V_10" localSheetId="8">#REF!</definedName>
    <definedName name="TOMACORRIENTE_110V_10">#REF!</definedName>
    <definedName name="TOMACORRIENTE_110V_11" localSheetId="8">#REF!</definedName>
    <definedName name="TOMACORRIENTE_110V_11">#REF!</definedName>
    <definedName name="TOMACORRIENTE_110V_6" localSheetId="8">#REF!</definedName>
    <definedName name="TOMACORRIENTE_110V_6">#REF!</definedName>
    <definedName name="TOMACORRIENTE_110V_7" localSheetId="8">#REF!</definedName>
    <definedName name="TOMACORRIENTE_110V_7">#REF!</definedName>
    <definedName name="TOMACORRIENTE_110V_8" localSheetId="8">#REF!</definedName>
    <definedName name="TOMACORRIENTE_110V_8">#REF!</definedName>
    <definedName name="TOMACORRIENTE_110V_9" localSheetId="8">#REF!</definedName>
    <definedName name="TOMACORRIENTE_110V_9">#REF!</definedName>
    <definedName name="TOMACORRIENTE_220V_SENC" localSheetId="8">#REF!</definedName>
    <definedName name="TOMACORRIENTE_220V_SENC">#REF!</definedName>
    <definedName name="TOMACORRIENTE_220V_SENC_10" localSheetId="8">#REF!</definedName>
    <definedName name="TOMACORRIENTE_220V_SENC_10">#REF!</definedName>
    <definedName name="TOMACORRIENTE_220V_SENC_11" localSheetId="8">#REF!</definedName>
    <definedName name="TOMACORRIENTE_220V_SENC_11">#REF!</definedName>
    <definedName name="TOMACORRIENTE_220V_SENC_6" localSheetId="8">#REF!</definedName>
    <definedName name="TOMACORRIENTE_220V_SENC_6">#REF!</definedName>
    <definedName name="TOMACORRIENTE_220V_SENC_7" localSheetId="8">#REF!</definedName>
    <definedName name="TOMACORRIENTE_220V_SENC_7">#REF!</definedName>
    <definedName name="TOMACORRIENTE_220V_SENC_8" localSheetId="8">#REF!</definedName>
    <definedName name="TOMACORRIENTE_220V_SENC_8">#REF!</definedName>
    <definedName name="TOMACORRIENTE_220V_SENC_9" localSheetId="8">#REF!</definedName>
    <definedName name="TOMACORRIENTE_220V_SENC_9">#REF!</definedName>
    <definedName name="TOMACORRIENTE_30a" localSheetId="8">#REF!</definedName>
    <definedName name="TOMACORRIENTE_30a">#REF!</definedName>
    <definedName name="TOMACORRIENTE_30a_10" localSheetId="8">#REF!</definedName>
    <definedName name="TOMACORRIENTE_30a_10">#REF!</definedName>
    <definedName name="TOMACORRIENTE_30a_11" localSheetId="8">#REF!</definedName>
    <definedName name="TOMACORRIENTE_30a_11">#REF!</definedName>
    <definedName name="TOMACORRIENTE_30a_6" localSheetId="8">#REF!</definedName>
    <definedName name="TOMACORRIENTE_30a_6">#REF!</definedName>
    <definedName name="TOMACORRIENTE_30a_7" localSheetId="8">#REF!</definedName>
    <definedName name="TOMACORRIENTE_30a_7">#REF!</definedName>
    <definedName name="TOMACORRIENTE_30a_8" localSheetId="8">#REF!</definedName>
    <definedName name="TOMACORRIENTE_30a_8">#REF!</definedName>
    <definedName name="TOMACORRIENTE_30a_9" localSheetId="8">#REF!</definedName>
    <definedName name="TOMACORRIENTE_30a_9">#REF!</definedName>
    <definedName name="tope.marmol.p2">[49]Insumos!$C$207</definedName>
    <definedName name="Topografo" localSheetId="8">#REF!</definedName>
    <definedName name="Topografo">#REF!</definedName>
    <definedName name="Topografo_10" localSheetId="8">#REF!</definedName>
    <definedName name="Topografo_10">#REF!</definedName>
    <definedName name="Topografo_11" localSheetId="8">#REF!</definedName>
    <definedName name="Topografo_11">#REF!</definedName>
    <definedName name="Topografo_6" localSheetId="8">#REF!</definedName>
    <definedName name="Topografo_6">#REF!</definedName>
    <definedName name="Topografo_7" localSheetId="8">#REF!</definedName>
    <definedName name="Topografo_7">#REF!</definedName>
    <definedName name="Topografo_8" localSheetId="8">#REF!</definedName>
    <definedName name="Topografo_8">#REF!</definedName>
    <definedName name="Topografo_9" localSheetId="8">#REF!</definedName>
    <definedName name="Topografo_9">#REF!</definedName>
    <definedName name="TORNILLOS" localSheetId="8">#REF!</definedName>
    <definedName name="TORNILLOS">#REF!</definedName>
    <definedName name="TORNILLOS_3">"$#REF!.$B$#REF!"</definedName>
    <definedName name="TORNILLOS_8" localSheetId="8">#REF!</definedName>
    <definedName name="TORNILLOS_8">#REF!</definedName>
    <definedName name="TORNILLOS_INODORO" localSheetId="8">#REF!</definedName>
    <definedName name="TORNILLOS_INODORO">#REF!</definedName>
    <definedName name="TORNILLOS_INODORO_10" localSheetId="8">#REF!</definedName>
    <definedName name="TORNILLOS_INODORO_10">#REF!</definedName>
    <definedName name="TORNILLOS_INODORO_11" localSheetId="8">#REF!</definedName>
    <definedName name="TORNILLOS_INODORO_11">#REF!</definedName>
    <definedName name="TORNILLOS_INODORO_6" localSheetId="8">#REF!</definedName>
    <definedName name="TORNILLOS_INODORO_6">#REF!</definedName>
    <definedName name="TORNILLOS_INODORO_7" localSheetId="8">#REF!</definedName>
    <definedName name="TORNILLOS_INODORO_7">#REF!</definedName>
    <definedName name="TORNILLOS_INODORO_8" localSheetId="8">#REF!</definedName>
    <definedName name="TORNILLOS_INODORO_8">#REF!</definedName>
    <definedName name="TORNILLOS_INODORO_9" localSheetId="8">#REF!</definedName>
    <definedName name="TORNILLOS_INODORO_9">#REF!</definedName>
    <definedName name="totalgeneral_3">"$#REF!.$M$56"</definedName>
    <definedName name="trac2.5.t.22">[45]Insumos!$L$31</definedName>
    <definedName name="TRACTOR_D8K" localSheetId="8">#REF!</definedName>
    <definedName name="TRACTOR_D8K">#REF!</definedName>
    <definedName name="TRACTOR_D8K_10" localSheetId="8">#REF!</definedName>
    <definedName name="TRACTOR_D8K_10">#REF!</definedName>
    <definedName name="TRACTOR_D8K_11" localSheetId="8">#REF!</definedName>
    <definedName name="TRACTOR_D8K_11">#REF!</definedName>
    <definedName name="TRACTOR_D8K_6" localSheetId="8">#REF!</definedName>
    <definedName name="TRACTOR_D8K_6">#REF!</definedName>
    <definedName name="TRACTOR_D8K_7" localSheetId="8">#REF!</definedName>
    <definedName name="TRACTOR_D8K_7">#REF!</definedName>
    <definedName name="TRACTOR_D8K_8" localSheetId="8">#REF!</definedName>
    <definedName name="TRACTOR_D8K_8">#REF!</definedName>
    <definedName name="TRACTOR_D8K_9" localSheetId="8">#REF!</definedName>
    <definedName name="TRACTOR_D8K_9">#REF!</definedName>
    <definedName name="TRANSFER_MANUAL_150_3AMPS" localSheetId="8">#REF!</definedName>
    <definedName name="TRANSFER_MANUAL_150_3AMPS">#REF!</definedName>
    <definedName name="TRANSFER_MANUAL_150_3AMPS_10" localSheetId="8">#REF!</definedName>
    <definedName name="TRANSFER_MANUAL_150_3AMPS_10">#REF!</definedName>
    <definedName name="TRANSFER_MANUAL_150_3AMPS_11" localSheetId="8">#REF!</definedName>
    <definedName name="TRANSFER_MANUAL_150_3AMPS_11">#REF!</definedName>
    <definedName name="TRANSFER_MANUAL_150_3AMPS_6" localSheetId="8">#REF!</definedName>
    <definedName name="TRANSFER_MANUAL_150_3AMPS_6">#REF!</definedName>
    <definedName name="TRANSFER_MANUAL_150_3AMPS_7" localSheetId="8">#REF!</definedName>
    <definedName name="TRANSFER_MANUAL_150_3AMPS_7">#REF!</definedName>
    <definedName name="TRANSFER_MANUAL_150_3AMPS_8" localSheetId="8">#REF!</definedName>
    <definedName name="TRANSFER_MANUAL_150_3AMPS_8">#REF!</definedName>
    <definedName name="TRANSFER_MANUAL_150_3AMPS_9" localSheetId="8">#REF!</definedName>
    <definedName name="TRANSFER_MANUAL_150_3AMPS_9">#REF!</definedName>
    <definedName name="TRANSFER_MANUAL_800_3AMPS" localSheetId="8">#REF!</definedName>
    <definedName name="TRANSFER_MANUAL_800_3AMPS">#REF!</definedName>
    <definedName name="TRANSFER_MANUAL_800_3AMPS_10" localSheetId="8">#REF!</definedName>
    <definedName name="TRANSFER_MANUAL_800_3AMPS_10">#REF!</definedName>
    <definedName name="TRANSFER_MANUAL_800_3AMPS_11" localSheetId="8">#REF!</definedName>
    <definedName name="TRANSFER_MANUAL_800_3AMPS_11">#REF!</definedName>
    <definedName name="TRANSFER_MANUAL_800_3AMPS_6" localSheetId="8">#REF!</definedName>
    <definedName name="TRANSFER_MANUAL_800_3AMPS_6">#REF!</definedName>
    <definedName name="TRANSFER_MANUAL_800_3AMPS_7" localSheetId="8">#REF!</definedName>
    <definedName name="TRANSFER_MANUAL_800_3AMPS_7">#REF!</definedName>
    <definedName name="TRANSFER_MANUAL_800_3AMPS_8" localSheetId="8">#REF!</definedName>
    <definedName name="TRANSFER_MANUAL_800_3AMPS_8">#REF!</definedName>
    <definedName name="TRANSFER_MANUAL_800_3AMPS_9" localSheetId="8">#REF!</definedName>
    <definedName name="TRANSFER_MANUAL_800_3AMPS_9">#REF!</definedName>
    <definedName name="TRANSFORMADOR_100KVA_240_480_POSTE" localSheetId="8">#REF!</definedName>
    <definedName name="TRANSFORMADOR_100KVA_240_480_POSTE">#REF!</definedName>
    <definedName name="TRANSFORMADOR_100KVA_240_480_POSTE_10" localSheetId="8">#REF!</definedName>
    <definedName name="TRANSFORMADOR_100KVA_240_480_POSTE_10">#REF!</definedName>
    <definedName name="TRANSFORMADOR_100KVA_240_480_POSTE_11" localSheetId="8">#REF!</definedName>
    <definedName name="TRANSFORMADOR_100KVA_240_480_POSTE_11">#REF!</definedName>
    <definedName name="TRANSFORMADOR_100KVA_240_480_POSTE_6" localSheetId="8">#REF!</definedName>
    <definedName name="TRANSFORMADOR_100KVA_240_480_POSTE_6">#REF!</definedName>
    <definedName name="TRANSFORMADOR_100KVA_240_480_POSTE_7" localSheetId="8">#REF!</definedName>
    <definedName name="TRANSFORMADOR_100KVA_240_480_POSTE_7">#REF!</definedName>
    <definedName name="TRANSFORMADOR_100KVA_240_480_POSTE_8" localSheetId="8">#REF!</definedName>
    <definedName name="TRANSFORMADOR_100KVA_240_480_POSTE_8">#REF!</definedName>
    <definedName name="TRANSFORMADOR_100KVA_240_480_POSTE_9" localSheetId="8">#REF!</definedName>
    <definedName name="TRANSFORMADOR_100KVA_240_480_POSTE_9">#REF!</definedName>
    <definedName name="TRANSFORMADOR_15KVA_120_240_POSTE" localSheetId="8">#REF!</definedName>
    <definedName name="TRANSFORMADOR_15KVA_120_240_POSTE">#REF!</definedName>
    <definedName name="TRANSFORMADOR_15KVA_120_240_POSTE_10" localSheetId="8">#REF!</definedName>
    <definedName name="TRANSFORMADOR_15KVA_120_240_POSTE_10">#REF!</definedName>
    <definedName name="TRANSFORMADOR_15KVA_120_240_POSTE_11" localSheetId="8">#REF!</definedName>
    <definedName name="TRANSFORMADOR_15KVA_120_240_POSTE_11">#REF!</definedName>
    <definedName name="TRANSFORMADOR_15KVA_120_240_POSTE_6" localSheetId="8">#REF!</definedName>
    <definedName name="TRANSFORMADOR_15KVA_120_240_POSTE_6">#REF!</definedName>
    <definedName name="TRANSFORMADOR_15KVA_120_240_POSTE_7" localSheetId="8">#REF!</definedName>
    <definedName name="TRANSFORMADOR_15KVA_120_240_POSTE_7">#REF!</definedName>
    <definedName name="TRANSFORMADOR_15KVA_120_240_POSTE_8" localSheetId="8">#REF!</definedName>
    <definedName name="TRANSFORMADOR_15KVA_120_240_POSTE_8">#REF!</definedName>
    <definedName name="TRANSFORMADOR_15KVA_120_240_POSTE_9" localSheetId="8">#REF!</definedName>
    <definedName name="TRANSFORMADOR_15KVA_120_240_POSTE_9">#REF!</definedName>
    <definedName name="TRANSFORMADOR_25KVA_240_480_POSTE" localSheetId="8">#REF!</definedName>
    <definedName name="TRANSFORMADOR_25KVA_240_480_POSTE">#REF!</definedName>
    <definedName name="TRANSFORMADOR_25KVA_240_480_POSTE_10" localSheetId="8">#REF!</definedName>
    <definedName name="TRANSFORMADOR_25KVA_240_480_POSTE_10">#REF!</definedName>
    <definedName name="TRANSFORMADOR_25KVA_240_480_POSTE_11" localSheetId="8">#REF!</definedName>
    <definedName name="TRANSFORMADOR_25KVA_240_480_POSTE_11">#REF!</definedName>
    <definedName name="TRANSFORMADOR_25KVA_240_480_POSTE_6" localSheetId="8">#REF!</definedName>
    <definedName name="TRANSFORMADOR_25KVA_240_480_POSTE_6">#REF!</definedName>
    <definedName name="TRANSFORMADOR_25KVA_240_480_POSTE_7" localSheetId="8">#REF!</definedName>
    <definedName name="TRANSFORMADOR_25KVA_240_480_POSTE_7">#REF!</definedName>
    <definedName name="TRANSFORMADOR_25KVA_240_480_POSTE_8" localSheetId="8">#REF!</definedName>
    <definedName name="TRANSFORMADOR_25KVA_240_480_POSTE_8">#REF!</definedName>
    <definedName name="TRANSFORMADOR_25KVA_240_480_POSTE_9" localSheetId="8">#REF!</definedName>
    <definedName name="TRANSFORMADOR_25KVA_240_480_POSTE_9">#REF!</definedName>
    <definedName name="transp_asf_0a5" localSheetId="8">#REF!</definedName>
    <definedName name="transp_asf_0a5">#REF!</definedName>
    <definedName name="transp_asf_10a20" localSheetId="8">#REF!</definedName>
    <definedName name="transp_asf_10a20">#REF!</definedName>
    <definedName name="transp_asf_5.1a10" localSheetId="8">#REF!</definedName>
    <definedName name="transp_asf_5.1a10">#REF!</definedName>
    <definedName name="transp_asf_mayor_20" localSheetId="8">#REF!</definedName>
    <definedName name="transp_asf_mayor_20">#REF!</definedName>
    <definedName name="transp_gral" localSheetId="8">#REF!</definedName>
    <definedName name="transp_gral">#REF!</definedName>
    <definedName name="transp_mat_0a5" localSheetId="8">#REF!</definedName>
    <definedName name="transp_mat_0a5">#REF!</definedName>
    <definedName name="transp_mat_10a20" localSheetId="8">#REF!</definedName>
    <definedName name="transp_mat_10a20">#REF!</definedName>
    <definedName name="transp_mat_5.1a10" localSheetId="8">#REF!</definedName>
    <definedName name="transp_mat_5.1a10">#REF!</definedName>
    <definedName name="transp_mat_mayor_20" localSheetId="8">#REF!</definedName>
    <definedName name="transp_mat_mayor_20">#REF!</definedName>
    <definedName name="TRATARMADERA" localSheetId="3">'[78]Ins 2'!$E$51</definedName>
    <definedName name="Trompo" localSheetId="8">#REF!</definedName>
    <definedName name="Trompo">#REF!</definedName>
    <definedName name="Trompo_10" localSheetId="8">#REF!</definedName>
    <definedName name="Trompo_10">#REF!</definedName>
    <definedName name="Trompo_11" localSheetId="8">#REF!</definedName>
    <definedName name="Trompo_11">#REF!</definedName>
    <definedName name="Trompo_6" localSheetId="8">#REF!</definedName>
    <definedName name="Trompo_6">#REF!</definedName>
    <definedName name="Trompo_7" localSheetId="8">#REF!</definedName>
    <definedName name="Trompo_7">#REF!</definedName>
    <definedName name="Trompo_8" localSheetId="8">#REF!</definedName>
    <definedName name="Trompo_8">#REF!</definedName>
    <definedName name="Trompo_9" localSheetId="8">#REF!</definedName>
    <definedName name="Trompo_9">#REF!</definedName>
    <definedName name="tub8x12">[9]analisis!$G$2313</definedName>
    <definedName name="tub8x516">[9]analisis!$G$2322</definedName>
    <definedName name="TUBO_ACERO_16" localSheetId="8">#REF!</definedName>
    <definedName name="TUBO_ACERO_16">#REF!</definedName>
    <definedName name="TUBO_ACERO_16_10" localSheetId="8">#REF!</definedName>
    <definedName name="TUBO_ACERO_16_10">#REF!</definedName>
    <definedName name="TUBO_ACERO_16_11" localSheetId="8">#REF!</definedName>
    <definedName name="TUBO_ACERO_16_11">#REF!</definedName>
    <definedName name="TUBO_ACERO_16_6" localSheetId="8">#REF!</definedName>
    <definedName name="TUBO_ACERO_16_6">#REF!</definedName>
    <definedName name="TUBO_ACERO_16_7" localSheetId="8">#REF!</definedName>
    <definedName name="TUBO_ACERO_16_7">#REF!</definedName>
    <definedName name="TUBO_ACERO_16_8" localSheetId="8">#REF!</definedName>
    <definedName name="TUBO_ACERO_16_8">#REF!</definedName>
    <definedName name="TUBO_ACERO_16_9" localSheetId="8">#REF!</definedName>
    <definedName name="TUBO_ACERO_16_9">#REF!</definedName>
    <definedName name="TUBO_ACERO_20" localSheetId="8">#REF!</definedName>
    <definedName name="TUBO_ACERO_20">#REF!</definedName>
    <definedName name="TUBO_ACERO_20_10" localSheetId="8">#REF!</definedName>
    <definedName name="TUBO_ACERO_20_10">#REF!</definedName>
    <definedName name="TUBO_ACERO_20_11" localSheetId="8">#REF!</definedName>
    <definedName name="TUBO_ACERO_20_11">#REF!</definedName>
    <definedName name="TUBO_ACERO_20_6" localSheetId="8">#REF!</definedName>
    <definedName name="TUBO_ACERO_20_6">#REF!</definedName>
    <definedName name="TUBO_ACERO_20_7" localSheetId="8">#REF!</definedName>
    <definedName name="TUBO_ACERO_20_7">#REF!</definedName>
    <definedName name="TUBO_ACERO_20_8" localSheetId="8">#REF!</definedName>
    <definedName name="TUBO_ACERO_20_8">#REF!</definedName>
    <definedName name="TUBO_ACERO_20_9" localSheetId="8">#REF!</definedName>
    <definedName name="TUBO_ACERO_20_9">#REF!</definedName>
    <definedName name="TUBO_ACERO_20_e14" localSheetId="8">#REF!</definedName>
    <definedName name="TUBO_ACERO_20_e14">#REF!</definedName>
    <definedName name="TUBO_ACERO_20_e14_10" localSheetId="8">#REF!</definedName>
    <definedName name="TUBO_ACERO_20_e14_10">#REF!</definedName>
    <definedName name="TUBO_ACERO_20_e14_11" localSheetId="8">#REF!</definedName>
    <definedName name="TUBO_ACERO_20_e14_11">#REF!</definedName>
    <definedName name="TUBO_ACERO_20_e14_6" localSheetId="8">#REF!</definedName>
    <definedName name="TUBO_ACERO_20_e14_6">#REF!</definedName>
    <definedName name="TUBO_ACERO_20_e14_7" localSheetId="8">#REF!</definedName>
    <definedName name="TUBO_ACERO_20_e14_7">#REF!</definedName>
    <definedName name="TUBO_ACERO_20_e14_8" localSheetId="8">#REF!</definedName>
    <definedName name="TUBO_ACERO_20_e14_8">#REF!</definedName>
    <definedName name="TUBO_ACERO_20_e14_9" localSheetId="8">#REF!</definedName>
    <definedName name="TUBO_ACERO_20_e14_9">#REF!</definedName>
    <definedName name="TUBO_ACERO_3" localSheetId="8">#REF!</definedName>
    <definedName name="TUBO_ACERO_3">#REF!</definedName>
    <definedName name="TUBO_ACERO_3_10" localSheetId="8">#REF!</definedName>
    <definedName name="TUBO_ACERO_3_10">#REF!</definedName>
    <definedName name="TUBO_ACERO_3_11" localSheetId="8">#REF!</definedName>
    <definedName name="TUBO_ACERO_3_11">#REF!</definedName>
    <definedName name="TUBO_ACERO_3_6" localSheetId="8">#REF!</definedName>
    <definedName name="TUBO_ACERO_3_6">#REF!</definedName>
    <definedName name="TUBO_ACERO_3_7" localSheetId="8">#REF!</definedName>
    <definedName name="TUBO_ACERO_3_7">#REF!</definedName>
    <definedName name="TUBO_ACERO_3_8" localSheetId="8">#REF!</definedName>
    <definedName name="TUBO_ACERO_3_8">#REF!</definedName>
    <definedName name="TUBO_ACERO_3_9" localSheetId="8">#REF!</definedName>
    <definedName name="TUBO_ACERO_3_9">#REF!</definedName>
    <definedName name="TUBO_ACERO_4" localSheetId="8">#REF!</definedName>
    <definedName name="TUBO_ACERO_4">#REF!</definedName>
    <definedName name="TUBO_ACERO_4_10" localSheetId="8">#REF!</definedName>
    <definedName name="TUBO_ACERO_4_10">#REF!</definedName>
    <definedName name="TUBO_ACERO_4_11" localSheetId="8">#REF!</definedName>
    <definedName name="TUBO_ACERO_4_11">#REF!</definedName>
    <definedName name="TUBO_ACERO_4_6" localSheetId="8">#REF!</definedName>
    <definedName name="TUBO_ACERO_4_6">#REF!</definedName>
    <definedName name="TUBO_ACERO_4_7" localSheetId="8">#REF!</definedName>
    <definedName name="TUBO_ACERO_4_7">#REF!</definedName>
    <definedName name="TUBO_ACERO_4_8" localSheetId="8">#REF!</definedName>
    <definedName name="TUBO_ACERO_4_8">#REF!</definedName>
    <definedName name="TUBO_ACERO_4_9" localSheetId="8">#REF!</definedName>
    <definedName name="TUBO_ACERO_4_9">#REF!</definedName>
    <definedName name="TUBO_ACERO_6" localSheetId="8">#REF!</definedName>
    <definedName name="TUBO_ACERO_6">#REF!</definedName>
    <definedName name="TUBO_ACERO_6_10" localSheetId="8">#REF!</definedName>
    <definedName name="TUBO_ACERO_6_10">#REF!</definedName>
    <definedName name="TUBO_ACERO_6_11" localSheetId="8">#REF!</definedName>
    <definedName name="TUBO_ACERO_6_11">#REF!</definedName>
    <definedName name="TUBO_ACERO_6_6" localSheetId="8">#REF!</definedName>
    <definedName name="TUBO_ACERO_6_6">#REF!</definedName>
    <definedName name="TUBO_ACERO_6_7" localSheetId="8">#REF!</definedName>
    <definedName name="TUBO_ACERO_6_7">#REF!</definedName>
    <definedName name="TUBO_ACERO_6_8" localSheetId="8">#REF!</definedName>
    <definedName name="TUBO_ACERO_6_8">#REF!</definedName>
    <definedName name="TUBO_ACERO_6_9" localSheetId="8">#REF!</definedName>
    <definedName name="TUBO_ACERO_6_9">#REF!</definedName>
    <definedName name="TUBO_ACERO_8" localSheetId="8">#REF!</definedName>
    <definedName name="TUBO_ACERO_8">#REF!</definedName>
    <definedName name="TUBO_ACERO_8_10" localSheetId="8">#REF!</definedName>
    <definedName name="TUBO_ACERO_8_10">#REF!</definedName>
    <definedName name="TUBO_ACERO_8_11" localSheetId="8">#REF!</definedName>
    <definedName name="TUBO_ACERO_8_11">#REF!</definedName>
    <definedName name="TUBO_ACERO_8_6" localSheetId="8">#REF!</definedName>
    <definedName name="TUBO_ACERO_8_6">#REF!</definedName>
    <definedName name="TUBO_ACERO_8_7" localSheetId="8">#REF!</definedName>
    <definedName name="TUBO_ACERO_8_7">#REF!</definedName>
    <definedName name="TUBO_ACERO_8_8" localSheetId="8">#REF!</definedName>
    <definedName name="TUBO_ACERO_8_8">#REF!</definedName>
    <definedName name="TUBO_ACERO_8_9" localSheetId="8">#REF!</definedName>
    <definedName name="TUBO_ACERO_8_9">#REF!</definedName>
    <definedName name="TUBO_CPVC_12" localSheetId="8">#REF!</definedName>
    <definedName name="TUBO_CPVC_12">#REF!</definedName>
    <definedName name="TUBO_CPVC_12_10" localSheetId="8">#REF!</definedName>
    <definedName name="TUBO_CPVC_12_10">#REF!</definedName>
    <definedName name="TUBO_CPVC_12_11" localSheetId="8">#REF!</definedName>
    <definedName name="TUBO_CPVC_12_11">#REF!</definedName>
    <definedName name="TUBO_CPVC_12_6" localSheetId="8">#REF!</definedName>
    <definedName name="TUBO_CPVC_12_6">#REF!</definedName>
    <definedName name="TUBO_CPVC_12_7" localSheetId="8">#REF!</definedName>
    <definedName name="TUBO_CPVC_12_7">#REF!</definedName>
    <definedName name="TUBO_CPVC_12_8" localSheetId="8">#REF!</definedName>
    <definedName name="TUBO_CPVC_12_8">#REF!</definedName>
    <definedName name="TUBO_CPVC_12_9" localSheetId="8">#REF!</definedName>
    <definedName name="TUBO_CPVC_12_9">#REF!</definedName>
    <definedName name="TUBO_FLEXIBLE_INODORO_C_TUERCA" localSheetId="8">#REF!</definedName>
    <definedName name="TUBO_FLEXIBLE_INODORO_C_TUERCA">#REF!</definedName>
    <definedName name="TUBO_FLEXIBLE_INODORO_C_TUERCA_10" localSheetId="8">#REF!</definedName>
    <definedName name="TUBO_FLEXIBLE_INODORO_C_TUERCA_10">#REF!</definedName>
    <definedName name="TUBO_FLEXIBLE_INODORO_C_TUERCA_11" localSheetId="8">#REF!</definedName>
    <definedName name="TUBO_FLEXIBLE_INODORO_C_TUERCA_11">#REF!</definedName>
    <definedName name="TUBO_FLEXIBLE_INODORO_C_TUERCA_6" localSheetId="8">#REF!</definedName>
    <definedName name="TUBO_FLEXIBLE_INODORO_C_TUERCA_6">#REF!</definedName>
    <definedName name="TUBO_FLEXIBLE_INODORO_C_TUERCA_7" localSheetId="8">#REF!</definedName>
    <definedName name="TUBO_FLEXIBLE_INODORO_C_TUERCA_7">#REF!</definedName>
    <definedName name="TUBO_FLEXIBLE_INODORO_C_TUERCA_8" localSheetId="8">#REF!</definedName>
    <definedName name="TUBO_FLEXIBLE_INODORO_C_TUERCA_8">#REF!</definedName>
    <definedName name="TUBO_FLEXIBLE_INODORO_C_TUERCA_9" localSheetId="8">#REF!</definedName>
    <definedName name="TUBO_FLEXIBLE_INODORO_C_TUERCA_9">#REF!</definedName>
    <definedName name="TUBO_HA_36" localSheetId="8">#REF!</definedName>
    <definedName name="TUBO_HA_36">#REF!</definedName>
    <definedName name="TUBO_HA_36_10" localSheetId="8">#REF!</definedName>
    <definedName name="TUBO_HA_36_10">#REF!</definedName>
    <definedName name="TUBO_HA_36_11" localSheetId="8">#REF!</definedName>
    <definedName name="TUBO_HA_36_11">#REF!</definedName>
    <definedName name="TUBO_HA_36_6" localSheetId="8">#REF!</definedName>
    <definedName name="TUBO_HA_36_6">#REF!</definedName>
    <definedName name="TUBO_HA_36_7" localSheetId="8">#REF!</definedName>
    <definedName name="TUBO_HA_36_7">#REF!</definedName>
    <definedName name="TUBO_HA_36_8" localSheetId="8">#REF!</definedName>
    <definedName name="TUBO_HA_36_8">#REF!</definedName>
    <definedName name="TUBO_HA_36_9" localSheetId="8">#REF!</definedName>
    <definedName name="TUBO_HA_36_9">#REF!</definedName>
    <definedName name="TUBO_HG_1" localSheetId="8">#REF!</definedName>
    <definedName name="TUBO_HG_1">#REF!</definedName>
    <definedName name="TUBO_HG_1_10" localSheetId="8">#REF!</definedName>
    <definedName name="TUBO_HG_1_10">#REF!</definedName>
    <definedName name="TUBO_HG_1_11" localSheetId="8">#REF!</definedName>
    <definedName name="TUBO_HG_1_11">#REF!</definedName>
    <definedName name="TUBO_HG_1_12" localSheetId="8">#REF!</definedName>
    <definedName name="TUBO_HG_1_12">#REF!</definedName>
    <definedName name="TUBO_HG_1_12_10" localSheetId="8">#REF!</definedName>
    <definedName name="TUBO_HG_1_12_10">#REF!</definedName>
    <definedName name="TUBO_HG_1_12_11" localSheetId="8">#REF!</definedName>
    <definedName name="TUBO_HG_1_12_11">#REF!</definedName>
    <definedName name="TUBO_HG_1_12_6" localSheetId="8">#REF!</definedName>
    <definedName name="TUBO_HG_1_12_6">#REF!</definedName>
    <definedName name="TUBO_HG_1_12_7" localSheetId="8">#REF!</definedName>
    <definedName name="TUBO_HG_1_12_7">#REF!</definedName>
    <definedName name="TUBO_HG_1_12_8" localSheetId="8">#REF!</definedName>
    <definedName name="TUBO_HG_1_12_8">#REF!</definedName>
    <definedName name="TUBO_HG_1_12_9" localSheetId="8">#REF!</definedName>
    <definedName name="TUBO_HG_1_12_9">#REF!</definedName>
    <definedName name="TUBO_HG_1_6" localSheetId="8">#REF!</definedName>
    <definedName name="TUBO_HG_1_6">#REF!</definedName>
    <definedName name="TUBO_HG_1_7" localSheetId="8">#REF!</definedName>
    <definedName name="TUBO_HG_1_7">#REF!</definedName>
    <definedName name="TUBO_HG_1_8" localSheetId="8">#REF!</definedName>
    <definedName name="TUBO_HG_1_8">#REF!</definedName>
    <definedName name="TUBO_HG_1_9" localSheetId="8">#REF!</definedName>
    <definedName name="TUBO_HG_1_9">#REF!</definedName>
    <definedName name="TUBO_HG_12" localSheetId="8">#REF!</definedName>
    <definedName name="TUBO_HG_12">#REF!</definedName>
    <definedName name="TUBO_HG_12_10" localSheetId="8">#REF!</definedName>
    <definedName name="TUBO_HG_12_10">#REF!</definedName>
    <definedName name="TUBO_HG_12_11" localSheetId="8">#REF!</definedName>
    <definedName name="TUBO_HG_12_11">#REF!</definedName>
    <definedName name="TUBO_HG_12_6" localSheetId="8">#REF!</definedName>
    <definedName name="TUBO_HG_12_6">#REF!</definedName>
    <definedName name="TUBO_HG_12_7" localSheetId="8">#REF!</definedName>
    <definedName name="TUBO_HG_12_7">#REF!</definedName>
    <definedName name="TUBO_HG_12_8" localSheetId="8">#REF!</definedName>
    <definedName name="TUBO_HG_12_8">#REF!</definedName>
    <definedName name="TUBO_HG_12_9" localSheetId="8">#REF!</definedName>
    <definedName name="TUBO_HG_12_9">#REF!</definedName>
    <definedName name="TUBO_HG_34" localSheetId="8">#REF!</definedName>
    <definedName name="TUBO_HG_34">#REF!</definedName>
    <definedName name="TUBO_HG_34_10" localSheetId="8">#REF!</definedName>
    <definedName name="TUBO_HG_34_10">#REF!</definedName>
    <definedName name="TUBO_HG_34_11" localSheetId="8">#REF!</definedName>
    <definedName name="TUBO_HG_34_11">#REF!</definedName>
    <definedName name="TUBO_HG_34_6" localSheetId="8">#REF!</definedName>
    <definedName name="TUBO_HG_34_6">#REF!</definedName>
    <definedName name="TUBO_HG_34_7" localSheetId="8">#REF!</definedName>
    <definedName name="TUBO_HG_34_7">#REF!</definedName>
    <definedName name="TUBO_HG_34_8" localSheetId="8">#REF!</definedName>
    <definedName name="TUBO_HG_34_8">#REF!</definedName>
    <definedName name="TUBO_HG_34_9" localSheetId="8">#REF!</definedName>
    <definedName name="TUBO_HG_34_9">#REF!</definedName>
    <definedName name="TUBO_PVC_DRENAJE_1_12" localSheetId="8">#REF!</definedName>
    <definedName name="TUBO_PVC_DRENAJE_1_12">#REF!</definedName>
    <definedName name="TUBO_PVC_DRENAJE_1_12_10" localSheetId="8">#REF!</definedName>
    <definedName name="TUBO_PVC_DRENAJE_1_12_10">#REF!</definedName>
    <definedName name="TUBO_PVC_DRENAJE_1_12_11" localSheetId="8">#REF!</definedName>
    <definedName name="TUBO_PVC_DRENAJE_1_12_11">#REF!</definedName>
    <definedName name="TUBO_PVC_DRENAJE_1_12_6" localSheetId="8">#REF!</definedName>
    <definedName name="TUBO_PVC_DRENAJE_1_12_6">#REF!</definedName>
    <definedName name="TUBO_PVC_DRENAJE_1_12_7" localSheetId="8">#REF!</definedName>
    <definedName name="TUBO_PVC_DRENAJE_1_12_7">#REF!</definedName>
    <definedName name="TUBO_PVC_DRENAJE_1_12_8" localSheetId="8">#REF!</definedName>
    <definedName name="TUBO_PVC_DRENAJE_1_12_8">#REF!</definedName>
    <definedName name="TUBO_PVC_DRENAJE_1_12_9" localSheetId="8">#REF!</definedName>
    <definedName name="TUBO_PVC_DRENAJE_1_12_9">#REF!</definedName>
    <definedName name="TUBO_PVC_SCH40_12" localSheetId="8">#REF!</definedName>
    <definedName name="TUBO_PVC_SCH40_12">#REF!</definedName>
    <definedName name="TUBO_PVC_SCH40_12_10" localSheetId="8">#REF!</definedName>
    <definedName name="TUBO_PVC_SCH40_12_10">#REF!</definedName>
    <definedName name="TUBO_PVC_SCH40_12_11" localSheetId="8">#REF!</definedName>
    <definedName name="TUBO_PVC_SCH40_12_11">#REF!</definedName>
    <definedName name="TUBO_PVC_SCH40_12_6" localSheetId="8">#REF!</definedName>
    <definedName name="TUBO_PVC_SCH40_12_6">#REF!</definedName>
    <definedName name="TUBO_PVC_SCH40_12_7" localSheetId="8">#REF!</definedName>
    <definedName name="TUBO_PVC_SCH40_12_7">#REF!</definedName>
    <definedName name="TUBO_PVC_SCH40_12_8" localSheetId="8">#REF!</definedName>
    <definedName name="TUBO_PVC_SCH40_12_8">#REF!</definedName>
    <definedName name="TUBO_PVC_SCH40_12_9" localSheetId="8">#REF!</definedName>
    <definedName name="TUBO_PVC_SCH40_12_9">#REF!</definedName>
    <definedName name="TUBO_PVC_SCH40_34" localSheetId="8">#REF!</definedName>
    <definedName name="TUBO_PVC_SCH40_34">#REF!</definedName>
    <definedName name="TUBO_PVC_SCH40_34_10" localSheetId="8">#REF!</definedName>
    <definedName name="TUBO_PVC_SCH40_34_10">#REF!</definedName>
    <definedName name="TUBO_PVC_SCH40_34_11" localSheetId="8">#REF!</definedName>
    <definedName name="TUBO_PVC_SCH40_34_11">#REF!</definedName>
    <definedName name="TUBO_PVC_SCH40_34_6" localSheetId="8">#REF!</definedName>
    <definedName name="TUBO_PVC_SCH40_34_6">#REF!</definedName>
    <definedName name="TUBO_PVC_SCH40_34_7" localSheetId="8">#REF!</definedName>
    <definedName name="TUBO_PVC_SCH40_34_7">#REF!</definedName>
    <definedName name="TUBO_PVC_SCH40_34_8" localSheetId="8">#REF!</definedName>
    <definedName name="TUBO_PVC_SCH40_34_8">#REF!</definedName>
    <definedName name="TUBO_PVC_SCH40_34_9" localSheetId="8">#REF!</definedName>
    <definedName name="TUBO_PVC_SCH40_34_9">#REF!</definedName>
    <definedName name="TUBO_PVC_SDR21_2" localSheetId="8">#REF!</definedName>
    <definedName name="TUBO_PVC_SDR21_2">#REF!</definedName>
    <definedName name="TUBO_PVC_SDR21_2_10" localSheetId="8">#REF!</definedName>
    <definedName name="TUBO_PVC_SDR21_2_10">#REF!</definedName>
    <definedName name="TUBO_PVC_SDR21_2_11" localSheetId="8">#REF!</definedName>
    <definedName name="TUBO_PVC_SDR21_2_11">#REF!</definedName>
    <definedName name="TUBO_PVC_SDR21_2_6" localSheetId="8">#REF!</definedName>
    <definedName name="TUBO_PVC_SDR21_2_6">#REF!</definedName>
    <definedName name="TUBO_PVC_SDR21_2_7" localSheetId="8">#REF!</definedName>
    <definedName name="TUBO_PVC_SDR21_2_7">#REF!</definedName>
    <definedName name="TUBO_PVC_SDR21_2_8" localSheetId="8">#REF!</definedName>
    <definedName name="TUBO_PVC_SDR21_2_8">#REF!</definedName>
    <definedName name="TUBO_PVC_SDR21_2_9" localSheetId="8">#REF!</definedName>
    <definedName name="TUBO_PVC_SDR21_2_9">#REF!</definedName>
    <definedName name="TUBO_PVC_SDR21_JG_16" localSheetId="8">#REF!</definedName>
    <definedName name="TUBO_PVC_SDR21_JG_16">#REF!</definedName>
    <definedName name="TUBO_PVC_SDR21_JG_16_10" localSheetId="8">#REF!</definedName>
    <definedName name="TUBO_PVC_SDR21_JG_16_10">#REF!</definedName>
    <definedName name="TUBO_PVC_SDR21_JG_16_11" localSheetId="8">#REF!</definedName>
    <definedName name="TUBO_PVC_SDR21_JG_16_11">#REF!</definedName>
    <definedName name="TUBO_PVC_SDR21_JG_16_6" localSheetId="8">#REF!</definedName>
    <definedName name="TUBO_PVC_SDR21_JG_16_6">#REF!</definedName>
    <definedName name="TUBO_PVC_SDR21_JG_16_7" localSheetId="8">#REF!</definedName>
    <definedName name="TUBO_PVC_SDR21_JG_16_7">#REF!</definedName>
    <definedName name="TUBO_PVC_SDR21_JG_16_8" localSheetId="8">#REF!</definedName>
    <definedName name="TUBO_PVC_SDR21_JG_16_8">#REF!</definedName>
    <definedName name="TUBO_PVC_SDR21_JG_16_9" localSheetId="8">#REF!</definedName>
    <definedName name="TUBO_PVC_SDR21_JG_16_9">#REF!</definedName>
    <definedName name="TUBO_PVC_SDR21_JG_6" localSheetId="8">#REF!</definedName>
    <definedName name="TUBO_PVC_SDR21_JG_6">#REF!</definedName>
    <definedName name="TUBO_PVC_SDR21_JG_6_10" localSheetId="8">#REF!</definedName>
    <definedName name="TUBO_PVC_SDR21_JG_6_10">#REF!</definedName>
    <definedName name="TUBO_PVC_SDR21_JG_6_11" localSheetId="8">#REF!</definedName>
    <definedName name="TUBO_PVC_SDR21_JG_6_11">#REF!</definedName>
    <definedName name="TUBO_PVC_SDR21_JG_6_6" localSheetId="8">#REF!</definedName>
    <definedName name="TUBO_PVC_SDR21_JG_6_6">#REF!</definedName>
    <definedName name="TUBO_PVC_SDR21_JG_6_7" localSheetId="8">#REF!</definedName>
    <definedName name="TUBO_PVC_SDR21_JG_6_7">#REF!</definedName>
    <definedName name="TUBO_PVC_SDR21_JG_6_8" localSheetId="8">#REF!</definedName>
    <definedName name="TUBO_PVC_SDR21_JG_6_8">#REF!</definedName>
    <definedName name="TUBO_PVC_SDR21_JG_6_9" localSheetId="8">#REF!</definedName>
    <definedName name="TUBO_PVC_SDR21_JG_6_9">#REF!</definedName>
    <definedName name="TUBO_PVC_SDR21_JG_8" localSheetId="8">#REF!</definedName>
    <definedName name="TUBO_PVC_SDR21_JG_8">#REF!</definedName>
    <definedName name="TUBO_PVC_SDR21_JG_8_10" localSheetId="8">#REF!</definedName>
    <definedName name="TUBO_PVC_SDR21_JG_8_10">#REF!</definedName>
    <definedName name="TUBO_PVC_SDR21_JG_8_11" localSheetId="8">#REF!</definedName>
    <definedName name="TUBO_PVC_SDR21_JG_8_11">#REF!</definedName>
    <definedName name="TUBO_PVC_SDR21_JG_8_6" localSheetId="8">#REF!</definedName>
    <definedName name="TUBO_PVC_SDR21_JG_8_6">#REF!</definedName>
    <definedName name="TUBO_PVC_SDR21_JG_8_7" localSheetId="8">#REF!</definedName>
    <definedName name="TUBO_PVC_SDR21_JG_8_7">#REF!</definedName>
    <definedName name="TUBO_PVC_SDR21_JG_8_8" localSheetId="8">#REF!</definedName>
    <definedName name="TUBO_PVC_SDR21_JG_8_8">#REF!</definedName>
    <definedName name="TUBO_PVC_SDR21_JG_8_9" localSheetId="8">#REF!</definedName>
    <definedName name="TUBO_PVC_SDR21_JG_8_9">#REF!</definedName>
    <definedName name="TUBO_PVC_SDR26_12" localSheetId="8">#REF!</definedName>
    <definedName name="TUBO_PVC_SDR26_12">#REF!</definedName>
    <definedName name="TUBO_PVC_SDR26_12_10" localSheetId="8">#REF!</definedName>
    <definedName name="TUBO_PVC_SDR26_12_10">#REF!</definedName>
    <definedName name="TUBO_PVC_SDR26_12_11" localSheetId="8">#REF!</definedName>
    <definedName name="TUBO_PVC_SDR26_12_11">#REF!</definedName>
    <definedName name="TUBO_PVC_SDR26_12_6" localSheetId="8">#REF!</definedName>
    <definedName name="TUBO_PVC_SDR26_12_6">#REF!</definedName>
    <definedName name="TUBO_PVC_SDR26_12_7" localSheetId="8">#REF!</definedName>
    <definedName name="TUBO_PVC_SDR26_12_7">#REF!</definedName>
    <definedName name="TUBO_PVC_SDR26_12_8" localSheetId="8">#REF!</definedName>
    <definedName name="TUBO_PVC_SDR26_12_8">#REF!</definedName>
    <definedName name="TUBO_PVC_SDR26_12_9" localSheetId="8">#REF!</definedName>
    <definedName name="TUBO_PVC_SDR26_12_9">#REF!</definedName>
    <definedName name="TUBO_PVC_SDR26_2" localSheetId="8">#REF!</definedName>
    <definedName name="TUBO_PVC_SDR26_2">#REF!</definedName>
    <definedName name="TUBO_PVC_SDR26_2_10" localSheetId="8">#REF!</definedName>
    <definedName name="TUBO_PVC_SDR26_2_10">#REF!</definedName>
    <definedName name="TUBO_PVC_SDR26_2_11" localSheetId="8">#REF!</definedName>
    <definedName name="TUBO_PVC_SDR26_2_11">#REF!</definedName>
    <definedName name="TUBO_PVC_SDR26_2_6" localSheetId="8">#REF!</definedName>
    <definedName name="TUBO_PVC_SDR26_2_6">#REF!</definedName>
    <definedName name="TUBO_PVC_SDR26_2_7" localSheetId="8">#REF!</definedName>
    <definedName name="TUBO_PVC_SDR26_2_7">#REF!</definedName>
    <definedName name="TUBO_PVC_SDR26_2_8" localSheetId="8">#REF!</definedName>
    <definedName name="TUBO_PVC_SDR26_2_8">#REF!</definedName>
    <definedName name="TUBO_PVC_SDR26_2_9" localSheetId="8">#REF!</definedName>
    <definedName name="TUBO_PVC_SDR26_2_9">#REF!</definedName>
    <definedName name="TUBO_PVC_SDR26_34" localSheetId="8">#REF!</definedName>
    <definedName name="TUBO_PVC_SDR26_34">#REF!</definedName>
    <definedName name="TUBO_PVC_SDR26_34_10" localSheetId="8">#REF!</definedName>
    <definedName name="TUBO_PVC_SDR26_34_10">#REF!</definedName>
    <definedName name="TUBO_PVC_SDR26_34_11" localSheetId="8">#REF!</definedName>
    <definedName name="TUBO_PVC_SDR26_34_11">#REF!</definedName>
    <definedName name="TUBO_PVC_SDR26_34_6" localSheetId="8">#REF!</definedName>
    <definedName name="TUBO_PVC_SDR26_34_6">#REF!</definedName>
    <definedName name="TUBO_PVC_SDR26_34_7" localSheetId="8">#REF!</definedName>
    <definedName name="TUBO_PVC_SDR26_34_7">#REF!</definedName>
    <definedName name="TUBO_PVC_SDR26_34_8" localSheetId="8">#REF!</definedName>
    <definedName name="TUBO_PVC_SDR26_34_8">#REF!</definedName>
    <definedName name="TUBO_PVC_SDR26_34_9" localSheetId="8">#REF!</definedName>
    <definedName name="TUBO_PVC_SDR26_34_9">#REF!</definedName>
    <definedName name="TUBO_PVC_SDR26_JG_16" localSheetId="8">#REF!</definedName>
    <definedName name="TUBO_PVC_SDR26_JG_16">#REF!</definedName>
    <definedName name="TUBO_PVC_SDR26_JG_16_10" localSheetId="8">#REF!</definedName>
    <definedName name="TUBO_PVC_SDR26_JG_16_10">#REF!</definedName>
    <definedName name="TUBO_PVC_SDR26_JG_16_11" localSheetId="8">#REF!</definedName>
    <definedName name="TUBO_PVC_SDR26_JG_16_11">#REF!</definedName>
    <definedName name="TUBO_PVC_SDR26_JG_16_6" localSheetId="8">#REF!</definedName>
    <definedName name="TUBO_PVC_SDR26_JG_16_6">#REF!</definedName>
    <definedName name="TUBO_PVC_SDR26_JG_16_7" localSheetId="8">#REF!</definedName>
    <definedName name="TUBO_PVC_SDR26_JG_16_7">#REF!</definedName>
    <definedName name="TUBO_PVC_SDR26_JG_16_8" localSheetId="8">#REF!</definedName>
    <definedName name="TUBO_PVC_SDR26_JG_16_8">#REF!</definedName>
    <definedName name="TUBO_PVC_SDR26_JG_16_9" localSheetId="8">#REF!</definedName>
    <definedName name="TUBO_PVC_SDR26_JG_16_9">#REF!</definedName>
    <definedName name="TUBO_PVC_SDR26_JG_3" localSheetId="8">#REF!</definedName>
    <definedName name="TUBO_PVC_SDR26_JG_3">#REF!</definedName>
    <definedName name="TUBO_PVC_SDR26_JG_3_10" localSheetId="8">#REF!</definedName>
    <definedName name="TUBO_PVC_SDR26_JG_3_10">#REF!</definedName>
    <definedName name="TUBO_PVC_SDR26_JG_3_11" localSheetId="8">#REF!</definedName>
    <definedName name="TUBO_PVC_SDR26_JG_3_11">#REF!</definedName>
    <definedName name="TUBO_PVC_SDR26_JG_3_6" localSheetId="8">#REF!</definedName>
    <definedName name="TUBO_PVC_SDR26_JG_3_6">#REF!</definedName>
    <definedName name="TUBO_PVC_SDR26_JG_3_7" localSheetId="8">#REF!</definedName>
    <definedName name="TUBO_PVC_SDR26_JG_3_7">#REF!</definedName>
    <definedName name="TUBO_PVC_SDR26_JG_3_8" localSheetId="8">#REF!</definedName>
    <definedName name="TUBO_PVC_SDR26_JG_3_8">#REF!</definedName>
    <definedName name="TUBO_PVC_SDR26_JG_3_9" localSheetId="8">#REF!</definedName>
    <definedName name="TUBO_PVC_SDR26_JG_3_9">#REF!</definedName>
    <definedName name="TUBO_PVC_SDR26_JG_4" localSheetId="8">#REF!</definedName>
    <definedName name="TUBO_PVC_SDR26_JG_4">#REF!</definedName>
    <definedName name="TUBO_PVC_SDR26_JG_4_10" localSheetId="8">#REF!</definedName>
    <definedName name="TUBO_PVC_SDR26_JG_4_10">#REF!</definedName>
    <definedName name="TUBO_PVC_SDR26_JG_4_11" localSheetId="8">#REF!</definedName>
    <definedName name="TUBO_PVC_SDR26_JG_4_11">#REF!</definedName>
    <definedName name="TUBO_PVC_SDR26_JG_4_6" localSheetId="8">#REF!</definedName>
    <definedName name="TUBO_PVC_SDR26_JG_4_6">#REF!</definedName>
    <definedName name="TUBO_PVC_SDR26_JG_4_7" localSheetId="8">#REF!</definedName>
    <definedName name="TUBO_PVC_SDR26_JG_4_7">#REF!</definedName>
    <definedName name="TUBO_PVC_SDR26_JG_4_8" localSheetId="8">#REF!</definedName>
    <definedName name="TUBO_PVC_SDR26_JG_4_8">#REF!</definedName>
    <definedName name="TUBO_PVC_SDR26_JG_4_9" localSheetId="8">#REF!</definedName>
    <definedName name="TUBO_PVC_SDR26_JG_4_9">#REF!</definedName>
    <definedName name="TUBO_PVC_SDR26_JG_6" localSheetId="8">#REF!</definedName>
    <definedName name="TUBO_PVC_SDR26_JG_6">#REF!</definedName>
    <definedName name="TUBO_PVC_SDR26_JG_6_10" localSheetId="8">#REF!</definedName>
    <definedName name="TUBO_PVC_SDR26_JG_6_10">#REF!</definedName>
    <definedName name="TUBO_PVC_SDR26_JG_6_11" localSheetId="8">#REF!</definedName>
    <definedName name="TUBO_PVC_SDR26_JG_6_11">#REF!</definedName>
    <definedName name="TUBO_PVC_SDR26_JG_6_6" localSheetId="8">#REF!</definedName>
    <definedName name="TUBO_PVC_SDR26_JG_6_6">#REF!</definedName>
    <definedName name="TUBO_PVC_SDR26_JG_6_7" localSheetId="8">#REF!</definedName>
    <definedName name="TUBO_PVC_SDR26_JG_6_7">#REF!</definedName>
    <definedName name="TUBO_PVC_SDR26_JG_6_8" localSheetId="8">#REF!</definedName>
    <definedName name="TUBO_PVC_SDR26_JG_6_8">#REF!</definedName>
    <definedName name="TUBO_PVC_SDR26_JG_6_9" localSheetId="8">#REF!</definedName>
    <definedName name="TUBO_PVC_SDR26_JG_6_9">#REF!</definedName>
    <definedName name="TUBO_PVC_SDR26_JG_8" localSheetId="8">#REF!</definedName>
    <definedName name="TUBO_PVC_SDR26_JG_8">#REF!</definedName>
    <definedName name="TUBO_PVC_SDR26_JG_8_10" localSheetId="8">#REF!</definedName>
    <definedName name="TUBO_PVC_SDR26_JG_8_10">#REF!</definedName>
    <definedName name="TUBO_PVC_SDR26_JG_8_11" localSheetId="8">#REF!</definedName>
    <definedName name="TUBO_PVC_SDR26_JG_8_11">#REF!</definedName>
    <definedName name="TUBO_PVC_SDR26_JG_8_6" localSheetId="8">#REF!</definedName>
    <definedName name="TUBO_PVC_SDR26_JG_8_6">#REF!</definedName>
    <definedName name="TUBO_PVC_SDR26_JG_8_7" localSheetId="8">#REF!</definedName>
    <definedName name="TUBO_PVC_SDR26_JG_8_7">#REF!</definedName>
    <definedName name="TUBO_PVC_SDR26_JG_8_8" localSheetId="8">#REF!</definedName>
    <definedName name="TUBO_PVC_SDR26_JG_8_8">#REF!</definedName>
    <definedName name="TUBO_PVC_SDR26_JG_8_9" localSheetId="8">#REF!</definedName>
    <definedName name="TUBO_PVC_SDR26_JG_8_9">#REF!</definedName>
    <definedName name="TUBO_PVC_SDR325_JG_16" localSheetId="8">#REF!</definedName>
    <definedName name="TUBO_PVC_SDR325_JG_16">#REF!</definedName>
    <definedName name="TUBO_PVC_SDR325_JG_16_10" localSheetId="8">#REF!</definedName>
    <definedName name="TUBO_PVC_SDR325_JG_16_10">#REF!</definedName>
    <definedName name="TUBO_PVC_SDR325_JG_16_11" localSheetId="8">#REF!</definedName>
    <definedName name="TUBO_PVC_SDR325_JG_16_11">#REF!</definedName>
    <definedName name="TUBO_PVC_SDR325_JG_16_6" localSheetId="8">#REF!</definedName>
    <definedName name="TUBO_PVC_SDR325_JG_16_6">#REF!</definedName>
    <definedName name="TUBO_PVC_SDR325_JG_16_7" localSheetId="8">#REF!</definedName>
    <definedName name="TUBO_PVC_SDR325_JG_16_7">#REF!</definedName>
    <definedName name="TUBO_PVC_SDR325_JG_16_8" localSheetId="8">#REF!</definedName>
    <definedName name="TUBO_PVC_SDR325_JG_16_8">#REF!</definedName>
    <definedName name="TUBO_PVC_SDR325_JG_16_9" localSheetId="8">#REF!</definedName>
    <definedName name="TUBO_PVC_SDR325_JG_16_9">#REF!</definedName>
    <definedName name="TUBO_PVC_SDR325_JG_20" localSheetId="8">#REF!</definedName>
    <definedName name="TUBO_PVC_SDR325_JG_20">#REF!</definedName>
    <definedName name="TUBO_PVC_SDR325_JG_20_10" localSheetId="8">#REF!</definedName>
    <definedName name="TUBO_PVC_SDR325_JG_20_10">#REF!</definedName>
    <definedName name="TUBO_PVC_SDR325_JG_20_11" localSheetId="8">#REF!</definedName>
    <definedName name="TUBO_PVC_SDR325_JG_20_11">#REF!</definedName>
    <definedName name="TUBO_PVC_SDR325_JG_20_6" localSheetId="8">#REF!</definedName>
    <definedName name="TUBO_PVC_SDR325_JG_20_6">#REF!</definedName>
    <definedName name="TUBO_PVC_SDR325_JG_20_7" localSheetId="8">#REF!</definedName>
    <definedName name="TUBO_PVC_SDR325_JG_20_7">#REF!</definedName>
    <definedName name="TUBO_PVC_SDR325_JG_20_8" localSheetId="8">#REF!</definedName>
    <definedName name="TUBO_PVC_SDR325_JG_20_8">#REF!</definedName>
    <definedName name="TUBO_PVC_SDR325_JG_20_9" localSheetId="8">#REF!</definedName>
    <definedName name="TUBO_PVC_SDR325_JG_20_9">#REF!</definedName>
    <definedName name="TUBO_PVC_SDR325_JG_8" localSheetId="8">#REF!</definedName>
    <definedName name="TUBO_PVC_SDR325_JG_8">#REF!</definedName>
    <definedName name="TUBO_PVC_SDR325_JG_8_10" localSheetId="8">#REF!</definedName>
    <definedName name="TUBO_PVC_SDR325_JG_8_10">#REF!</definedName>
    <definedName name="TUBO_PVC_SDR325_JG_8_11" localSheetId="8">#REF!</definedName>
    <definedName name="TUBO_PVC_SDR325_JG_8_11">#REF!</definedName>
    <definedName name="TUBO_PVC_SDR325_JG_8_6" localSheetId="8">#REF!</definedName>
    <definedName name="TUBO_PVC_SDR325_JG_8_6">#REF!</definedName>
    <definedName name="TUBO_PVC_SDR325_JG_8_7" localSheetId="8">#REF!</definedName>
    <definedName name="TUBO_PVC_SDR325_JG_8_7">#REF!</definedName>
    <definedName name="TUBO_PVC_SDR325_JG_8_8" localSheetId="8">#REF!</definedName>
    <definedName name="TUBO_PVC_SDR325_JG_8_8">#REF!</definedName>
    <definedName name="TUBO_PVC_SDR325_JG_8_9" localSheetId="8">#REF!</definedName>
    <definedName name="TUBO_PVC_SDR325_JG_8_9">#REF!</definedName>
    <definedName name="TUBO_PVC_SDR41_2" localSheetId="8">#REF!</definedName>
    <definedName name="TUBO_PVC_SDR41_2">#REF!</definedName>
    <definedName name="TUBO_PVC_SDR41_2_10" localSheetId="8">#REF!</definedName>
    <definedName name="TUBO_PVC_SDR41_2_10">#REF!</definedName>
    <definedName name="TUBO_PVC_SDR41_2_11" localSheetId="8">#REF!</definedName>
    <definedName name="TUBO_PVC_SDR41_2_11">#REF!</definedName>
    <definedName name="TUBO_PVC_SDR41_2_6" localSheetId="8">#REF!</definedName>
    <definedName name="TUBO_PVC_SDR41_2_6">#REF!</definedName>
    <definedName name="TUBO_PVC_SDR41_2_7" localSheetId="8">#REF!</definedName>
    <definedName name="TUBO_PVC_SDR41_2_7">#REF!</definedName>
    <definedName name="TUBO_PVC_SDR41_2_8" localSheetId="8">#REF!</definedName>
    <definedName name="TUBO_PVC_SDR41_2_8">#REF!</definedName>
    <definedName name="TUBO_PVC_SDR41_2_9" localSheetId="8">#REF!</definedName>
    <definedName name="TUBO_PVC_SDR41_2_9">#REF!</definedName>
    <definedName name="TUBO_PVC_SDR41_3" localSheetId="8">#REF!</definedName>
    <definedName name="TUBO_PVC_SDR41_3">#REF!</definedName>
    <definedName name="TUBO_PVC_SDR41_3_10" localSheetId="8">#REF!</definedName>
    <definedName name="TUBO_PVC_SDR41_3_10">#REF!</definedName>
    <definedName name="TUBO_PVC_SDR41_3_11" localSheetId="8">#REF!</definedName>
    <definedName name="TUBO_PVC_SDR41_3_11">#REF!</definedName>
    <definedName name="TUBO_PVC_SDR41_3_6" localSheetId="8">#REF!</definedName>
    <definedName name="TUBO_PVC_SDR41_3_6">#REF!</definedName>
    <definedName name="TUBO_PVC_SDR41_3_7" localSheetId="8">#REF!</definedName>
    <definedName name="TUBO_PVC_SDR41_3_7">#REF!</definedName>
    <definedName name="TUBO_PVC_SDR41_3_8" localSheetId="8">#REF!</definedName>
    <definedName name="TUBO_PVC_SDR41_3_8">#REF!</definedName>
    <definedName name="TUBO_PVC_SDR41_3_9" localSheetId="8">#REF!</definedName>
    <definedName name="TUBO_PVC_SDR41_3_9">#REF!</definedName>
    <definedName name="TUBO_PVC_SDR41_4" localSheetId="8">#REF!</definedName>
    <definedName name="TUBO_PVC_SDR41_4">#REF!</definedName>
    <definedName name="TUBO_PVC_SDR41_4_10" localSheetId="8">#REF!</definedName>
    <definedName name="TUBO_PVC_SDR41_4_10">#REF!</definedName>
    <definedName name="TUBO_PVC_SDR41_4_11" localSheetId="8">#REF!</definedName>
    <definedName name="TUBO_PVC_SDR41_4_11">#REF!</definedName>
    <definedName name="TUBO_PVC_SDR41_4_6" localSheetId="8">#REF!</definedName>
    <definedName name="TUBO_PVC_SDR41_4_6">#REF!</definedName>
    <definedName name="TUBO_PVC_SDR41_4_7" localSheetId="8">#REF!</definedName>
    <definedName name="TUBO_PVC_SDR41_4_7">#REF!</definedName>
    <definedName name="TUBO_PVC_SDR41_4_8" localSheetId="8">#REF!</definedName>
    <definedName name="TUBO_PVC_SDR41_4_8">#REF!</definedName>
    <definedName name="TUBO_PVC_SDR41_4_9" localSheetId="8">#REF!</definedName>
    <definedName name="TUBO_PVC_SDR41_4_9">#REF!</definedName>
    <definedName name="TYPE_3M" localSheetId="8">#REF!</definedName>
    <definedName name="TYPE_3M">#REF!</definedName>
    <definedName name="TYPE_3M_10" localSheetId="8">#REF!</definedName>
    <definedName name="TYPE_3M_10">#REF!</definedName>
    <definedName name="TYPE_3M_11" localSheetId="8">#REF!</definedName>
    <definedName name="TYPE_3M_11">#REF!</definedName>
    <definedName name="TYPE_3M_6" localSheetId="8">#REF!</definedName>
    <definedName name="TYPE_3M_6">#REF!</definedName>
    <definedName name="TYPE_3M_7" localSheetId="8">#REF!</definedName>
    <definedName name="TYPE_3M_7">#REF!</definedName>
    <definedName name="TYPE_3M_8" localSheetId="8">#REF!</definedName>
    <definedName name="TYPE_3M_8">#REF!</definedName>
    <definedName name="TYPE_3M_9" localSheetId="8">#REF!</definedName>
    <definedName name="TYPE_3M_9">#REF!</definedName>
    <definedName name="ud">[7]exteriores!$D$66</definedName>
    <definedName name="UND">#N/A</definedName>
    <definedName name="UND_6">NA()</definedName>
    <definedName name="UNION_HG_1" localSheetId="8">#REF!</definedName>
    <definedName name="UNION_HG_1">#REF!</definedName>
    <definedName name="UNION_HG_1_10" localSheetId="8">#REF!</definedName>
    <definedName name="UNION_HG_1_10">#REF!</definedName>
    <definedName name="UNION_HG_1_11" localSheetId="8">#REF!</definedName>
    <definedName name="UNION_HG_1_11">#REF!</definedName>
    <definedName name="UNION_HG_1_6" localSheetId="8">#REF!</definedName>
    <definedName name="UNION_HG_1_6">#REF!</definedName>
    <definedName name="UNION_HG_1_7" localSheetId="8">#REF!</definedName>
    <definedName name="UNION_HG_1_7">#REF!</definedName>
    <definedName name="UNION_HG_1_8" localSheetId="8">#REF!</definedName>
    <definedName name="UNION_HG_1_8">#REF!</definedName>
    <definedName name="UNION_HG_1_9" localSheetId="8">#REF!</definedName>
    <definedName name="UNION_HG_1_9">#REF!</definedName>
    <definedName name="UNION_HG_12" localSheetId="8">#REF!</definedName>
    <definedName name="UNION_HG_12">#REF!</definedName>
    <definedName name="UNION_HG_12_10" localSheetId="8">#REF!</definedName>
    <definedName name="UNION_HG_12_10">#REF!</definedName>
    <definedName name="UNION_HG_12_11" localSheetId="8">#REF!</definedName>
    <definedName name="UNION_HG_12_11">#REF!</definedName>
    <definedName name="UNION_HG_12_6" localSheetId="8">#REF!</definedName>
    <definedName name="UNION_HG_12_6">#REF!</definedName>
    <definedName name="UNION_HG_12_7" localSheetId="8">#REF!</definedName>
    <definedName name="UNION_HG_12_7">#REF!</definedName>
    <definedName name="UNION_HG_12_8" localSheetId="8">#REF!</definedName>
    <definedName name="UNION_HG_12_8">#REF!</definedName>
    <definedName name="UNION_HG_12_9" localSheetId="8">#REF!</definedName>
    <definedName name="UNION_HG_12_9">#REF!</definedName>
    <definedName name="UNION_HG_34" localSheetId="8">#REF!</definedName>
    <definedName name="UNION_HG_34">#REF!</definedName>
    <definedName name="UNION_HG_34_10" localSheetId="8">#REF!</definedName>
    <definedName name="UNION_HG_34_10">#REF!</definedName>
    <definedName name="UNION_HG_34_11" localSheetId="8">#REF!</definedName>
    <definedName name="UNION_HG_34_11">#REF!</definedName>
    <definedName name="UNION_HG_34_6" localSheetId="8">#REF!</definedName>
    <definedName name="UNION_HG_34_6">#REF!</definedName>
    <definedName name="UNION_HG_34_7" localSheetId="8">#REF!</definedName>
    <definedName name="UNION_HG_34_7">#REF!</definedName>
    <definedName name="UNION_HG_34_8" localSheetId="8">#REF!</definedName>
    <definedName name="UNION_HG_34_8">#REF!</definedName>
    <definedName name="UNION_HG_34_9" localSheetId="8">#REF!</definedName>
    <definedName name="UNION_HG_34_9">#REF!</definedName>
    <definedName name="UNION_PVC_PRES_12" localSheetId="8">#REF!</definedName>
    <definedName name="UNION_PVC_PRES_12">#REF!</definedName>
    <definedName name="UNION_PVC_PRES_12_10" localSheetId="8">#REF!</definedName>
    <definedName name="UNION_PVC_PRES_12_10">#REF!</definedName>
    <definedName name="UNION_PVC_PRES_12_11" localSheetId="8">#REF!</definedName>
    <definedName name="UNION_PVC_PRES_12_11">#REF!</definedName>
    <definedName name="UNION_PVC_PRES_12_6" localSheetId="8">#REF!</definedName>
    <definedName name="UNION_PVC_PRES_12_6">#REF!</definedName>
    <definedName name="UNION_PVC_PRES_12_7" localSheetId="8">#REF!</definedName>
    <definedName name="UNION_PVC_PRES_12_7">#REF!</definedName>
    <definedName name="UNION_PVC_PRES_12_8" localSheetId="8">#REF!</definedName>
    <definedName name="UNION_PVC_PRES_12_8">#REF!</definedName>
    <definedName name="UNION_PVC_PRES_12_9" localSheetId="8">#REF!</definedName>
    <definedName name="UNION_PVC_PRES_12_9">#REF!</definedName>
    <definedName name="UNION_PVC_PRES_34" localSheetId="8">#REF!</definedName>
    <definedName name="UNION_PVC_PRES_34">#REF!</definedName>
    <definedName name="UNION_PVC_PRES_34_10" localSheetId="8">#REF!</definedName>
    <definedName name="UNION_PVC_PRES_34_10">#REF!</definedName>
    <definedName name="UNION_PVC_PRES_34_11" localSheetId="8">#REF!</definedName>
    <definedName name="UNION_PVC_PRES_34_11">#REF!</definedName>
    <definedName name="UNION_PVC_PRES_34_6" localSheetId="8">#REF!</definedName>
    <definedName name="UNION_PVC_PRES_34_6">#REF!</definedName>
    <definedName name="UNION_PVC_PRES_34_7" localSheetId="8">#REF!</definedName>
    <definedName name="UNION_PVC_PRES_34_7">#REF!</definedName>
    <definedName name="UNION_PVC_PRES_34_8" localSheetId="8">#REF!</definedName>
    <definedName name="UNION_PVC_PRES_34_8">#REF!</definedName>
    <definedName name="UNION_PVC_PRES_34_9" localSheetId="8">#REF!</definedName>
    <definedName name="UNION_PVC_PRES_34_9">#REF!</definedName>
    <definedName name="UoM" localSheetId="8">#REF!</definedName>
    <definedName name="UoM">#REF!</definedName>
    <definedName name="uso.vibrador">'[50]Costos Mano de Obra'!$O$42</definedName>
    <definedName name="v.c.n1y2.villa1">[79]Cubicación!$P$2150</definedName>
    <definedName name="v.c.n1y2.villa10">[79]Cubicación!$P$1690</definedName>
    <definedName name="v.c.n1y2.villa11">[79]Cubicación!$P$998</definedName>
    <definedName name="v.c.n1y2.villa12">[79]Cubicación!$P$401</definedName>
    <definedName name="v.c.n1y2.villa13">[79]Cubicación!$P$535</definedName>
    <definedName name="v.c.n1y2.villa14">[79]Cubicación!$P$1461</definedName>
    <definedName name="v.c.n1y2.villa15">[79]Cubicación!$P$1576</definedName>
    <definedName name="v.c.n1y2.villa16">[79]Cubicación!$P$1805</definedName>
    <definedName name="v.c.n1y2.villa17">[79]Cubicación!$P$1920</definedName>
    <definedName name="v.c.n1y2.villa18">[79]Cubicación!$P$1113</definedName>
    <definedName name="v.c.n1y2.villa2">[79]Cubicación!$P$2037</definedName>
    <definedName name="v.c.n1y2.villa3">[79]Cubicación!$P$883</definedName>
    <definedName name="v.c.n1y2.villa4">[79]Cubicación!$P$768</definedName>
    <definedName name="v.c.n1y2.villa5">[79]Cubicación!$P$653</definedName>
    <definedName name="v.c.n1y2.villa6">[79]Cubicación!$P$138</definedName>
    <definedName name="v.c.n1y2.villa7">[79]Cubicación!$P$269</definedName>
    <definedName name="v.c.n1y2.villa8">[79]Cubicación!$P$1231</definedName>
    <definedName name="v.c.n1y2.villa9">[79]Cubicación!$P$1346</definedName>
    <definedName name="VACC">[11]Precio!$F$31</definedName>
    <definedName name="vaciadohormigonindustrial" localSheetId="8">#REF!</definedName>
    <definedName name="vaciadohormigonindustrial">#REF!</definedName>
    <definedName name="vaciadohormigonindustrial_8" localSheetId="8">#REF!</definedName>
    <definedName name="vaciadohormigonindustrial_8">#REF!</definedName>
    <definedName name="vaciadozapata" localSheetId="8">#REF!</definedName>
    <definedName name="vaciadozapata">#REF!</definedName>
    <definedName name="vaciadozapata_8" localSheetId="8">#REF!</definedName>
    <definedName name="vaciadozapata_8">#REF!</definedName>
    <definedName name="valora_3">"$#REF!.$I$1:$I$65534"</definedName>
    <definedName name="valorp_3">"$#REF!.$K$1:$K$65534"</definedName>
    <definedName name="VALORPRESUPUESTO_3">"$#REF!.$F$1:$F$65534"</definedName>
    <definedName name="VALVULA_AIRE_1_HF_ROSCADA" localSheetId="8">#REF!</definedName>
    <definedName name="VALVULA_AIRE_1_HF_ROSCADA">#REF!</definedName>
    <definedName name="VALVULA_AIRE_1_HF_ROSCADA_10" localSheetId="8">#REF!</definedName>
    <definedName name="VALVULA_AIRE_1_HF_ROSCADA_10">#REF!</definedName>
    <definedName name="VALVULA_AIRE_1_HF_ROSCADA_11" localSheetId="8">#REF!</definedName>
    <definedName name="VALVULA_AIRE_1_HF_ROSCADA_11">#REF!</definedName>
    <definedName name="VALVULA_AIRE_1_HF_ROSCADA_6" localSheetId="8">#REF!</definedName>
    <definedName name="VALVULA_AIRE_1_HF_ROSCADA_6">#REF!</definedName>
    <definedName name="VALVULA_AIRE_1_HF_ROSCADA_7" localSheetId="8">#REF!</definedName>
    <definedName name="VALVULA_AIRE_1_HF_ROSCADA_7">#REF!</definedName>
    <definedName name="VALVULA_AIRE_1_HF_ROSCADA_8" localSheetId="8">#REF!</definedName>
    <definedName name="VALVULA_AIRE_1_HF_ROSCADA_8">#REF!</definedName>
    <definedName name="VALVULA_AIRE_1_HF_ROSCADA_9" localSheetId="8">#REF!</definedName>
    <definedName name="VALVULA_AIRE_1_HF_ROSCADA_9">#REF!</definedName>
    <definedName name="VALVULA_AIRE_3_HF_ROSCADA" localSheetId="8">#REF!</definedName>
    <definedName name="VALVULA_AIRE_3_HF_ROSCADA">#REF!</definedName>
    <definedName name="VALVULA_AIRE_3_HF_ROSCADA_10" localSheetId="8">#REF!</definedName>
    <definedName name="VALVULA_AIRE_3_HF_ROSCADA_10">#REF!</definedName>
    <definedName name="VALVULA_AIRE_3_HF_ROSCADA_11" localSheetId="8">#REF!</definedName>
    <definedName name="VALVULA_AIRE_3_HF_ROSCADA_11">#REF!</definedName>
    <definedName name="VALVULA_AIRE_3_HF_ROSCADA_6" localSheetId="8">#REF!</definedName>
    <definedName name="VALVULA_AIRE_3_HF_ROSCADA_6">#REF!</definedName>
    <definedName name="VALVULA_AIRE_3_HF_ROSCADA_7" localSheetId="8">#REF!</definedName>
    <definedName name="VALVULA_AIRE_3_HF_ROSCADA_7">#REF!</definedName>
    <definedName name="VALVULA_AIRE_3_HF_ROSCADA_8" localSheetId="8">#REF!</definedName>
    <definedName name="VALVULA_AIRE_3_HF_ROSCADA_8">#REF!</definedName>
    <definedName name="VALVULA_AIRE_3_HF_ROSCADA_9" localSheetId="8">#REF!</definedName>
    <definedName name="VALVULA_AIRE_3_HF_ROSCADA_9">#REF!</definedName>
    <definedName name="VALVULA_AIRE_34_HF_ROSCADA" localSheetId="8">#REF!</definedName>
    <definedName name="VALVULA_AIRE_34_HF_ROSCADA">#REF!</definedName>
    <definedName name="VALVULA_AIRE_34_HF_ROSCADA_10" localSheetId="8">#REF!</definedName>
    <definedName name="VALVULA_AIRE_34_HF_ROSCADA_10">#REF!</definedName>
    <definedName name="VALVULA_AIRE_34_HF_ROSCADA_11" localSheetId="8">#REF!</definedName>
    <definedName name="VALVULA_AIRE_34_HF_ROSCADA_11">#REF!</definedName>
    <definedName name="VALVULA_AIRE_34_HF_ROSCADA_6" localSheetId="8">#REF!</definedName>
    <definedName name="VALVULA_AIRE_34_HF_ROSCADA_6">#REF!</definedName>
    <definedName name="VALVULA_AIRE_34_HF_ROSCADA_7" localSheetId="8">#REF!</definedName>
    <definedName name="VALVULA_AIRE_34_HF_ROSCADA_7">#REF!</definedName>
    <definedName name="VALVULA_AIRE_34_HF_ROSCADA_8" localSheetId="8">#REF!</definedName>
    <definedName name="VALVULA_AIRE_34_HF_ROSCADA_8">#REF!</definedName>
    <definedName name="VALVULA_AIRE_34_HF_ROSCADA_9" localSheetId="8">#REF!</definedName>
    <definedName name="VALVULA_AIRE_34_HF_ROSCADA_9">#REF!</definedName>
    <definedName name="VALVULA_COMP_12_HF_PLATILLADA" localSheetId="8">#REF!</definedName>
    <definedName name="VALVULA_COMP_12_HF_PLATILLADA">#REF!</definedName>
    <definedName name="VALVULA_COMP_12_HF_PLATILLADA_10" localSheetId="8">#REF!</definedName>
    <definedName name="VALVULA_COMP_12_HF_PLATILLADA_10">#REF!</definedName>
    <definedName name="VALVULA_COMP_12_HF_PLATILLADA_11" localSheetId="8">#REF!</definedName>
    <definedName name="VALVULA_COMP_12_HF_PLATILLADA_11">#REF!</definedName>
    <definedName name="VALVULA_COMP_12_HF_PLATILLADA_6" localSheetId="8">#REF!</definedName>
    <definedName name="VALVULA_COMP_12_HF_PLATILLADA_6">#REF!</definedName>
    <definedName name="VALVULA_COMP_12_HF_PLATILLADA_7" localSheetId="8">#REF!</definedName>
    <definedName name="VALVULA_COMP_12_HF_PLATILLADA_7">#REF!</definedName>
    <definedName name="VALVULA_COMP_12_HF_PLATILLADA_8" localSheetId="8">#REF!</definedName>
    <definedName name="VALVULA_COMP_12_HF_PLATILLADA_8">#REF!</definedName>
    <definedName name="VALVULA_COMP_12_HF_PLATILLADA_9" localSheetId="8">#REF!</definedName>
    <definedName name="VALVULA_COMP_12_HF_PLATILLADA_9">#REF!</definedName>
    <definedName name="VALVULA_COMP_16_HF_PLATILLADA" localSheetId="8">#REF!</definedName>
    <definedName name="VALVULA_COMP_16_HF_PLATILLADA">#REF!</definedName>
    <definedName name="VALVULA_COMP_16_HF_PLATILLADA_10" localSheetId="8">#REF!</definedName>
    <definedName name="VALVULA_COMP_16_HF_PLATILLADA_10">#REF!</definedName>
    <definedName name="VALVULA_COMP_16_HF_PLATILLADA_11" localSheetId="8">#REF!</definedName>
    <definedName name="VALVULA_COMP_16_HF_PLATILLADA_11">#REF!</definedName>
    <definedName name="VALVULA_COMP_16_HF_PLATILLADA_6" localSheetId="8">#REF!</definedName>
    <definedName name="VALVULA_COMP_16_HF_PLATILLADA_6">#REF!</definedName>
    <definedName name="VALVULA_COMP_16_HF_PLATILLADA_7" localSheetId="8">#REF!</definedName>
    <definedName name="VALVULA_COMP_16_HF_PLATILLADA_7">#REF!</definedName>
    <definedName name="VALVULA_COMP_16_HF_PLATILLADA_8" localSheetId="8">#REF!</definedName>
    <definedName name="VALVULA_COMP_16_HF_PLATILLADA_8">#REF!</definedName>
    <definedName name="VALVULA_COMP_16_HF_PLATILLADA_9" localSheetId="8">#REF!</definedName>
    <definedName name="VALVULA_COMP_16_HF_PLATILLADA_9">#REF!</definedName>
    <definedName name="VALVULA_COMP_2_12_HF_ROSCADA" localSheetId="8">#REF!</definedName>
    <definedName name="VALVULA_COMP_2_12_HF_ROSCADA">#REF!</definedName>
    <definedName name="VALVULA_COMP_2_12_HF_ROSCADA_10" localSheetId="8">#REF!</definedName>
    <definedName name="VALVULA_COMP_2_12_HF_ROSCADA_10">#REF!</definedName>
    <definedName name="VALVULA_COMP_2_12_HF_ROSCADA_11" localSheetId="8">#REF!</definedName>
    <definedName name="VALVULA_COMP_2_12_HF_ROSCADA_11">#REF!</definedName>
    <definedName name="VALVULA_COMP_2_12_HF_ROSCADA_6" localSheetId="8">#REF!</definedName>
    <definedName name="VALVULA_COMP_2_12_HF_ROSCADA_6">#REF!</definedName>
    <definedName name="VALVULA_COMP_2_12_HF_ROSCADA_7" localSheetId="8">#REF!</definedName>
    <definedName name="VALVULA_COMP_2_12_HF_ROSCADA_7">#REF!</definedName>
    <definedName name="VALVULA_COMP_2_12_HF_ROSCADA_8" localSheetId="8">#REF!</definedName>
    <definedName name="VALVULA_COMP_2_12_HF_ROSCADA_8">#REF!</definedName>
    <definedName name="VALVULA_COMP_2_12_HF_ROSCADA_9" localSheetId="8">#REF!</definedName>
    <definedName name="VALVULA_COMP_2_12_HF_ROSCADA_9">#REF!</definedName>
    <definedName name="VALVULA_COMP_2_HF_ROSCADA" localSheetId="8">#REF!</definedName>
    <definedName name="VALVULA_COMP_2_HF_ROSCADA">#REF!</definedName>
    <definedName name="VALVULA_COMP_2_HF_ROSCADA_10" localSheetId="8">#REF!</definedName>
    <definedName name="VALVULA_COMP_2_HF_ROSCADA_10">#REF!</definedName>
    <definedName name="VALVULA_COMP_2_HF_ROSCADA_11" localSheetId="8">#REF!</definedName>
    <definedName name="VALVULA_COMP_2_HF_ROSCADA_11">#REF!</definedName>
    <definedName name="VALVULA_COMP_2_HF_ROSCADA_6" localSheetId="8">#REF!</definedName>
    <definedName name="VALVULA_COMP_2_HF_ROSCADA_6">#REF!</definedName>
    <definedName name="VALVULA_COMP_2_HF_ROSCADA_7" localSheetId="8">#REF!</definedName>
    <definedName name="VALVULA_COMP_2_HF_ROSCADA_7">#REF!</definedName>
    <definedName name="VALVULA_COMP_2_HF_ROSCADA_8" localSheetId="8">#REF!</definedName>
    <definedName name="VALVULA_COMP_2_HF_ROSCADA_8">#REF!</definedName>
    <definedName name="VALVULA_COMP_2_HF_ROSCADA_9" localSheetId="8">#REF!</definedName>
    <definedName name="VALVULA_COMP_2_HF_ROSCADA_9">#REF!</definedName>
    <definedName name="VALVULA_COMP_20_HF_PLATILLADA" localSheetId="8">#REF!</definedName>
    <definedName name="VALVULA_COMP_20_HF_PLATILLADA">#REF!</definedName>
    <definedName name="VALVULA_COMP_20_HF_PLATILLADA_10" localSheetId="8">#REF!</definedName>
    <definedName name="VALVULA_COMP_20_HF_PLATILLADA_10">#REF!</definedName>
    <definedName name="VALVULA_COMP_20_HF_PLATILLADA_11" localSheetId="8">#REF!</definedName>
    <definedName name="VALVULA_COMP_20_HF_PLATILLADA_11">#REF!</definedName>
    <definedName name="VALVULA_COMP_20_HF_PLATILLADA_6" localSheetId="8">#REF!</definedName>
    <definedName name="VALVULA_COMP_20_HF_PLATILLADA_6">#REF!</definedName>
    <definedName name="VALVULA_COMP_20_HF_PLATILLADA_7" localSheetId="8">#REF!</definedName>
    <definedName name="VALVULA_COMP_20_HF_PLATILLADA_7">#REF!</definedName>
    <definedName name="VALVULA_COMP_20_HF_PLATILLADA_8" localSheetId="8">#REF!</definedName>
    <definedName name="VALVULA_COMP_20_HF_PLATILLADA_8">#REF!</definedName>
    <definedName name="VALVULA_COMP_20_HF_PLATILLADA_9" localSheetId="8">#REF!</definedName>
    <definedName name="VALVULA_COMP_20_HF_PLATILLADA_9">#REF!</definedName>
    <definedName name="VALVULA_COMP_3_HF_ROSCADA" localSheetId="8">#REF!</definedName>
    <definedName name="VALVULA_COMP_3_HF_ROSCADA">#REF!</definedName>
    <definedName name="VALVULA_COMP_3_HF_ROSCADA_10" localSheetId="8">#REF!</definedName>
    <definedName name="VALVULA_COMP_3_HF_ROSCADA_10">#REF!</definedName>
    <definedName name="VALVULA_COMP_3_HF_ROSCADA_11" localSheetId="8">#REF!</definedName>
    <definedName name="VALVULA_COMP_3_HF_ROSCADA_11">#REF!</definedName>
    <definedName name="VALVULA_COMP_3_HF_ROSCADA_6" localSheetId="8">#REF!</definedName>
    <definedName name="VALVULA_COMP_3_HF_ROSCADA_6">#REF!</definedName>
    <definedName name="VALVULA_COMP_3_HF_ROSCADA_7" localSheetId="8">#REF!</definedName>
    <definedName name="VALVULA_COMP_3_HF_ROSCADA_7">#REF!</definedName>
    <definedName name="VALVULA_COMP_3_HF_ROSCADA_8" localSheetId="8">#REF!</definedName>
    <definedName name="VALVULA_COMP_3_HF_ROSCADA_8">#REF!</definedName>
    <definedName name="VALVULA_COMP_3_HF_ROSCADA_9" localSheetId="8">#REF!</definedName>
    <definedName name="VALVULA_COMP_3_HF_ROSCADA_9">#REF!</definedName>
    <definedName name="VALVULA_COMP_4_HF_PLATILLADA" localSheetId="8">#REF!</definedName>
    <definedName name="VALVULA_COMP_4_HF_PLATILLADA">#REF!</definedName>
    <definedName name="VALVULA_COMP_4_HF_PLATILLADA_10" localSheetId="8">#REF!</definedName>
    <definedName name="VALVULA_COMP_4_HF_PLATILLADA_10">#REF!</definedName>
    <definedName name="VALVULA_COMP_4_HF_PLATILLADA_11" localSheetId="8">#REF!</definedName>
    <definedName name="VALVULA_COMP_4_HF_PLATILLADA_11">#REF!</definedName>
    <definedName name="VALVULA_COMP_4_HF_PLATILLADA_6" localSheetId="8">#REF!</definedName>
    <definedName name="VALVULA_COMP_4_HF_PLATILLADA_6">#REF!</definedName>
    <definedName name="VALVULA_COMP_4_HF_PLATILLADA_7" localSheetId="8">#REF!</definedName>
    <definedName name="VALVULA_COMP_4_HF_PLATILLADA_7">#REF!</definedName>
    <definedName name="VALVULA_COMP_4_HF_PLATILLADA_8" localSheetId="8">#REF!</definedName>
    <definedName name="VALVULA_COMP_4_HF_PLATILLADA_8">#REF!</definedName>
    <definedName name="VALVULA_COMP_4_HF_PLATILLADA_9" localSheetId="8">#REF!</definedName>
    <definedName name="VALVULA_COMP_4_HF_PLATILLADA_9">#REF!</definedName>
    <definedName name="VALVULA_COMP_4_HF_ROSCADA" localSheetId="8">#REF!</definedName>
    <definedName name="VALVULA_COMP_4_HF_ROSCADA">#REF!</definedName>
    <definedName name="VALVULA_COMP_4_HF_ROSCADA_10" localSheetId="8">#REF!</definedName>
    <definedName name="VALVULA_COMP_4_HF_ROSCADA_10">#REF!</definedName>
    <definedName name="VALVULA_COMP_4_HF_ROSCADA_11" localSheetId="8">#REF!</definedName>
    <definedName name="VALVULA_COMP_4_HF_ROSCADA_11">#REF!</definedName>
    <definedName name="VALVULA_COMP_4_HF_ROSCADA_6" localSheetId="8">#REF!</definedName>
    <definedName name="VALVULA_COMP_4_HF_ROSCADA_6">#REF!</definedName>
    <definedName name="VALVULA_COMP_4_HF_ROSCADA_7" localSheetId="8">#REF!</definedName>
    <definedName name="VALVULA_COMP_4_HF_ROSCADA_7">#REF!</definedName>
    <definedName name="VALVULA_COMP_4_HF_ROSCADA_8" localSheetId="8">#REF!</definedName>
    <definedName name="VALVULA_COMP_4_HF_ROSCADA_8">#REF!</definedName>
    <definedName name="VALVULA_COMP_4_HF_ROSCADA_9" localSheetId="8">#REF!</definedName>
    <definedName name="VALVULA_COMP_4_HF_ROSCADA_9">#REF!</definedName>
    <definedName name="VALVULA_COMP_6_HF_PLATILLADA" localSheetId="8">#REF!</definedName>
    <definedName name="VALVULA_COMP_6_HF_PLATILLADA">#REF!</definedName>
    <definedName name="VALVULA_COMP_6_HF_PLATILLADA_10" localSheetId="8">#REF!</definedName>
    <definedName name="VALVULA_COMP_6_HF_PLATILLADA_10">#REF!</definedName>
    <definedName name="VALVULA_COMP_6_HF_PLATILLADA_11" localSheetId="8">#REF!</definedName>
    <definedName name="VALVULA_COMP_6_HF_PLATILLADA_11">#REF!</definedName>
    <definedName name="VALVULA_COMP_6_HF_PLATILLADA_6" localSheetId="8">#REF!</definedName>
    <definedName name="VALVULA_COMP_6_HF_PLATILLADA_6">#REF!</definedName>
    <definedName name="VALVULA_COMP_6_HF_PLATILLADA_7" localSheetId="8">#REF!</definedName>
    <definedName name="VALVULA_COMP_6_HF_PLATILLADA_7">#REF!</definedName>
    <definedName name="VALVULA_COMP_6_HF_PLATILLADA_8" localSheetId="8">#REF!</definedName>
    <definedName name="VALVULA_COMP_6_HF_PLATILLADA_8">#REF!</definedName>
    <definedName name="VALVULA_COMP_6_HF_PLATILLADA_9" localSheetId="8">#REF!</definedName>
    <definedName name="VALVULA_COMP_6_HF_PLATILLADA_9">#REF!</definedName>
    <definedName name="VALVULA_COMP_8_HF_PLATILLADA" localSheetId="8">#REF!</definedName>
    <definedName name="VALVULA_COMP_8_HF_PLATILLADA">#REF!</definedName>
    <definedName name="VALVULA_COMP_8_HF_PLATILLADA_10" localSheetId="8">#REF!</definedName>
    <definedName name="VALVULA_COMP_8_HF_PLATILLADA_10">#REF!</definedName>
    <definedName name="VALVULA_COMP_8_HF_PLATILLADA_11" localSheetId="8">#REF!</definedName>
    <definedName name="VALVULA_COMP_8_HF_PLATILLADA_11">#REF!</definedName>
    <definedName name="VALVULA_COMP_8_HF_PLATILLADA_6" localSheetId="8">#REF!</definedName>
    <definedName name="VALVULA_COMP_8_HF_PLATILLADA_6">#REF!</definedName>
    <definedName name="VALVULA_COMP_8_HF_PLATILLADA_7" localSheetId="8">#REF!</definedName>
    <definedName name="VALVULA_COMP_8_HF_PLATILLADA_7">#REF!</definedName>
    <definedName name="VALVULA_COMP_8_HF_PLATILLADA_8" localSheetId="8">#REF!</definedName>
    <definedName name="VALVULA_COMP_8_HF_PLATILLADA_8">#REF!</definedName>
    <definedName name="VALVULA_COMP_8_HF_PLATILLADA_9" localSheetId="8">#REF!</definedName>
    <definedName name="VALVULA_COMP_8_HF_PLATILLADA_9">#REF!</definedName>
    <definedName name="VARILLA_BLOQUES_20" localSheetId="8">#REF!</definedName>
    <definedName name="VARILLA_BLOQUES_20">#REF!</definedName>
    <definedName name="VARILLA_BLOQUES_20_10" localSheetId="8">#REF!</definedName>
    <definedName name="VARILLA_BLOQUES_20_10">#REF!</definedName>
    <definedName name="VARILLA_BLOQUES_20_11" localSheetId="8">#REF!</definedName>
    <definedName name="VARILLA_BLOQUES_20_11">#REF!</definedName>
    <definedName name="VARILLA_BLOQUES_20_6" localSheetId="8">#REF!</definedName>
    <definedName name="VARILLA_BLOQUES_20_6">#REF!</definedName>
    <definedName name="VARILLA_BLOQUES_20_7" localSheetId="8">#REF!</definedName>
    <definedName name="VARILLA_BLOQUES_20_7">#REF!</definedName>
    <definedName name="VARILLA_BLOQUES_20_8" localSheetId="8">#REF!</definedName>
    <definedName name="VARILLA_BLOQUES_20_8">#REF!</definedName>
    <definedName name="VARILLA_BLOQUES_20_9" localSheetId="8">#REF!</definedName>
    <definedName name="VARILLA_BLOQUES_20_9">#REF!</definedName>
    <definedName name="VARILLA_BLOQUES_40" localSheetId="8">#REF!</definedName>
    <definedName name="VARILLA_BLOQUES_40">#REF!</definedName>
    <definedName name="VARILLA_BLOQUES_40_10" localSheetId="8">#REF!</definedName>
    <definedName name="VARILLA_BLOQUES_40_10">#REF!</definedName>
    <definedName name="VARILLA_BLOQUES_40_11" localSheetId="8">#REF!</definedName>
    <definedName name="VARILLA_BLOQUES_40_11">#REF!</definedName>
    <definedName name="VARILLA_BLOQUES_40_6" localSheetId="8">#REF!</definedName>
    <definedName name="VARILLA_BLOQUES_40_6">#REF!</definedName>
    <definedName name="VARILLA_BLOQUES_40_7" localSheetId="8">#REF!</definedName>
    <definedName name="VARILLA_BLOQUES_40_7">#REF!</definedName>
    <definedName name="VARILLA_BLOQUES_40_8" localSheetId="8">#REF!</definedName>
    <definedName name="VARILLA_BLOQUES_40_8">#REF!</definedName>
    <definedName name="VARILLA_BLOQUES_40_9" localSheetId="8">#REF!</definedName>
    <definedName name="VARILLA_BLOQUES_40_9">#REF!</definedName>
    <definedName name="VARILLA_BLOQUES_60" localSheetId="8">#REF!</definedName>
    <definedName name="VARILLA_BLOQUES_60">#REF!</definedName>
    <definedName name="VARILLA_BLOQUES_60_10" localSheetId="8">#REF!</definedName>
    <definedName name="VARILLA_BLOQUES_60_10">#REF!</definedName>
    <definedName name="VARILLA_BLOQUES_60_11" localSheetId="8">#REF!</definedName>
    <definedName name="VARILLA_BLOQUES_60_11">#REF!</definedName>
    <definedName name="VARILLA_BLOQUES_60_6" localSheetId="8">#REF!</definedName>
    <definedName name="VARILLA_BLOQUES_60_6">#REF!</definedName>
    <definedName name="VARILLA_BLOQUES_60_7" localSheetId="8">#REF!</definedName>
    <definedName name="VARILLA_BLOQUES_60_7">#REF!</definedName>
    <definedName name="VARILLA_BLOQUES_60_8" localSheetId="8">#REF!</definedName>
    <definedName name="VARILLA_BLOQUES_60_8">#REF!</definedName>
    <definedName name="VARILLA_BLOQUES_60_9" localSheetId="8">#REF!</definedName>
    <definedName name="VARILLA_BLOQUES_60_9">#REF!</definedName>
    <definedName name="VARILLA_BLOQUES_80" localSheetId="8">#REF!</definedName>
    <definedName name="VARILLA_BLOQUES_80">#REF!</definedName>
    <definedName name="VARILLA_BLOQUES_80_10" localSheetId="8">#REF!</definedName>
    <definedName name="VARILLA_BLOQUES_80_10">#REF!</definedName>
    <definedName name="VARILLA_BLOQUES_80_11" localSheetId="8">#REF!</definedName>
    <definedName name="VARILLA_BLOQUES_80_11">#REF!</definedName>
    <definedName name="VARILLA_BLOQUES_80_6" localSheetId="8">#REF!</definedName>
    <definedName name="VARILLA_BLOQUES_80_6">#REF!</definedName>
    <definedName name="VARILLA_BLOQUES_80_7" localSheetId="8">#REF!</definedName>
    <definedName name="VARILLA_BLOQUES_80_7">#REF!</definedName>
    <definedName name="VARILLA_BLOQUES_80_8" localSheetId="8">#REF!</definedName>
    <definedName name="VARILLA_BLOQUES_80_8">#REF!</definedName>
    <definedName name="VARILLA_BLOQUES_80_9" localSheetId="8">#REF!</definedName>
    <definedName name="VARILLA_BLOQUES_80_9">#REF!</definedName>
    <definedName name="VCOLGANTE1590" localSheetId="8">#REF!</definedName>
    <definedName name="VCOLGANTE1590">#REF!</definedName>
    <definedName name="VCOLGANTE1590_6" localSheetId="8">#REF!</definedName>
    <definedName name="VCOLGANTE1590_6">#REF!</definedName>
    <definedName name="VIBRADO" localSheetId="8">#REF!</definedName>
    <definedName name="VIBRADO">#REF!</definedName>
    <definedName name="VIBRADO_10" localSheetId="8">#REF!</definedName>
    <definedName name="VIBRADO_10">#REF!</definedName>
    <definedName name="VIBRADO_11" localSheetId="8">#REF!</definedName>
    <definedName name="VIBRADO_11">#REF!</definedName>
    <definedName name="VIBRADO_6" localSheetId="8">#REF!</definedName>
    <definedName name="VIBRADO_6">#REF!</definedName>
    <definedName name="VIBRADO_7" localSheetId="8">#REF!</definedName>
    <definedName name="VIBRADO_7">#REF!</definedName>
    <definedName name="VIBRADO_8" localSheetId="8">#REF!</definedName>
    <definedName name="VIBRADO_8">#REF!</definedName>
    <definedName name="VIBRADO_9" localSheetId="8">#REF!</definedName>
    <definedName name="VIBRADO_9">#REF!</definedName>
    <definedName name="viga.30x40">[49]Análisis!$D$624</definedName>
    <definedName name="Viga.Amarre.20x.20">[48]Análisis!$D$525</definedName>
    <definedName name="Viga.amarre.2do.N">[49]Análisis!$D$653</definedName>
    <definedName name="Viga.Amarre.Piso.20x20">[23]Análisis!$D$138</definedName>
    <definedName name="Viga.V1">[23]Análisis!$D$200</definedName>
    <definedName name="VIGASHP" localSheetId="8">#REF!</definedName>
    <definedName name="VIGASHP">#REF!</definedName>
    <definedName name="VIGASHP_3">"$#REF!.$B$109"</definedName>
    <definedName name="VIGASHP_8" localSheetId="8">#REF!</definedName>
    <definedName name="VIGASHP_8">#REF!</definedName>
    <definedName name="VigaV1.3.4.6.Presidenciales">[23]Análisis!$D$209</definedName>
    <definedName name="VigaV2.5.7.Presidenciales">[23]Análisis!$D$218</definedName>
    <definedName name="VIOLINADO" localSheetId="8">#REF!</definedName>
    <definedName name="VIOLINADO">#REF!</definedName>
    <definedName name="VIOLINADO_10" localSheetId="8">#REF!</definedName>
    <definedName name="VIOLINADO_10">#REF!</definedName>
    <definedName name="VIOLINADO_11" localSheetId="8">#REF!</definedName>
    <definedName name="VIOLINADO_11">#REF!</definedName>
    <definedName name="VIOLINADO_6" localSheetId="8">#REF!</definedName>
    <definedName name="VIOLINADO_6">#REF!</definedName>
    <definedName name="VIOLINADO_7" localSheetId="8">#REF!</definedName>
    <definedName name="VIOLINADO_7">#REF!</definedName>
    <definedName name="VIOLINADO_8" localSheetId="8">#REF!</definedName>
    <definedName name="VIOLINADO_8">#REF!</definedName>
    <definedName name="VIOLINADO_9" localSheetId="8">#REF!</definedName>
    <definedName name="VIOLINADO_9">#REF!</definedName>
    <definedName name="VUELO10" localSheetId="8">#REF!</definedName>
    <definedName name="VUELO10">#REF!</definedName>
    <definedName name="VUELO10_6" localSheetId="8">#REF!</definedName>
    <definedName name="VUELO10_6">#REF!</definedName>
    <definedName name="W14X22">[9]analisis!$G$1637</definedName>
    <definedName name="W16X26">[9]analisis!$G$1814</definedName>
    <definedName name="W18X40">[9]analisis!$G$1872</definedName>
    <definedName name="W27X84">[9]analisis!$G$1977</definedName>
    <definedName name="w6x9">[9]analisis!$G$1453</definedName>
    <definedName name="Winche" localSheetId="8">#REF!</definedName>
    <definedName name="Winche">#REF!</definedName>
    <definedName name="Winche_10" localSheetId="8">#REF!</definedName>
    <definedName name="Winche_10">#REF!</definedName>
    <definedName name="Winche_11" localSheetId="8">#REF!</definedName>
    <definedName name="Winche_11">#REF!</definedName>
    <definedName name="Winche_6" localSheetId="8">#REF!</definedName>
    <definedName name="Winche_6">#REF!</definedName>
    <definedName name="Winche_7" localSheetId="8">#REF!</definedName>
    <definedName name="Winche_7">#REF!</definedName>
    <definedName name="Winche_8" localSheetId="8">#REF!</definedName>
    <definedName name="Winche_8">#REF!</definedName>
    <definedName name="Winche_9" localSheetId="8">#REF!</definedName>
    <definedName name="Winche_9">#REF!</definedName>
    <definedName name="WWW" localSheetId="3">[80]INS!$D$561</definedName>
    <definedName name="WWW">[74]INS!$D$561</definedName>
    <definedName name="XXXXXXX" localSheetId="8">#REF!</definedName>
    <definedName name="XXXXXXX">#REF!</definedName>
    <definedName name="YEE_PVC_DREN_2" localSheetId="8">#REF!</definedName>
    <definedName name="YEE_PVC_DREN_2">#REF!</definedName>
    <definedName name="YEE_PVC_DREN_2_10" localSheetId="8">#REF!</definedName>
    <definedName name="YEE_PVC_DREN_2_10">#REF!</definedName>
    <definedName name="YEE_PVC_DREN_2_11" localSheetId="8">#REF!</definedName>
    <definedName name="YEE_PVC_DREN_2_11">#REF!</definedName>
    <definedName name="YEE_PVC_DREN_2_6" localSheetId="8">#REF!</definedName>
    <definedName name="YEE_PVC_DREN_2_6">#REF!</definedName>
    <definedName name="YEE_PVC_DREN_2_7" localSheetId="8">#REF!</definedName>
    <definedName name="YEE_PVC_DREN_2_7">#REF!</definedName>
    <definedName name="YEE_PVC_DREN_2_8" localSheetId="8">#REF!</definedName>
    <definedName name="YEE_PVC_DREN_2_8">#REF!</definedName>
    <definedName name="YEE_PVC_DREN_2_9" localSheetId="8">#REF!</definedName>
    <definedName name="YEE_PVC_DREN_2_9">#REF!</definedName>
    <definedName name="YEE_PVC_DREN_3" localSheetId="8">#REF!</definedName>
    <definedName name="YEE_PVC_DREN_3">#REF!</definedName>
    <definedName name="YEE_PVC_DREN_3_10" localSheetId="8">#REF!</definedName>
    <definedName name="YEE_PVC_DREN_3_10">#REF!</definedName>
    <definedName name="YEE_PVC_DREN_3_11" localSheetId="8">#REF!</definedName>
    <definedName name="YEE_PVC_DREN_3_11">#REF!</definedName>
    <definedName name="YEE_PVC_DREN_3_6" localSheetId="8">#REF!</definedName>
    <definedName name="YEE_PVC_DREN_3_6">#REF!</definedName>
    <definedName name="YEE_PVC_DREN_3_7" localSheetId="8">#REF!</definedName>
    <definedName name="YEE_PVC_DREN_3_7">#REF!</definedName>
    <definedName name="YEE_PVC_DREN_3_8" localSheetId="8">#REF!</definedName>
    <definedName name="YEE_PVC_DREN_3_8">#REF!</definedName>
    <definedName name="YEE_PVC_DREN_3_9" localSheetId="8">#REF!</definedName>
    <definedName name="YEE_PVC_DREN_3_9">#REF!</definedName>
    <definedName name="YEE_PVC_DREN_4" localSheetId="8">#REF!</definedName>
    <definedName name="YEE_PVC_DREN_4">#REF!</definedName>
    <definedName name="YEE_PVC_DREN_4_10" localSheetId="8">#REF!</definedName>
    <definedName name="YEE_PVC_DREN_4_10">#REF!</definedName>
    <definedName name="YEE_PVC_DREN_4_11" localSheetId="8">#REF!</definedName>
    <definedName name="YEE_PVC_DREN_4_11">#REF!</definedName>
    <definedName name="YEE_PVC_DREN_4_6" localSheetId="8">#REF!</definedName>
    <definedName name="YEE_PVC_DREN_4_6">#REF!</definedName>
    <definedName name="YEE_PVC_DREN_4_7" localSheetId="8">#REF!</definedName>
    <definedName name="YEE_PVC_DREN_4_7">#REF!</definedName>
    <definedName name="YEE_PVC_DREN_4_8" localSheetId="8">#REF!</definedName>
    <definedName name="YEE_PVC_DREN_4_8">#REF!</definedName>
    <definedName name="YEE_PVC_DREN_4_9" localSheetId="8">#REF!</definedName>
    <definedName name="YEE_PVC_DREN_4_9">#REF!</definedName>
    <definedName name="YEE_PVC_DREN_4x2" localSheetId="8">#REF!</definedName>
    <definedName name="YEE_PVC_DREN_4x2">#REF!</definedName>
    <definedName name="YEE_PVC_DREN_4x2_10" localSheetId="8">#REF!</definedName>
    <definedName name="YEE_PVC_DREN_4x2_10">#REF!</definedName>
    <definedName name="YEE_PVC_DREN_4x2_11" localSheetId="8">#REF!</definedName>
    <definedName name="YEE_PVC_DREN_4x2_11">#REF!</definedName>
    <definedName name="YEE_PVC_DREN_4x2_6" localSheetId="8">#REF!</definedName>
    <definedName name="YEE_PVC_DREN_4x2_6">#REF!</definedName>
    <definedName name="YEE_PVC_DREN_4x2_7" localSheetId="8">#REF!</definedName>
    <definedName name="YEE_PVC_DREN_4x2_7">#REF!</definedName>
    <definedName name="YEE_PVC_DREN_4x2_8" localSheetId="8">#REF!</definedName>
    <definedName name="YEE_PVC_DREN_4x2_8">#REF!</definedName>
    <definedName name="YEE_PVC_DREN_4x2_9" localSheetId="8">#REF!</definedName>
    <definedName name="YEE_PVC_DREN_4x2_9">#REF!</definedName>
    <definedName name="Z_43BC9397_3E8C_478C_B548_E4A845A7F82B_.wvu.FilterData" localSheetId="1" hidden="1">ACUEDUCTO!$A$12:$F$1110</definedName>
    <definedName name="Z_43BC9397_3E8C_478C_B548_E4A845A7F82B_.wvu.FilterData" localSheetId="8" hidden="1">'lista '!$A$7:$F$149</definedName>
    <definedName name="Z_43BC9397_3E8C_478C_B548_E4A845A7F82B_.wvu.FilterData" localSheetId="6" hidden="1">'Pre Villar Pando Limpio (2)'!$A$11:$F$1003</definedName>
    <definedName name="Z_43BC9397_3E8C_478C_B548_E4A845A7F82B_.wvu.FilterData" localSheetId="7" hidden="1">'Pre Villar Pando Limpio (3)'!$A$11:$F$1026</definedName>
    <definedName name="Z_43BC9397_3E8C_478C_B548_E4A845A7F82B_.wvu.PrintArea" localSheetId="1" hidden="1">ACUEDUCTO!$A$1:$F$1134</definedName>
    <definedName name="Z_43BC9397_3E8C_478C_B548_E4A845A7F82B_.wvu.PrintArea" localSheetId="5" hidden="1">'Especificaciones Técnicas'!$A$1:$G$139</definedName>
    <definedName name="Z_43BC9397_3E8C_478C_B548_E4A845A7F82B_.wvu.PrintArea" localSheetId="8" hidden="1">'lista '!$A$1:$F$196</definedName>
    <definedName name="Z_43BC9397_3E8C_478C_B548_E4A845A7F82B_.wvu.PrintArea" localSheetId="44" hidden="1">'PARA PREGUNTAR'!$A$1:$E$33</definedName>
    <definedName name="Z_43BC9397_3E8C_478C_B548_E4A845A7F82B_.wvu.PrintArea" localSheetId="6" hidden="1">'Pre Villar Pando Limpio (2)'!$A$1:$F$1021</definedName>
    <definedName name="Z_43BC9397_3E8C_478C_B548_E4A845A7F82B_.wvu.PrintArea" localSheetId="7" hidden="1">'Pre Villar Pando Limpio (3)'!$A$1:$F$1044</definedName>
    <definedName name="Z_43BC9397_3E8C_478C_B548_E4A845A7F82B_.wvu.PrintTitles" localSheetId="1" hidden="1">ACUEDUCTO!$2:$12</definedName>
    <definedName name="Z_43BC9397_3E8C_478C_B548_E4A845A7F82B_.wvu.PrintTitles" localSheetId="8" hidden="1">'lista '!$1:$7</definedName>
    <definedName name="Z_43BC9397_3E8C_478C_B548_E4A845A7F82B_.wvu.PrintTitles" localSheetId="6" hidden="1">'Pre Villar Pando Limpio (2)'!$1:$11</definedName>
    <definedName name="Z_43BC9397_3E8C_478C_B548_E4A845A7F82B_.wvu.PrintTitles" localSheetId="7" hidden="1">'Pre Villar Pando Limpio (3)'!$1:$11</definedName>
    <definedName name="Z_43BC9397_3E8C_478C_B548_E4A845A7F82B_.wvu.Rows" localSheetId="17" hidden="1">'Analisis Definitivo'!$199:$208,'Analisis Definitivo'!$255:$260,'Analisis Definitivo'!$286:$288,'Analisis Definitivo'!$302:$318,'Analisis Definitivo'!$344:$345,'Analisis Definitivo'!$372:$402,'Analisis Definitivo'!$1421:$1508</definedName>
    <definedName name="Z_43BC9397_3E8C_478C_B548_E4A845A7F82B_.wvu.Rows" localSheetId="19" hidden="1">'ANALISIS General'!$463:$476</definedName>
    <definedName name="Z_43BC9397_3E8C_478C_B548_E4A845A7F82B_.wvu.Rows" localSheetId="18" hidden="1">'ANALISIS PTAP'!$306:$514,'ANALISIS PTAP'!$772:$785</definedName>
    <definedName name="Z_43BC9397_3E8C_478C_B548_E4A845A7F82B_.wvu.Rows" localSheetId="13" hidden="1">'ANALISIS PTAP VP'!$306:$519,'ANALISIS PTAP VP'!$772:$785</definedName>
    <definedName name="Z_43BC9397_3E8C_478C_B548_E4A845A7F82B_.wvu.Rows" localSheetId="5" hidden="1">'Especificaciones Técnicas'!$51:$54</definedName>
    <definedName name="Zabaleta">[39]Análisis!$N$988</definedName>
    <definedName name="Zap.Edif.Parqueo">[23]Análisis!$D$105</definedName>
    <definedName name="zap.M.ha.40cm.esp">[51]Análisis!$D$192</definedName>
    <definedName name="Zap.mur.H.A.">[49]Análisis!$D$163</definedName>
    <definedName name="zapata">'[4]caseta de planta'!$C:$C</definedName>
    <definedName name="Zapata.Z1s.Z2s">[23]Análisis!$D$120</definedName>
    <definedName name="ZC1_6" localSheetId="8">#REF!</definedName>
    <definedName name="ZC1_6">#REF!</definedName>
    <definedName name="ZE1_6" localSheetId="8">#REF!</definedName>
    <definedName name="ZE1_6">#REF!</definedName>
    <definedName name="ZE2_6" localSheetId="8">#REF!</definedName>
    <definedName name="ZE2_6">#REF!</definedName>
    <definedName name="ZE3_6" localSheetId="8">#REF!</definedName>
    <definedName name="ZE3_6">#REF!</definedName>
    <definedName name="ZE4_6" localSheetId="8">#REF!</definedName>
    <definedName name="ZE4_6">#REF!</definedName>
    <definedName name="ZE5_6" localSheetId="8">#REF!</definedName>
    <definedName name="ZE5_6">#REF!</definedName>
    <definedName name="ZE6_6" localSheetId="8">#REF!</definedName>
    <definedName name="ZE6_6">#REF!</definedName>
    <definedName name="ZINC_CAL26_3x6" localSheetId="8">#REF!</definedName>
    <definedName name="ZINC_CAL26_3x6">#REF!</definedName>
    <definedName name="ZINC_CAL26_3x6_10" localSheetId="8">#REF!</definedName>
    <definedName name="ZINC_CAL26_3x6_10">#REF!</definedName>
    <definedName name="ZINC_CAL26_3x6_11" localSheetId="8">#REF!</definedName>
    <definedName name="ZINC_CAL26_3x6_11">#REF!</definedName>
    <definedName name="ZINC_CAL26_3x6_6" localSheetId="8">#REF!</definedName>
    <definedName name="ZINC_CAL26_3x6_6">#REF!</definedName>
    <definedName name="ZINC_CAL26_3x6_7" localSheetId="8">#REF!</definedName>
    <definedName name="ZINC_CAL26_3x6_7">#REF!</definedName>
    <definedName name="ZINC_CAL26_3x6_8" localSheetId="8">#REF!</definedName>
    <definedName name="ZINC_CAL26_3x6_8">#REF!</definedName>
    <definedName name="ZINC_CAL26_3x6_9" localSheetId="8">#REF!</definedName>
    <definedName name="ZINC_CAL26_3x6_9">#REF!</definedName>
    <definedName name="Zoc.baldosin">[30]Insumos!$E$91</definedName>
    <definedName name="Zócalo.Ceramica">[81]Insumos!$E$80</definedName>
    <definedName name="Zocalo.de.ceramica.A">[23]Análisis!$D$532</definedName>
    <definedName name="Zocalo.de.ceramica.B">[23]Análisis!$D$551</definedName>
    <definedName name="Zocalo.de.ceramica.C">[23]Análisis!$D$570</definedName>
    <definedName name="zocalo.de.mosaico">[49]Análisis!$D$1266</definedName>
    <definedName name="zocalo.porcelanato.40x40">[23]Análisis!$D$501</definedName>
    <definedName name="ZOCALO_8x34" localSheetId="8">#REF!</definedName>
    <definedName name="ZOCALO_8x34">#REF!</definedName>
    <definedName name="ZOCALO_8x34_10" localSheetId="8">#REF!</definedName>
    <definedName name="ZOCALO_8x34_10">#REF!</definedName>
    <definedName name="ZOCALO_8x34_11" localSheetId="8">#REF!</definedName>
    <definedName name="ZOCALO_8x34_11">#REF!</definedName>
    <definedName name="ZOCALO_8x34_6" localSheetId="8">#REF!</definedName>
    <definedName name="ZOCALO_8x34_6">#REF!</definedName>
    <definedName name="ZOCALO_8x34_7" localSheetId="8">#REF!</definedName>
    <definedName name="ZOCALO_8x34_7">#REF!</definedName>
    <definedName name="ZOCALO_8x34_8" localSheetId="8">#REF!</definedName>
    <definedName name="ZOCALO_8x34_8">#REF!</definedName>
    <definedName name="ZOCALO_8x34_9" localSheetId="8">#REF!</definedName>
    <definedName name="ZOCALO_8x34_9">#REF!</definedName>
  </definedNames>
  <calcPr calcId="162913" fullPrecision="0"/>
  <customWorkbookViews>
    <customWorkbookView name="Miguel Carlos Taveras Genao - Vista personalizada" guid="{43BC9397-3E8C-478C-B548-E4A845A7F82B}" mergeInterval="0" personalView="1" maximized="1" xWindow="-8" yWindow="-8" windowWidth="1936" windowHeight="1056" tabRatio="1000"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2" i="52" l="1"/>
  <c r="F153" i="52"/>
  <c r="F151"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41" i="52"/>
  <c r="F42" i="52"/>
  <c r="F43" i="52"/>
  <c r="F44" i="52"/>
  <c r="F45" i="52"/>
  <c r="F30" i="52"/>
  <c r="F13" i="52"/>
  <c r="F83" i="52" l="1"/>
  <c r="G39" i="52"/>
  <c r="A39" i="52"/>
  <c r="A94" i="52"/>
  <c r="A95" i="52" s="1"/>
  <c r="A96" i="52" s="1"/>
  <c r="A97" i="52" s="1"/>
  <c r="G95" i="52"/>
  <c r="G93" i="52"/>
  <c r="A93" i="52"/>
  <c r="G14" i="52" l="1"/>
  <c r="G15" i="52"/>
  <c r="G16" i="52"/>
  <c r="G19" i="52"/>
  <c r="G20" i="52"/>
  <c r="G25" i="52"/>
  <c r="G26" i="52"/>
  <c r="G27" i="52"/>
  <c r="G28" i="52"/>
  <c r="G29" i="52"/>
  <c r="G30" i="52"/>
  <c r="G31" i="52"/>
  <c r="G32" i="52"/>
  <c r="G33" i="52"/>
  <c r="G34" i="52"/>
  <c r="G36" i="52"/>
  <c r="G37" i="52"/>
  <c r="G38"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9" i="52"/>
  <c r="G90" i="52"/>
  <c r="G91" i="52"/>
  <c r="G92" i="52"/>
  <c r="G94"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21" i="52" l="1"/>
  <c r="G17" i="52"/>
  <c r="A38" i="52" l="1"/>
  <c r="F35" i="52" l="1"/>
  <c r="G35" i="52"/>
  <c r="F88" i="52"/>
  <c r="G13" i="52" l="1"/>
  <c r="G23" i="52" l="1"/>
  <c r="G22" i="52"/>
  <c r="G24" i="52"/>
  <c r="F25" i="52"/>
  <c r="F20" i="52"/>
  <c r="F19" i="52"/>
  <c r="F16" i="52"/>
  <c r="F15" i="52"/>
  <c r="F18" i="52" l="1"/>
  <c r="G18" i="52"/>
  <c r="G159" i="52" s="1"/>
  <c r="F21" i="52"/>
  <c r="F22" i="52"/>
  <c r="F14" i="52"/>
  <c r="F17" i="52"/>
  <c r="F24" i="52"/>
  <c r="F23" i="52"/>
  <c r="F29" i="52" l="1"/>
  <c r="F55" i="52" l="1"/>
  <c r="F40" i="52"/>
  <c r="F160" i="52" l="1"/>
  <c r="A138" i="52"/>
  <c r="A139" i="52" s="1"/>
  <c r="A140" i="52" s="1"/>
  <c r="A141" i="52" s="1"/>
  <c r="A142" i="52" s="1"/>
  <c r="F148" i="52"/>
  <c r="A91" i="52"/>
  <c r="F82" i="52"/>
  <c r="F81" i="52"/>
  <c r="F80" i="52"/>
  <c r="F79" i="52"/>
  <c r="F78" i="52"/>
  <c r="F77" i="52"/>
  <c r="F76" i="52"/>
  <c r="F75" i="52"/>
  <c r="F74" i="52"/>
  <c r="F73" i="52"/>
  <c r="F72" i="52"/>
  <c r="F71" i="52"/>
  <c r="F65" i="52"/>
  <c r="A66" i="52"/>
  <c r="A67" i="52" s="1"/>
  <c r="A68" i="52" s="1"/>
  <c r="A69" i="52" s="1"/>
  <c r="A70" i="52" s="1"/>
  <c r="F63" i="52"/>
  <c r="F62" i="52"/>
  <c r="F61" i="52"/>
  <c r="F60" i="52"/>
  <c r="F59" i="52"/>
  <c r="F58" i="52"/>
  <c r="F57" i="52"/>
  <c r="F56" i="52"/>
  <c r="F54" i="52"/>
  <c r="F53" i="52"/>
  <c r="F52" i="52"/>
  <c r="F51" i="52"/>
  <c r="F50" i="52"/>
  <c r="F49" i="52"/>
  <c r="F48" i="52"/>
  <c r="F47" i="52"/>
  <c r="A47" i="52"/>
  <c r="A48" i="52" s="1"/>
  <c r="A49" i="52" s="1"/>
  <c r="A50" i="52" s="1"/>
  <c r="A51" i="52" s="1"/>
  <c r="F37" i="52"/>
  <c r="F36" i="52"/>
  <c r="F34" i="52"/>
  <c r="F33" i="52"/>
  <c r="F32" i="52"/>
  <c r="F28" i="52"/>
  <c r="F27" i="52"/>
  <c r="F155" i="52" l="1"/>
  <c r="A99" i="52"/>
  <c r="A92" i="52"/>
  <c r="A72" i="52"/>
  <c r="A73" i="52" s="1"/>
  <c r="A74" i="52" s="1"/>
  <c r="A75" i="52" s="1"/>
  <c r="A76" i="52" s="1"/>
  <c r="A77" i="52" s="1"/>
  <c r="A78" i="52" s="1"/>
  <c r="A79" i="52" s="1"/>
  <c r="A80" i="52" s="1"/>
  <c r="A81" i="52" s="1"/>
  <c r="A53" i="52"/>
  <c r="A54" i="52" s="1"/>
  <c r="A100" i="52" l="1"/>
  <c r="A101" i="52" s="1"/>
  <c r="A103" i="52"/>
  <c r="A104" i="52" l="1"/>
  <c r="A105" i="52" s="1"/>
  <c r="A107" i="52"/>
  <c r="A127" i="52" l="1"/>
  <c r="A108" i="52"/>
  <c r="A109" i="52" s="1"/>
  <c r="A110" i="52" s="1"/>
  <c r="A111" i="52" s="1"/>
  <c r="A112" i="52" s="1"/>
  <c r="A113" i="52" s="1"/>
  <c r="A114" i="52" s="1"/>
  <c r="A115" i="52" s="1"/>
  <c r="A116" i="52" s="1"/>
  <c r="A128" i="52" l="1"/>
  <c r="A129" i="52" s="1"/>
  <c r="A130" i="52" s="1"/>
  <c r="A131" i="52" s="1"/>
  <c r="A132" i="52" s="1"/>
  <c r="A133" i="52" s="1"/>
  <c r="A134" i="52" s="1"/>
  <c r="A135" i="52" s="1"/>
  <c r="A136" i="52" s="1"/>
  <c r="A144" i="52"/>
  <c r="A145" i="52" l="1"/>
  <c r="A147" i="52"/>
  <c r="F69" i="52" l="1"/>
  <c r="F67" i="52"/>
  <c r="F66" i="52"/>
  <c r="F68" i="52" l="1"/>
  <c r="F70" i="52" l="1"/>
  <c r="F157" i="52" l="1"/>
  <c r="F994" i="49"/>
  <c r="F993" i="49"/>
  <c r="F992" i="49"/>
  <c r="F991" i="49"/>
  <c r="F977" i="49"/>
  <c r="F973" i="49"/>
  <c r="F972" i="49"/>
  <c r="F971" i="49"/>
  <c r="F970" i="49"/>
  <c r="F966" i="49"/>
  <c r="F965" i="49"/>
  <c r="F964" i="49"/>
  <c r="F963" i="49"/>
  <c r="F962" i="49"/>
  <c r="F961" i="49"/>
  <c r="F960" i="49"/>
  <c r="F959" i="49"/>
  <c r="F958" i="49"/>
  <c r="F957" i="49"/>
  <c r="F956" i="49"/>
  <c r="F955" i="49"/>
  <c r="F954" i="49"/>
  <c r="F953" i="49"/>
  <c r="F952" i="49"/>
  <c r="F951" i="49"/>
  <c r="F950" i="49"/>
  <c r="F949" i="49"/>
  <c r="F948" i="49"/>
  <c r="F947" i="49"/>
  <c r="F946" i="49"/>
  <c r="F945" i="49"/>
  <c r="F944" i="49"/>
  <c r="F943" i="49"/>
  <c r="F942" i="49"/>
  <c r="F941" i="49"/>
  <c r="F940" i="49"/>
  <c r="F939" i="49"/>
  <c r="F938" i="49"/>
  <c r="F937" i="49"/>
  <c r="F936" i="49"/>
  <c r="F935" i="49"/>
  <c r="F934" i="49"/>
  <c r="F933" i="49"/>
  <c r="F932" i="49"/>
  <c r="F931" i="49"/>
  <c r="F930" i="49"/>
  <c r="F928" i="49"/>
  <c r="F927" i="49"/>
  <c r="F926" i="49"/>
  <c r="F925" i="49"/>
  <c r="F924" i="49"/>
  <c r="F923" i="49"/>
  <c r="F922" i="49"/>
  <c r="F921" i="49"/>
  <c r="F920" i="49"/>
  <c r="F919" i="49"/>
  <c r="F918" i="49"/>
  <c r="F917" i="49"/>
  <c r="F916" i="49"/>
  <c r="F915" i="49"/>
  <c r="F914" i="49"/>
  <c r="F913" i="49"/>
  <c r="F912" i="49"/>
  <c r="F911" i="49"/>
  <c r="F910" i="49"/>
  <c r="F909" i="49"/>
  <c r="F908" i="49"/>
  <c r="F907" i="49"/>
  <c r="F906" i="49"/>
  <c r="F905" i="49"/>
  <c r="F904" i="49"/>
  <c r="F903" i="49"/>
  <c r="F902" i="49"/>
  <c r="F901" i="49"/>
  <c r="F900" i="49"/>
  <c r="F899" i="49"/>
  <c r="F898" i="49"/>
  <c r="F897" i="49"/>
  <c r="F896" i="49"/>
  <c r="F895" i="49"/>
  <c r="F894" i="49"/>
  <c r="F893" i="49"/>
  <c r="F892" i="49"/>
  <c r="F891" i="49"/>
  <c r="F890" i="49"/>
  <c r="F889" i="49"/>
  <c r="F888" i="49"/>
  <c r="F887" i="49"/>
  <c r="F886" i="49"/>
  <c r="F885" i="49"/>
  <c r="F884" i="49"/>
  <c r="F883" i="49"/>
  <c r="F882" i="49"/>
  <c r="F881" i="49"/>
  <c r="F880" i="49"/>
  <c r="F879" i="49"/>
  <c r="F878" i="49"/>
  <c r="F877" i="49"/>
  <c r="F876" i="49"/>
  <c r="F875" i="49"/>
  <c r="F874" i="49"/>
  <c r="F873" i="49"/>
  <c r="F872" i="49"/>
  <c r="F871" i="49"/>
  <c r="F870" i="49"/>
  <c r="F869" i="49"/>
  <c r="F868" i="49"/>
  <c r="F867" i="49"/>
  <c r="F866" i="49"/>
  <c r="F865" i="49"/>
  <c r="F864" i="49"/>
  <c r="F863" i="49"/>
  <c r="F862" i="49"/>
  <c r="F861" i="49"/>
  <c r="F859" i="49"/>
  <c r="F858" i="49"/>
  <c r="F857" i="49"/>
  <c r="F856" i="49"/>
  <c r="F855" i="49"/>
  <c r="F854" i="49"/>
  <c r="F853" i="49"/>
  <c r="F852" i="49"/>
  <c r="F851" i="49"/>
  <c r="F850" i="49"/>
  <c r="F849" i="49"/>
  <c r="F848" i="49"/>
  <c r="F847" i="49"/>
  <c r="F846" i="49"/>
  <c r="F845" i="49"/>
  <c r="F844" i="49"/>
  <c r="F843" i="49"/>
  <c r="F842" i="49"/>
  <c r="F841" i="49"/>
  <c r="F840" i="49"/>
  <c r="F839" i="49"/>
  <c r="F838" i="49"/>
  <c r="F837" i="49"/>
  <c r="F836" i="49"/>
  <c r="F835" i="49"/>
  <c r="F834" i="49"/>
  <c r="F833" i="49"/>
  <c r="F832" i="49"/>
  <c r="F831" i="49"/>
  <c r="F830" i="49"/>
  <c r="F829" i="49"/>
  <c r="F828" i="49"/>
  <c r="F827" i="49"/>
  <c r="F826" i="49"/>
  <c r="F825" i="49"/>
  <c r="F824" i="49"/>
  <c r="F823" i="49"/>
  <c r="F822" i="49"/>
  <c r="F821" i="49"/>
  <c r="F820" i="49"/>
  <c r="F819" i="49"/>
  <c r="F818" i="49"/>
  <c r="F817" i="49"/>
  <c r="F816" i="49"/>
  <c r="F815" i="49"/>
  <c r="F814" i="49"/>
  <c r="F813" i="49"/>
  <c r="F812" i="49"/>
  <c r="F811" i="49"/>
  <c r="F810" i="49"/>
  <c r="F809" i="49"/>
  <c r="F808" i="49"/>
  <c r="F807" i="49"/>
  <c r="F806" i="49"/>
  <c r="F805" i="49"/>
  <c r="F804" i="49"/>
  <c r="F801" i="49"/>
  <c r="F800" i="49"/>
  <c r="F799" i="49"/>
  <c r="F798" i="49"/>
  <c r="F797" i="49"/>
  <c r="F796" i="49"/>
  <c r="F794" i="49"/>
  <c r="F793" i="49"/>
  <c r="F792" i="49"/>
  <c r="F791" i="49"/>
  <c r="F790" i="49"/>
  <c r="F789" i="49"/>
  <c r="F788" i="49"/>
  <c r="F784" i="49"/>
  <c r="F783" i="49"/>
  <c r="F782" i="49"/>
  <c r="F781" i="49"/>
  <c r="F780" i="49"/>
  <c r="F779" i="49"/>
  <c r="F778" i="49"/>
  <c r="F777" i="49"/>
  <c r="F776" i="49"/>
  <c r="F775" i="49"/>
  <c r="F774" i="49"/>
  <c r="F773" i="49"/>
  <c r="F772" i="49"/>
  <c r="F771" i="49"/>
  <c r="F770" i="49"/>
  <c r="F769" i="49"/>
  <c r="F768" i="49"/>
  <c r="F767" i="49"/>
  <c r="F766" i="49"/>
  <c r="F765" i="49"/>
  <c r="F764" i="49"/>
  <c r="F763" i="49"/>
  <c r="F762" i="49"/>
  <c r="F761" i="49"/>
  <c r="F760" i="49"/>
  <c r="F759" i="49"/>
  <c r="F758" i="49"/>
  <c r="F757" i="49"/>
  <c r="F756" i="49"/>
  <c r="F755" i="49"/>
  <c r="F754" i="49"/>
  <c r="F753" i="49"/>
  <c r="F752" i="49"/>
  <c r="F751" i="49"/>
  <c r="F750" i="49"/>
  <c r="F749" i="49"/>
  <c r="F748" i="49"/>
  <c r="F747" i="49"/>
  <c r="F746" i="49"/>
  <c r="F745" i="49"/>
  <c r="F744" i="49"/>
  <c r="F743" i="49"/>
  <c r="F742" i="49"/>
  <c r="F741" i="49"/>
  <c r="F740" i="49"/>
  <c r="F739" i="49"/>
  <c r="F738" i="49"/>
  <c r="F737" i="49"/>
  <c r="F736" i="49"/>
  <c r="F735" i="49"/>
  <c r="F733" i="49"/>
  <c r="F732" i="49"/>
  <c r="F731" i="49"/>
  <c r="F728" i="49"/>
  <c r="F727" i="49"/>
  <c r="F726" i="49"/>
  <c r="F725" i="49"/>
  <c r="F722" i="49"/>
  <c r="F721" i="49"/>
  <c r="F720" i="49"/>
  <c r="F719" i="49"/>
  <c r="F718" i="49"/>
  <c r="F715" i="49"/>
  <c r="F714" i="49"/>
  <c r="F713" i="49"/>
  <c r="F709" i="49"/>
  <c r="F708" i="49"/>
  <c r="F707" i="49"/>
  <c r="F706" i="49"/>
  <c r="F703" i="49"/>
  <c r="F702" i="49"/>
  <c r="F701" i="49"/>
  <c r="F700" i="49"/>
  <c r="F697" i="49"/>
  <c r="F696" i="49"/>
  <c r="F695" i="49"/>
  <c r="F693" i="49"/>
  <c r="F692" i="49"/>
  <c r="F691" i="49"/>
  <c r="F688" i="49"/>
  <c r="F687" i="49"/>
  <c r="F686" i="49"/>
  <c r="F685" i="49"/>
  <c r="F684" i="49"/>
  <c r="F683" i="49"/>
  <c r="F682" i="49"/>
  <c r="F681" i="49"/>
  <c r="F680" i="49"/>
  <c r="F679" i="49"/>
  <c r="F678" i="49"/>
  <c r="F677" i="49"/>
  <c r="F676" i="49"/>
  <c r="F675" i="49"/>
  <c r="F674" i="49"/>
  <c r="F673" i="49"/>
  <c r="F672" i="49"/>
  <c r="F671" i="49"/>
  <c r="F670" i="49"/>
  <c r="F669" i="49"/>
  <c r="F668" i="49"/>
  <c r="F667" i="49"/>
  <c r="F666" i="49"/>
  <c r="F665" i="49"/>
  <c r="F664" i="49"/>
  <c r="F663" i="49"/>
  <c r="F662" i="49"/>
  <c r="F661" i="49"/>
  <c r="F660" i="49"/>
  <c r="F659" i="49"/>
  <c r="F658" i="49"/>
  <c r="F657" i="49"/>
  <c r="F656" i="49"/>
  <c r="F655" i="49"/>
  <c r="F654" i="49"/>
  <c r="F653" i="49"/>
  <c r="F652" i="49"/>
  <c r="F651" i="49"/>
  <c r="F650" i="49"/>
  <c r="F649" i="49"/>
  <c r="F648" i="49"/>
  <c r="F647" i="49"/>
  <c r="F646" i="49"/>
  <c r="F645" i="49"/>
  <c r="F644" i="49"/>
  <c r="F643" i="49"/>
  <c r="F642" i="49"/>
  <c r="F641" i="49"/>
  <c r="F640" i="49"/>
  <c r="F639" i="49"/>
  <c r="F638" i="49"/>
  <c r="F637" i="49"/>
  <c r="F636" i="49"/>
  <c r="F635" i="49"/>
  <c r="F634" i="49"/>
  <c r="F633" i="49"/>
  <c r="F632" i="49"/>
  <c r="F631" i="49"/>
  <c r="F630" i="49"/>
  <c r="F629" i="49"/>
  <c r="F628" i="49"/>
  <c r="F627" i="49"/>
  <c r="F626" i="49"/>
  <c r="F625" i="49"/>
  <c r="F623" i="49"/>
  <c r="F621" i="49"/>
  <c r="F619" i="49"/>
  <c r="F618" i="49"/>
  <c r="F616" i="49"/>
  <c r="F615" i="49"/>
  <c r="F614" i="49"/>
  <c r="F613" i="49"/>
  <c r="F612" i="49"/>
  <c r="F611" i="49"/>
  <c r="F610" i="49"/>
  <c r="F609" i="49"/>
  <c r="F608" i="49"/>
  <c r="F607" i="49"/>
  <c r="F606" i="49"/>
  <c r="F605" i="49"/>
  <c r="F604" i="49"/>
  <c r="F603" i="49"/>
  <c r="F602" i="49"/>
  <c r="F601" i="49"/>
  <c r="F600" i="49"/>
  <c r="F599" i="49"/>
  <c r="F598" i="49"/>
  <c r="F597" i="49"/>
  <c r="F596" i="49"/>
  <c r="F595" i="49"/>
  <c r="F594" i="49"/>
  <c r="F592" i="49"/>
  <c r="F590" i="49"/>
  <c r="F589" i="49"/>
  <c r="F588" i="49"/>
  <c r="F587" i="49"/>
  <c r="F586" i="49"/>
  <c r="F585" i="49"/>
  <c r="F584" i="49"/>
  <c r="F583" i="49"/>
  <c r="F582" i="49"/>
  <c r="F581" i="49"/>
  <c r="F580" i="49"/>
  <c r="F579" i="49"/>
  <c r="F578" i="49"/>
  <c r="F577" i="49"/>
  <c r="F576" i="49"/>
  <c r="F575" i="49"/>
  <c r="F574" i="49"/>
  <c r="F573" i="49"/>
  <c r="F572" i="49"/>
  <c r="F571" i="49"/>
  <c r="F570" i="49"/>
  <c r="F569" i="49"/>
  <c r="F568" i="49"/>
  <c r="F567" i="49"/>
  <c r="F566" i="49"/>
  <c r="F565" i="49"/>
  <c r="F564" i="49"/>
  <c r="F563" i="49"/>
  <c r="F562" i="49"/>
  <c r="F561" i="49"/>
  <c r="F560" i="49"/>
  <c r="F559" i="49"/>
  <c r="F558" i="49"/>
  <c r="F557" i="49"/>
  <c r="F556" i="49"/>
  <c r="F555" i="49"/>
  <c r="F554" i="49"/>
  <c r="F553" i="49"/>
  <c r="F551" i="49"/>
  <c r="F550" i="49"/>
  <c r="F549" i="49"/>
  <c r="F548" i="49"/>
  <c r="F547" i="49"/>
  <c r="F546" i="49"/>
  <c r="F545" i="49"/>
  <c r="F544" i="49"/>
  <c r="F543" i="49"/>
  <c r="F542" i="49"/>
  <c r="F541" i="49"/>
  <c r="F540" i="49"/>
  <c r="F539" i="49"/>
  <c r="F537" i="49"/>
  <c r="F536" i="49"/>
  <c r="F535" i="49"/>
  <c r="F534" i="49"/>
  <c r="F533" i="49"/>
  <c r="F532" i="49"/>
  <c r="F531" i="49"/>
  <c r="F530" i="49"/>
  <c r="F529" i="49"/>
  <c r="F528" i="49"/>
  <c r="F527" i="49"/>
  <c r="F526" i="49"/>
  <c r="F525" i="49"/>
  <c r="F524" i="49"/>
  <c r="F523" i="49"/>
  <c r="F522" i="49"/>
  <c r="F521" i="49"/>
  <c r="F520" i="49"/>
  <c r="F519" i="49"/>
  <c r="F518" i="49"/>
  <c r="F517" i="49"/>
  <c r="F516" i="49"/>
  <c r="F515" i="49"/>
  <c r="F514" i="49"/>
  <c r="F513" i="49"/>
  <c r="F512" i="49"/>
  <c r="F511" i="49"/>
  <c r="F510" i="49"/>
  <c r="F509" i="49"/>
  <c r="F508" i="49"/>
  <c r="F507" i="49"/>
  <c r="F506" i="49"/>
  <c r="F505" i="49"/>
  <c r="F504" i="49"/>
  <c r="F503" i="49"/>
  <c r="F502" i="49"/>
  <c r="F501" i="49"/>
  <c r="F500" i="49"/>
  <c r="F499" i="49"/>
  <c r="F498" i="49"/>
  <c r="F497" i="49"/>
  <c r="F496" i="49"/>
  <c r="F494" i="49"/>
  <c r="F493" i="49"/>
  <c r="F491" i="49"/>
  <c r="F490" i="49"/>
  <c r="F489" i="49"/>
  <c r="F488" i="49"/>
  <c r="F487" i="49"/>
  <c r="F485" i="49"/>
  <c r="F484" i="49"/>
  <c r="F483" i="49"/>
  <c r="F482" i="49"/>
  <c r="F481" i="49"/>
  <c r="F480" i="49"/>
  <c r="F479" i="49"/>
  <c r="F478" i="49"/>
  <c r="F477" i="49"/>
  <c r="F476" i="49"/>
  <c r="F475" i="49"/>
  <c r="F474" i="49"/>
  <c r="F473" i="49"/>
  <c r="F472" i="49"/>
  <c r="F471" i="49"/>
  <c r="F470" i="49"/>
  <c r="F469" i="49"/>
  <c r="F468" i="49"/>
  <c r="F467" i="49"/>
  <c r="F466" i="49"/>
  <c r="F465" i="49"/>
  <c r="F464" i="49"/>
  <c r="F463" i="49"/>
  <c r="F462" i="49"/>
  <c r="F461" i="49"/>
  <c r="F460" i="49"/>
  <c r="F459" i="49"/>
  <c r="F458" i="49"/>
  <c r="F457" i="49"/>
  <c r="F456" i="49"/>
  <c r="F455" i="49"/>
  <c r="F454" i="49"/>
  <c r="F453" i="49"/>
  <c r="F452" i="49"/>
  <c r="F451" i="49"/>
  <c r="F450" i="49"/>
  <c r="F449" i="49"/>
  <c r="F448" i="49"/>
  <c r="F447" i="49"/>
  <c r="F444" i="49"/>
  <c r="F443" i="49"/>
  <c r="F442" i="49"/>
  <c r="F441" i="49"/>
  <c r="F440" i="49"/>
  <c r="F439" i="49"/>
  <c r="F438" i="49"/>
  <c r="F437" i="49"/>
  <c r="F436" i="49"/>
  <c r="F435"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F410" i="49"/>
  <c r="F409" i="49"/>
  <c r="F408" i="49"/>
  <c r="F407" i="49"/>
  <c r="F406" i="49"/>
  <c r="F405" i="49"/>
  <c r="F404" i="49"/>
  <c r="F403" i="49"/>
  <c r="F402" i="49"/>
  <c r="F401" i="49"/>
  <c r="F400" i="49"/>
  <c r="F399" i="49"/>
  <c r="F398" i="49"/>
  <c r="F397" i="49"/>
  <c r="F396" i="49"/>
  <c r="F395" i="49"/>
  <c r="F394" i="49"/>
  <c r="F393" i="49"/>
  <c r="F392" i="49"/>
  <c r="F391" i="49"/>
  <c r="F390" i="49"/>
  <c r="F388" i="49"/>
  <c r="F387" i="49"/>
  <c r="F386" i="49"/>
  <c r="F385" i="49"/>
  <c r="F384" i="49"/>
  <c r="F383" i="49"/>
  <c r="F382" i="49"/>
  <c r="F381" i="49"/>
  <c r="F380" i="49"/>
  <c r="F379" i="49"/>
  <c r="F378" i="49"/>
  <c r="F377" i="49"/>
  <c r="F376" i="49"/>
  <c r="F375" i="49"/>
  <c r="F372" i="49"/>
  <c r="F371" i="49"/>
  <c r="F370" i="49"/>
  <c r="F369" i="49"/>
  <c r="F366" i="49"/>
  <c r="F364" i="49"/>
  <c r="F363" i="49"/>
  <c r="F362" i="49"/>
  <c r="F361" i="49"/>
  <c r="F360" i="49"/>
  <c r="F359" i="49"/>
  <c r="F358" i="49"/>
  <c r="F357" i="49"/>
  <c r="F356" i="49"/>
  <c r="F355" i="49"/>
  <c r="F354" i="49"/>
  <c r="F353" i="49"/>
  <c r="F352" i="49"/>
  <c r="F351" i="49"/>
  <c r="F350" i="49"/>
  <c r="F349" i="49"/>
  <c r="F348" i="49"/>
  <c r="F347" i="49"/>
  <c r="F346" i="49"/>
  <c r="F345" i="49"/>
  <c r="F344" i="49"/>
  <c r="F343" i="49"/>
  <c r="F342" i="49"/>
  <c r="F341" i="49"/>
  <c r="F340" i="49"/>
  <c r="F339" i="49"/>
  <c r="F338" i="49"/>
  <c r="F337" i="49"/>
  <c r="F336" i="49"/>
  <c r="F335" i="49"/>
  <c r="F334" i="49"/>
  <c r="F333" i="49"/>
  <c r="F332" i="49"/>
  <c r="F331" i="49"/>
  <c r="F330" i="49"/>
  <c r="F329" i="49"/>
  <c r="F328" i="49"/>
  <c r="F327" i="49"/>
  <c r="F326" i="49"/>
  <c r="F325" i="49"/>
  <c r="F324" i="49"/>
  <c r="F323" i="49"/>
  <c r="F322" i="49"/>
  <c r="F321" i="49"/>
  <c r="F320" i="49"/>
  <c r="F319" i="49"/>
  <c r="F318" i="49"/>
  <c r="F317" i="49"/>
  <c r="F316" i="49"/>
  <c r="F314" i="49"/>
  <c r="F313" i="49"/>
  <c r="F312" i="49"/>
  <c r="F311" i="49"/>
  <c r="F310" i="49"/>
  <c r="F309" i="49"/>
  <c r="F308" i="49"/>
  <c r="F307" i="49"/>
  <c r="F306" i="49"/>
  <c r="F305" i="49"/>
  <c r="F304" i="49"/>
  <c r="F303" i="49"/>
  <c r="F302" i="49"/>
  <c r="F301" i="49"/>
  <c r="F300" i="49"/>
  <c r="F299" i="49"/>
  <c r="F298" i="49"/>
  <c r="F297" i="49"/>
  <c r="F296" i="49"/>
  <c r="F295" i="49"/>
  <c r="F294" i="49"/>
  <c r="F292" i="49"/>
  <c r="F291" i="49"/>
  <c r="F290" i="49"/>
  <c r="F289" i="49"/>
  <c r="F288" i="49"/>
  <c r="F287" i="49"/>
  <c r="F286" i="49"/>
  <c r="F285" i="49"/>
  <c r="F284" i="49"/>
  <c r="F283" i="49"/>
  <c r="F282" i="49"/>
  <c r="F281" i="49"/>
  <c r="F280" i="49"/>
  <c r="F279" i="49"/>
  <c r="F278" i="49"/>
  <c r="F277" i="49"/>
  <c r="F276" i="49"/>
  <c r="F275" i="49"/>
  <c r="F274" i="49"/>
  <c r="F273" i="49"/>
  <c r="F272" i="49"/>
  <c r="F271" i="49"/>
  <c r="F270" i="49"/>
  <c r="F269" i="49"/>
  <c r="F268" i="49"/>
  <c r="F267" i="49"/>
  <c r="F266" i="49"/>
  <c r="F265" i="49"/>
  <c r="F264" i="49"/>
  <c r="F263" i="49"/>
  <c r="F262" i="49"/>
  <c r="F261" i="49"/>
  <c r="F260" i="49"/>
  <c r="F259" i="49"/>
  <c r="F258" i="49"/>
  <c r="F257" i="49"/>
  <c r="F256" i="49"/>
  <c r="F255" i="49"/>
  <c r="F254" i="49"/>
  <c r="F253" i="49"/>
  <c r="F251" i="49"/>
  <c r="F250" i="49"/>
  <c r="F249" i="49"/>
  <c r="F248" i="49"/>
  <c r="F247" i="49"/>
  <c r="F246" i="49"/>
  <c r="F245" i="49"/>
  <c r="F244" i="49"/>
  <c r="F243" i="49"/>
  <c r="F242" i="49"/>
  <c r="F241" i="49"/>
  <c r="F240" i="49"/>
  <c r="F239" i="49"/>
  <c r="F238" i="49"/>
  <c r="F237" i="49"/>
  <c r="F236" i="49"/>
  <c r="F235" i="49"/>
  <c r="F234" i="49"/>
  <c r="F233" i="49"/>
  <c r="F232" i="49"/>
  <c r="F231" i="49"/>
  <c r="F230" i="49"/>
  <c r="F229" i="49"/>
  <c r="F228" i="49"/>
  <c r="F227" i="49"/>
  <c r="F226" i="49"/>
  <c r="F225" i="49"/>
  <c r="F224" i="49"/>
  <c r="F223" i="49"/>
  <c r="F222" i="49"/>
  <c r="F221" i="49"/>
  <c r="F220" i="49"/>
  <c r="F219" i="49"/>
  <c r="F218" i="49"/>
  <c r="F217" i="49"/>
  <c r="F216" i="49"/>
  <c r="F214" i="49"/>
  <c r="F213" i="49"/>
  <c r="F212" i="49"/>
  <c r="F211" i="49"/>
  <c r="F210" i="49"/>
  <c r="F209" i="49"/>
  <c r="F208" i="49"/>
  <c r="F207" i="49"/>
  <c r="F206" i="49"/>
  <c r="F205" i="49"/>
  <c r="F204" i="49"/>
  <c r="F203" i="49"/>
  <c r="F202" i="49"/>
  <c r="F201" i="49"/>
  <c r="F200" i="49"/>
  <c r="F199" i="49"/>
  <c r="F198" i="49"/>
  <c r="F197" i="49"/>
  <c r="F196" i="49"/>
  <c r="F195" i="49"/>
  <c r="F194" i="49"/>
  <c r="F193" i="49"/>
  <c r="F192" i="49"/>
  <c r="F191" i="49"/>
  <c r="F190" i="49"/>
  <c r="F189" i="49"/>
  <c r="F188" i="49"/>
  <c r="F187" i="49"/>
  <c r="F185" i="49"/>
  <c r="F184" i="49"/>
  <c r="F183" i="49"/>
  <c r="F182" i="49"/>
  <c r="F181" i="49"/>
  <c r="F179" i="49"/>
  <c r="F178" i="49"/>
  <c r="F177" i="49"/>
  <c r="F176" i="49"/>
  <c r="F175" i="49"/>
  <c r="F174" i="49"/>
  <c r="F173" i="49"/>
  <c r="F172" i="49"/>
  <c r="F171" i="49"/>
  <c r="F170" i="49"/>
  <c r="F169" i="49"/>
  <c r="F168" i="49"/>
  <c r="F167" i="49"/>
  <c r="F166" i="49"/>
  <c r="F165" i="49"/>
  <c r="F164" i="49"/>
  <c r="F163" i="49"/>
  <c r="F162" i="49"/>
  <c r="F161" i="49"/>
  <c r="F159" i="49"/>
  <c r="F158" i="49"/>
  <c r="F157" i="49"/>
  <c r="F156" i="49"/>
  <c r="F155" i="49"/>
  <c r="F154" i="49"/>
  <c r="F153" i="49"/>
  <c r="F152" i="49"/>
  <c r="F151" i="49"/>
  <c r="F150" i="49"/>
  <c r="F149" i="49"/>
  <c r="F148" i="49"/>
  <c r="F147" i="49"/>
  <c r="F146" i="49"/>
  <c r="F145" i="49"/>
  <c r="F144" i="49"/>
  <c r="F143" i="49"/>
  <c r="F142" i="49"/>
  <c r="F141" i="49"/>
  <c r="F140" i="49"/>
  <c r="F138" i="49"/>
  <c r="F137" i="49"/>
  <c r="F136" i="49"/>
  <c r="F135" i="49"/>
  <c r="F134" i="49"/>
  <c r="F133" i="49"/>
  <c r="F132" i="49"/>
  <c r="F131" i="49"/>
  <c r="F130" i="49"/>
  <c r="F129" i="49"/>
  <c r="F128" i="49"/>
  <c r="F127" i="49"/>
  <c r="F126" i="49"/>
  <c r="F125" i="49"/>
  <c r="F123" i="49"/>
  <c r="F121" i="49"/>
  <c r="F119" i="49"/>
  <c r="F118" i="49"/>
  <c r="F117" i="49"/>
  <c r="F116" i="49"/>
  <c r="F115" i="49"/>
  <c r="F114" i="49"/>
  <c r="F113" i="49"/>
  <c r="F112" i="49"/>
  <c r="F111" i="49"/>
  <c r="F110" i="49"/>
  <c r="F109" i="49"/>
  <c r="F107" i="49"/>
  <c r="F105" i="49"/>
  <c r="F104" i="49"/>
  <c r="F103" i="49"/>
  <c r="F102" i="49"/>
  <c r="F101" i="49"/>
  <c r="F100" i="49"/>
  <c r="F99" i="49"/>
  <c r="F98" i="49"/>
  <c r="F97" i="49"/>
  <c r="F96" i="49"/>
  <c r="F95" i="49"/>
  <c r="F94" i="49"/>
  <c r="F93" i="49"/>
  <c r="F92" i="49"/>
  <c r="F91" i="49"/>
  <c r="F90" i="49"/>
  <c r="F89" i="49"/>
  <c r="F88" i="49"/>
  <c r="F87" i="49"/>
  <c r="F86" i="49"/>
  <c r="F85" i="49"/>
  <c r="F84" i="49"/>
  <c r="F83" i="49"/>
  <c r="F82" i="49"/>
  <c r="F81" i="49"/>
  <c r="F80" i="49"/>
  <c r="F79" i="49"/>
  <c r="F78" i="49"/>
  <c r="F77" i="49"/>
  <c r="F76" i="49"/>
  <c r="F75" i="49"/>
  <c r="F74" i="49"/>
  <c r="F73" i="49"/>
  <c r="F72" i="49"/>
  <c r="F71" i="49"/>
  <c r="F70" i="49"/>
  <c r="F69" i="49"/>
  <c r="F68" i="49"/>
  <c r="F67" i="49"/>
  <c r="F66" i="49"/>
  <c r="F65" i="49"/>
  <c r="F64" i="49"/>
  <c r="F63" i="49"/>
  <c r="F62" i="49"/>
  <c r="F61" i="49"/>
  <c r="F60" i="49"/>
  <c r="F59" i="49"/>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6" i="49"/>
  <c r="F171" i="52" l="1"/>
  <c r="F170" i="52"/>
  <c r="F169" i="52"/>
  <c r="F167" i="52"/>
  <c r="F166" i="52"/>
  <c r="F165" i="52"/>
  <c r="F164" i="52"/>
  <c r="F163" i="52"/>
  <c r="F162" i="52"/>
  <c r="F159" i="52"/>
  <c r="F974" i="49"/>
  <c r="F367" i="49"/>
  <c r="F689" i="49"/>
  <c r="F860" i="49"/>
  <c r="F729" i="49"/>
  <c r="F967" i="49"/>
  <c r="F492" i="49"/>
  <c r="F929" i="49"/>
  <c r="F180" i="49"/>
  <c r="F445" i="49"/>
  <c r="F624" i="49"/>
  <c r="F803" i="49"/>
  <c r="F785" i="49"/>
  <c r="F925" i="48"/>
  <c r="F926" i="48"/>
  <c r="F927" i="48"/>
  <c r="F168" i="52" l="1"/>
  <c r="F172" i="52" s="1"/>
  <c r="F174" i="52" s="1"/>
  <c r="F976" i="49"/>
  <c r="F989" i="49" s="1"/>
  <c r="F986" i="49"/>
  <c r="F990" i="49"/>
  <c r="F982" i="49"/>
  <c r="F994" i="48"/>
  <c r="F993" i="48"/>
  <c r="F992" i="48"/>
  <c r="F991" i="48"/>
  <c r="F977" i="48"/>
  <c r="F973" i="48"/>
  <c r="F972" i="48"/>
  <c r="F971" i="48"/>
  <c r="F970" i="48"/>
  <c r="F966" i="48"/>
  <c r="F965" i="48"/>
  <c r="F964" i="48"/>
  <c r="F963" i="48"/>
  <c r="F962" i="48"/>
  <c r="F961" i="48"/>
  <c r="F960" i="48"/>
  <c r="F959" i="48"/>
  <c r="F958" i="48"/>
  <c r="F957" i="48"/>
  <c r="F956" i="48"/>
  <c r="F955" i="48"/>
  <c r="F954" i="48"/>
  <c r="F953" i="48"/>
  <c r="F952" i="48"/>
  <c r="F951" i="48"/>
  <c r="F950" i="48"/>
  <c r="F949" i="48"/>
  <c r="F948" i="48"/>
  <c r="F947" i="48"/>
  <c r="F946" i="48"/>
  <c r="F945" i="48"/>
  <c r="F944" i="48"/>
  <c r="F943" i="48"/>
  <c r="F942" i="48"/>
  <c r="F941" i="48"/>
  <c r="F940" i="48"/>
  <c r="F939" i="48"/>
  <c r="F938" i="48"/>
  <c r="F937" i="48"/>
  <c r="F936" i="48"/>
  <c r="F935" i="48"/>
  <c r="F934" i="48"/>
  <c r="F933" i="48"/>
  <c r="F932" i="48"/>
  <c r="F931" i="48"/>
  <c r="F930" i="48"/>
  <c r="F928" i="48"/>
  <c r="F924" i="48"/>
  <c r="F923" i="48"/>
  <c r="F922" i="48"/>
  <c r="F921" i="48"/>
  <c r="F920" i="48"/>
  <c r="F919" i="48"/>
  <c r="F918" i="48"/>
  <c r="F917" i="48"/>
  <c r="F916" i="48"/>
  <c r="F915" i="48"/>
  <c r="F914" i="48"/>
  <c r="F913" i="48"/>
  <c r="F912" i="48"/>
  <c r="F911" i="48"/>
  <c r="F910" i="48"/>
  <c r="F909" i="48"/>
  <c r="F908" i="48"/>
  <c r="F907" i="48"/>
  <c r="F906" i="48"/>
  <c r="F905" i="48"/>
  <c r="F904" i="48"/>
  <c r="F903" i="48"/>
  <c r="F902" i="48"/>
  <c r="F901" i="48"/>
  <c r="F900" i="48"/>
  <c r="F899" i="48"/>
  <c r="F898" i="48"/>
  <c r="F897" i="48"/>
  <c r="F896" i="48"/>
  <c r="F895" i="48"/>
  <c r="F894" i="48"/>
  <c r="F893" i="48"/>
  <c r="F892" i="48"/>
  <c r="F891" i="48"/>
  <c r="F890" i="48"/>
  <c r="F889" i="48"/>
  <c r="F888" i="48"/>
  <c r="F887" i="48"/>
  <c r="F886" i="48"/>
  <c r="F885" i="48"/>
  <c r="F884" i="48"/>
  <c r="F883" i="48"/>
  <c r="F882" i="48"/>
  <c r="F881" i="48"/>
  <c r="F880" i="48"/>
  <c r="F879" i="48"/>
  <c r="F878" i="48"/>
  <c r="F877" i="48"/>
  <c r="F876" i="48"/>
  <c r="F875" i="48"/>
  <c r="F874" i="48"/>
  <c r="F873" i="48"/>
  <c r="F872" i="48"/>
  <c r="F871" i="48"/>
  <c r="F870" i="48"/>
  <c r="F869" i="48"/>
  <c r="F868" i="48"/>
  <c r="F867" i="48"/>
  <c r="F866" i="48"/>
  <c r="F865" i="48"/>
  <c r="F864" i="48"/>
  <c r="F863" i="48"/>
  <c r="F862" i="48"/>
  <c r="F861" i="48"/>
  <c r="F859" i="48"/>
  <c r="F858" i="48"/>
  <c r="F857" i="48"/>
  <c r="F856" i="48"/>
  <c r="F855" i="48"/>
  <c r="F854" i="48"/>
  <c r="F853" i="48"/>
  <c r="F852" i="48"/>
  <c r="F851" i="48"/>
  <c r="F850" i="48"/>
  <c r="F849" i="48"/>
  <c r="F848" i="48"/>
  <c r="F847" i="48"/>
  <c r="F846" i="48"/>
  <c r="F845" i="48"/>
  <c r="F844" i="48"/>
  <c r="F843" i="48"/>
  <c r="F842" i="48"/>
  <c r="F841" i="48"/>
  <c r="F840" i="48"/>
  <c r="F839" i="48"/>
  <c r="F838" i="48"/>
  <c r="F837" i="48"/>
  <c r="F836" i="48"/>
  <c r="F835" i="48"/>
  <c r="F834" i="48"/>
  <c r="F833" i="48"/>
  <c r="F832" i="48"/>
  <c r="F831" i="48"/>
  <c r="F830" i="48"/>
  <c r="F829" i="48"/>
  <c r="F828" i="48"/>
  <c r="F827" i="48"/>
  <c r="F826" i="48"/>
  <c r="F825" i="48"/>
  <c r="F824" i="48"/>
  <c r="F823" i="48"/>
  <c r="F822" i="48"/>
  <c r="F821" i="48"/>
  <c r="F820" i="48"/>
  <c r="F819" i="48"/>
  <c r="F818" i="48"/>
  <c r="F817" i="48"/>
  <c r="F816" i="48"/>
  <c r="F815" i="48"/>
  <c r="F814" i="48"/>
  <c r="F813" i="48"/>
  <c r="F812" i="48"/>
  <c r="F811" i="48"/>
  <c r="F810" i="48"/>
  <c r="F809" i="48"/>
  <c r="F808" i="48"/>
  <c r="F807" i="48"/>
  <c r="F806" i="48"/>
  <c r="F805" i="48"/>
  <c r="F804" i="48"/>
  <c r="F801" i="48"/>
  <c r="F800" i="48"/>
  <c r="F799" i="48"/>
  <c r="F798" i="48"/>
  <c r="F797" i="48"/>
  <c r="F796" i="48"/>
  <c r="F794" i="48"/>
  <c r="F793" i="48"/>
  <c r="F792" i="48"/>
  <c r="F791" i="48"/>
  <c r="F790" i="48"/>
  <c r="F789" i="48"/>
  <c r="F788" i="48"/>
  <c r="F784" i="48"/>
  <c r="F783" i="48"/>
  <c r="F782" i="48"/>
  <c r="F781" i="48"/>
  <c r="F780" i="48"/>
  <c r="F779" i="48"/>
  <c r="F778" i="48"/>
  <c r="F777" i="48"/>
  <c r="F776" i="48"/>
  <c r="F775" i="48"/>
  <c r="F774" i="48"/>
  <c r="F773" i="48"/>
  <c r="F772" i="48"/>
  <c r="F771" i="48"/>
  <c r="F770" i="48"/>
  <c r="F769" i="48"/>
  <c r="F768" i="48"/>
  <c r="F767" i="48"/>
  <c r="F766" i="48"/>
  <c r="F765" i="48"/>
  <c r="F764" i="48"/>
  <c r="F763" i="48"/>
  <c r="F762" i="48"/>
  <c r="F761" i="48"/>
  <c r="F760" i="48"/>
  <c r="F759" i="48"/>
  <c r="F758" i="48"/>
  <c r="F757" i="48"/>
  <c r="F756" i="48"/>
  <c r="F755" i="48"/>
  <c r="F754" i="48"/>
  <c r="F753" i="48"/>
  <c r="F752" i="48"/>
  <c r="F751" i="48"/>
  <c r="F750" i="48"/>
  <c r="F749" i="48"/>
  <c r="F748" i="48"/>
  <c r="F747" i="48"/>
  <c r="F746" i="48"/>
  <c r="F745" i="48"/>
  <c r="F744" i="48"/>
  <c r="F743" i="48"/>
  <c r="F742" i="48"/>
  <c r="F741" i="48"/>
  <c r="F740" i="48"/>
  <c r="F739" i="48"/>
  <c r="F738" i="48"/>
  <c r="F737" i="48"/>
  <c r="F736" i="48"/>
  <c r="F735" i="48"/>
  <c r="F733" i="48"/>
  <c r="F732" i="48"/>
  <c r="F731" i="48"/>
  <c r="F728" i="48"/>
  <c r="F727" i="48"/>
  <c r="F726" i="48"/>
  <c r="F725" i="48"/>
  <c r="F722" i="48"/>
  <c r="F721" i="48"/>
  <c r="F720" i="48"/>
  <c r="F719" i="48"/>
  <c r="F718" i="48"/>
  <c r="F715" i="48"/>
  <c r="F714" i="48"/>
  <c r="F713" i="48"/>
  <c r="F709" i="48"/>
  <c r="F708" i="48"/>
  <c r="F707" i="48"/>
  <c r="F706" i="48"/>
  <c r="F703" i="48"/>
  <c r="F702" i="48"/>
  <c r="F701" i="48"/>
  <c r="F700" i="48"/>
  <c r="F697" i="48"/>
  <c r="F696" i="48"/>
  <c r="F695" i="48"/>
  <c r="F693" i="48"/>
  <c r="F692" i="48"/>
  <c r="F691" i="48"/>
  <c r="F688" i="48"/>
  <c r="F687" i="48"/>
  <c r="F686" i="48"/>
  <c r="F685" i="48"/>
  <c r="F684" i="48"/>
  <c r="F683" i="48"/>
  <c r="F682" i="48"/>
  <c r="F681" i="48"/>
  <c r="F680" i="48"/>
  <c r="F679" i="48"/>
  <c r="F678" i="48"/>
  <c r="F677" i="48"/>
  <c r="F676" i="48"/>
  <c r="F675" i="48"/>
  <c r="F674" i="48"/>
  <c r="F673" i="48"/>
  <c r="F672" i="48"/>
  <c r="F671" i="48"/>
  <c r="F670" i="48"/>
  <c r="F669" i="48"/>
  <c r="F668" i="48"/>
  <c r="F667" i="48"/>
  <c r="F666" i="48"/>
  <c r="F665" i="48"/>
  <c r="F664" i="48"/>
  <c r="F663" i="48"/>
  <c r="F662" i="48"/>
  <c r="F661" i="48"/>
  <c r="F660" i="48"/>
  <c r="F659" i="48"/>
  <c r="F658" i="48"/>
  <c r="F657" i="48"/>
  <c r="F656" i="48"/>
  <c r="F655" i="48"/>
  <c r="F654" i="48"/>
  <c r="F653" i="48"/>
  <c r="F652" i="48"/>
  <c r="F651" i="48"/>
  <c r="F650" i="48"/>
  <c r="F649" i="48"/>
  <c r="F648" i="48"/>
  <c r="F647" i="48"/>
  <c r="F646" i="48"/>
  <c r="F645" i="48"/>
  <c r="F644" i="48"/>
  <c r="F643" i="48"/>
  <c r="F642" i="48"/>
  <c r="F641" i="48"/>
  <c r="F640" i="48"/>
  <c r="F639" i="48"/>
  <c r="F638" i="48"/>
  <c r="F637" i="48"/>
  <c r="F636" i="48"/>
  <c r="F635" i="48"/>
  <c r="F634" i="48"/>
  <c r="F633" i="48"/>
  <c r="F632" i="48"/>
  <c r="F631" i="48"/>
  <c r="F630" i="48"/>
  <c r="F629" i="48"/>
  <c r="F628" i="48"/>
  <c r="F627" i="48"/>
  <c r="F626" i="48"/>
  <c r="F625" i="48"/>
  <c r="F623" i="48"/>
  <c r="F621" i="48"/>
  <c r="F619" i="48"/>
  <c r="F618" i="48"/>
  <c r="F616" i="48"/>
  <c r="F615" i="48"/>
  <c r="F614" i="48"/>
  <c r="F613" i="48"/>
  <c r="F612" i="48"/>
  <c r="F611" i="48"/>
  <c r="F610" i="48"/>
  <c r="F609" i="48"/>
  <c r="F608" i="48"/>
  <c r="F607" i="48"/>
  <c r="F606" i="48"/>
  <c r="F605" i="48"/>
  <c r="F604" i="48"/>
  <c r="F603" i="48"/>
  <c r="F602" i="48"/>
  <c r="F601" i="48"/>
  <c r="F600" i="48"/>
  <c r="F599" i="48"/>
  <c r="F598" i="48"/>
  <c r="F597" i="48"/>
  <c r="F596" i="48"/>
  <c r="F595" i="48"/>
  <c r="F594" i="48"/>
  <c r="F592" i="48"/>
  <c r="F590" i="48"/>
  <c r="F589" i="48"/>
  <c r="F588" i="48"/>
  <c r="F587" i="48"/>
  <c r="F586" i="48"/>
  <c r="F585" i="48"/>
  <c r="F584" i="48"/>
  <c r="F583" i="48"/>
  <c r="F582" i="48"/>
  <c r="F581" i="48"/>
  <c r="F580" i="48"/>
  <c r="F579" i="48"/>
  <c r="F578" i="48"/>
  <c r="F577" i="48"/>
  <c r="F576" i="48"/>
  <c r="F575" i="48"/>
  <c r="F574" i="48"/>
  <c r="F573" i="48"/>
  <c r="F572" i="48"/>
  <c r="F571" i="48"/>
  <c r="F570" i="48"/>
  <c r="F569" i="48"/>
  <c r="F568" i="48"/>
  <c r="F567" i="48"/>
  <c r="F566" i="48"/>
  <c r="F565" i="48"/>
  <c r="F564" i="48"/>
  <c r="F563" i="48"/>
  <c r="F562" i="48"/>
  <c r="F561" i="48"/>
  <c r="F560" i="48"/>
  <c r="F559" i="48"/>
  <c r="F558" i="48"/>
  <c r="F557" i="48"/>
  <c r="F556" i="48"/>
  <c r="F555" i="48"/>
  <c r="F554" i="48"/>
  <c r="F553" i="48"/>
  <c r="F551" i="48"/>
  <c r="F550" i="48"/>
  <c r="F549" i="48"/>
  <c r="F548" i="48"/>
  <c r="F547" i="48"/>
  <c r="F546" i="48"/>
  <c r="F545" i="48"/>
  <c r="F544" i="48"/>
  <c r="F543" i="48"/>
  <c r="F542" i="48"/>
  <c r="F541" i="48"/>
  <c r="F540" i="48"/>
  <c r="F539" i="48"/>
  <c r="F537" i="48"/>
  <c r="F536" i="48"/>
  <c r="F535" i="48"/>
  <c r="F534" i="48"/>
  <c r="F533" i="48"/>
  <c r="F532" i="48"/>
  <c r="F531" i="48"/>
  <c r="F530" i="48"/>
  <c r="F529" i="48"/>
  <c r="F528" i="48"/>
  <c r="F527" i="48"/>
  <c r="F526" i="48"/>
  <c r="F525" i="48"/>
  <c r="F524" i="48"/>
  <c r="F523" i="48"/>
  <c r="F522" i="48"/>
  <c r="F521" i="48"/>
  <c r="F520" i="48"/>
  <c r="F519" i="48"/>
  <c r="F518" i="48"/>
  <c r="F517" i="48"/>
  <c r="F516" i="48"/>
  <c r="F515" i="48"/>
  <c r="F514" i="48"/>
  <c r="F513" i="48"/>
  <c r="F512" i="48"/>
  <c r="F511" i="48"/>
  <c r="F510" i="48"/>
  <c r="F509" i="48"/>
  <c r="F508" i="48"/>
  <c r="F507" i="48"/>
  <c r="F506" i="48"/>
  <c r="F505" i="48"/>
  <c r="F504" i="48"/>
  <c r="F503" i="48"/>
  <c r="F502" i="48"/>
  <c r="F501" i="48"/>
  <c r="F500" i="48"/>
  <c r="F499" i="48"/>
  <c r="F498" i="48"/>
  <c r="F497" i="48"/>
  <c r="F496" i="48"/>
  <c r="F494" i="48"/>
  <c r="F493" i="48"/>
  <c r="F491" i="48"/>
  <c r="F490" i="48"/>
  <c r="F489" i="48"/>
  <c r="F488" i="48"/>
  <c r="F487" i="48"/>
  <c r="F485" i="48"/>
  <c r="F484" i="48"/>
  <c r="F483" i="48"/>
  <c r="F482" i="48"/>
  <c r="F481" i="48"/>
  <c r="F480" i="48"/>
  <c r="F479" i="48"/>
  <c r="F478" i="48"/>
  <c r="F477" i="48"/>
  <c r="F476" i="48"/>
  <c r="F475" i="48"/>
  <c r="F474" i="48"/>
  <c r="F473" i="48"/>
  <c r="F472" i="48"/>
  <c r="F471" i="48"/>
  <c r="F470" i="48"/>
  <c r="F469" i="48"/>
  <c r="F468" i="48"/>
  <c r="F467" i="48"/>
  <c r="F466" i="48"/>
  <c r="F465" i="48"/>
  <c r="F464" i="48"/>
  <c r="F463" i="48"/>
  <c r="F462" i="48"/>
  <c r="F461" i="48"/>
  <c r="F460" i="48"/>
  <c r="F459" i="48"/>
  <c r="F458" i="48"/>
  <c r="F457" i="48"/>
  <c r="F456" i="48"/>
  <c r="F455" i="48"/>
  <c r="F454" i="48"/>
  <c r="F453" i="48"/>
  <c r="F452" i="48"/>
  <c r="F451" i="48"/>
  <c r="F450" i="48"/>
  <c r="F449" i="48"/>
  <c r="F448" i="48"/>
  <c r="F447" i="48"/>
  <c r="F444" i="48"/>
  <c r="F443" i="48"/>
  <c r="F442" i="48"/>
  <c r="F441" i="48"/>
  <c r="F440" i="48"/>
  <c r="F439" i="48"/>
  <c r="F438" i="48"/>
  <c r="F437" i="48"/>
  <c r="F436" i="48"/>
  <c r="F435" i="48"/>
  <c r="F434" i="48"/>
  <c r="F433" i="48"/>
  <c r="F432" i="48"/>
  <c r="F431" i="48"/>
  <c r="F430" i="48"/>
  <c r="F429" i="48"/>
  <c r="F428" i="48"/>
  <c r="F427" i="48"/>
  <c r="F426" i="48"/>
  <c r="F425" i="48"/>
  <c r="F424" i="48"/>
  <c r="F423" i="48"/>
  <c r="F422" i="48"/>
  <c r="F421" i="48"/>
  <c r="F420" i="48"/>
  <c r="F419" i="48"/>
  <c r="F418" i="48"/>
  <c r="F417" i="48"/>
  <c r="F416" i="48"/>
  <c r="F415" i="48"/>
  <c r="F414" i="48"/>
  <c r="F413" i="48"/>
  <c r="F412" i="48"/>
  <c r="F411" i="48"/>
  <c r="F410" i="48"/>
  <c r="F409" i="48"/>
  <c r="F408" i="48"/>
  <c r="F407" i="48"/>
  <c r="F406" i="48"/>
  <c r="F405" i="48"/>
  <c r="F404" i="48"/>
  <c r="F403" i="48"/>
  <c r="F402" i="48"/>
  <c r="F401" i="48"/>
  <c r="F400" i="48"/>
  <c r="F399" i="48"/>
  <c r="F398" i="48"/>
  <c r="F397" i="48"/>
  <c r="F396" i="48"/>
  <c r="F395" i="48"/>
  <c r="F394" i="48"/>
  <c r="F393" i="48"/>
  <c r="F392" i="48"/>
  <c r="F391" i="48"/>
  <c r="F390" i="48"/>
  <c r="F388" i="48"/>
  <c r="F387" i="48"/>
  <c r="F386" i="48"/>
  <c r="F385" i="48"/>
  <c r="F384" i="48"/>
  <c r="F383" i="48"/>
  <c r="F382" i="48"/>
  <c r="F381" i="48"/>
  <c r="F380" i="48"/>
  <c r="F379" i="48"/>
  <c r="F378" i="48"/>
  <c r="F377" i="48"/>
  <c r="F376" i="48"/>
  <c r="F375" i="48"/>
  <c r="F372" i="48"/>
  <c r="F371" i="48"/>
  <c r="F370" i="48"/>
  <c r="F369" i="48"/>
  <c r="F366" i="48"/>
  <c r="F364" i="48"/>
  <c r="F363" i="48"/>
  <c r="F362" i="48"/>
  <c r="F361" i="48"/>
  <c r="F360" i="48"/>
  <c r="F359" i="48"/>
  <c r="F358" i="48"/>
  <c r="F357" i="48"/>
  <c r="F356" i="48"/>
  <c r="F355" i="48"/>
  <c r="F354" i="48"/>
  <c r="F353" i="48"/>
  <c r="F352" i="48"/>
  <c r="F351" i="48"/>
  <c r="F350" i="48"/>
  <c r="F349" i="48"/>
  <c r="F348" i="48"/>
  <c r="F347" i="48"/>
  <c r="F346" i="48"/>
  <c r="F345" i="48"/>
  <c r="F344" i="48"/>
  <c r="F343" i="48"/>
  <c r="F342" i="48"/>
  <c r="F341" i="48"/>
  <c r="F340" i="48"/>
  <c r="F339" i="48"/>
  <c r="F338" i="48"/>
  <c r="F337" i="48"/>
  <c r="F336" i="48"/>
  <c r="F335" i="48"/>
  <c r="F334" i="48"/>
  <c r="F333" i="48"/>
  <c r="F332" i="48"/>
  <c r="F331" i="48"/>
  <c r="F330" i="48"/>
  <c r="F329" i="48"/>
  <c r="F328" i="48"/>
  <c r="F327" i="48"/>
  <c r="F326" i="48"/>
  <c r="F325" i="48"/>
  <c r="F324" i="48"/>
  <c r="F323" i="48"/>
  <c r="F322" i="48"/>
  <c r="F321" i="48"/>
  <c r="F320" i="48"/>
  <c r="F319" i="48"/>
  <c r="F318" i="48"/>
  <c r="F317" i="48"/>
  <c r="F316" i="48"/>
  <c r="F314" i="48"/>
  <c r="F313" i="48"/>
  <c r="F312" i="48"/>
  <c r="F311" i="48"/>
  <c r="F310" i="48"/>
  <c r="F309" i="48"/>
  <c r="F308" i="48"/>
  <c r="F307" i="48"/>
  <c r="F306" i="48"/>
  <c r="F305" i="48"/>
  <c r="F304" i="48"/>
  <c r="F303" i="48"/>
  <c r="F302" i="48"/>
  <c r="F301" i="48"/>
  <c r="F300" i="48"/>
  <c r="F299" i="48"/>
  <c r="F298" i="48"/>
  <c r="F297" i="48"/>
  <c r="F296" i="48"/>
  <c r="F295" i="48"/>
  <c r="F294" i="48"/>
  <c r="F292" i="48"/>
  <c r="F291" i="48"/>
  <c r="F290" i="48"/>
  <c r="F289" i="48"/>
  <c r="F288" i="48"/>
  <c r="F287" i="48"/>
  <c r="F286" i="48"/>
  <c r="F285" i="48"/>
  <c r="F284" i="48"/>
  <c r="F283" i="48"/>
  <c r="F282" i="48"/>
  <c r="F281" i="48"/>
  <c r="F280" i="48"/>
  <c r="F279" i="48"/>
  <c r="F278" i="48"/>
  <c r="F277" i="48"/>
  <c r="F276" i="48"/>
  <c r="F275" i="48"/>
  <c r="F274" i="48"/>
  <c r="F273" i="48"/>
  <c r="F272" i="48"/>
  <c r="F271" i="48"/>
  <c r="F270" i="48"/>
  <c r="F269" i="48"/>
  <c r="F268" i="48"/>
  <c r="F267" i="48"/>
  <c r="F266" i="48"/>
  <c r="F265" i="48"/>
  <c r="F264" i="48"/>
  <c r="F263" i="48"/>
  <c r="F262" i="48"/>
  <c r="F261" i="48"/>
  <c r="F260" i="48"/>
  <c r="F259" i="48"/>
  <c r="F258" i="48"/>
  <c r="F257" i="48"/>
  <c r="F256" i="48"/>
  <c r="F255" i="48"/>
  <c r="F254" i="48"/>
  <c r="F253"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5" i="48"/>
  <c r="F184" i="48"/>
  <c r="F183" i="48"/>
  <c r="F182" i="48"/>
  <c r="F181" i="48"/>
  <c r="F179" i="48"/>
  <c r="F178" i="48"/>
  <c r="F177" i="48"/>
  <c r="F176" i="48"/>
  <c r="F175" i="48"/>
  <c r="F174" i="48"/>
  <c r="F173" i="48"/>
  <c r="F172" i="48"/>
  <c r="F171" i="48"/>
  <c r="F170" i="48"/>
  <c r="F169" i="48"/>
  <c r="F168" i="48"/>
  <c r="F167" i="48"/>
  <c r="F166" i="48"/>
  <c r="F165" i="48"/>
  <c r="F164" i="48"/>
  <c r="F163" i="48"/>
  <c r="F162" i="48"/>
  <c r="F161" i="48"/>
  <c r="F159" i="48"/>
  <c r="F158" i="48"/>
  <c r="F157" i="48"/>
  <c r="F156" i="48"/>
  <c r="F155" i="48"/>
  <c r="F154" i="48"/>
  <c r="F153" i="48"/>
  <c r="F152" i="48"/>
  <c r="F151" i="48"/>
  <c r="F150" i="48"/>
  <c r="F149" i="48"/>
  <c r="F148" i="48"/>
  <c r="F147" i="48"/>
  <c r="F146" i="48"/>
  <c r="F145" i="48"/>
  <c r="F144" i="48"/>
  <c r="F143" i="48"/>
  <c r="F142" i="48"/>
  <c r="F141" i="48"/>
  <c r="F140" i="48"/>
  <c r="F138" i="48"/>
  <c r="F137" i="48"/>
  <c r="F136" i="48"/>
  <c r="F135" i="48"/>
  <c r="F134" i="48"/>
  <c r="F133" i="48"/>
  <c r="F132" i="48"/>
  <c r="F131" i="48"/>
  <c r="F130" i="48"/>
  <c r="F129" i="48"/>
  <c r="F128" i="48"/>
  <c r="F127" i="48"/>
  <c r="F126" i="48"/>
  <c r="F125" i="48"/>
  <c r="F123" i="48"/>
  <c r="F121" i="48"/>
  <c r="F119" i="48"/>
  <c r="F118" i="48"/>
  <c r="F117" i="48"/>
  <c r="F116" i="48"/>
  <c r="F115" i="48"/>
  <c r="F114" i="48"/>
  <c r="F113" i="48"/>
  <c r="F112" i="48"/>
  <c r="F111" i="48"/>
  <c r="F110" i="48"/>
  <c r="F109" i="48"/>
  <c r="F107"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6" i="48"/>
  <c r="F979" i="49" l="1"/>
  <c r="F983" i="49"/>
  <c r="F987" i="49"/>
  <c r="F980" i="49"/>
  <c r="F984" i="49"/>
  <c r="F975" i="49"/>
  <c r="F988" i="49"/>
  <c r="F981" i="49"/>
  <c r="F985" i="49"/>
  <c r="F995" i="49"/>
  <c r="F996" i="49" s="1"/>
  <c r="F998" i="49" s="1"/>
  <c r="F729" i="48"/>
  <c r="F785" i="48"/>
  <c r="F367" i="48"/>
  <c r="F689" i="48"/>
  <c r="F860" i="48"/>
  <c r="F929" i="48"/>
  <c r="F180" i="48"/>
  <c r="F624" i="48"/>
  <c r="F803" i="48"/>
  <c r="F445" i="48"/>
  <c r="F492" i="48"/>
  <c r="F967" i="48"/>
  <c r="F974" i="48"/>
  <c r="F976" i="48" l="1"/>
  <c r="F989" i="48" s="1"/>
  <c r="F982" i="48" l="1"/>
  <c r="F975" i="48"/>
  <c r="F986" i="48"/>
  <c r="F979" i="48"/>
  <c r="F980" i="48"/>
  <c r="F995" i="48" s="1"/>
  <c r="F996" i="48" s="1"/>
  <c r="F998" i="48" s="1"/>
  <c r="F990" i="48"/>
  <c r="F983" i="48"/>
  <c r="F984" i="48"/>
  <c r="F981" i="48"/>
  <c r="F987" i="48"/>
  <c r="F988" i="48"/>
  <c r="F985" i="48"/>
  <c r="M145" i="7" l="1"/>
  <c r="H148" i="7" l="1"/>
  <c r="H149" i="7" s="1"/>
  <c r="I149" i="7"/>
  <c r="K144" i="7"/>
  <c r="K150" i="7" s="1"/>
  <c r="L144" i="7"/>
  <c r="L150" i="7" s="1"/>
  <c r="L143" i="7"/>
  <c r="L149" i="7" s="1"/>
  <c r="K143" i="7"/>
  <c r="K149" i="7" s="1"/>
  <c r="N95" i="46"/>
  <c r="K18" i="46"/>
  <c r="K17" i="46"/>
  <c r="K16" i="46"/>
  <c r="K15" i="46"/>
  <c r="K34" i="46"/>
  <c r="K33" i="46"/>
  <c r="K32" i="46"/>
  <c r="K31" i="46"/>
  <c r="K50" i="46"/>
  <c r="K49" i="46"/>
  <c r="K48" i="46"/>
  <c r="K47" i="46"/>
  <c r="K66" i="46"/>
  <c r="K65" i="46"/>
  <c r="K64" i="46"/>
  <c r="K63" i="46"/>
  <c r="L95" i="46"/>
  <c r="C82" i="46"/>
  <c r="C81" i="46"/>
  <c r="C80" i="46"/>
  <c r="C79" i="46"/>
  <c r="C66" i="46"/>
  <c r="C65" i="46"/>
  <c r="C64" i="46"/>
  <c r="C63" i="46"/>
  <c r="C50" i="46"/>
  <c r="C49" i="46"/>
  <c r="C48" i="46"/>
  <c r="C47" i="46"/>
  <c r="C34" i="46"/>
  <c r="C33" i="46"/>
  <c r="C32" i="46"/>
  <c r="C31" i="46"/>
  <c r="C18" i="46"/>
  <c r="C17" i="46"/>
  <c r="C16" i="46"/>
  <c r="C15" i="46"/>
  <c r="J90" i="46"/>
  <c r="J63" i="46"/>
  <c r="K95" i="46" l="1"/>
  <c r="L96" i="46" s="1"/>
  <c r="K88" i="46"/>
  <c r="J88" i="46"/>
  <c r="O87" i="46"/>
  <c r="K87" i="46"/>
  <c r="J87" i="46"/>
  <c r="O86" i="46"/>
  <c r="O88" i="46" s="1"/>
  <c r="K90" i="46" s="1"/>
  <c r="L90" i="46" s="1"/>
  <c r="O85" i="46"/>
  <c r="J66" i="46"/>
  <c r="J65" i="46"/>
  <c r="J64" i="46"/>
  <c r="L64" i="46" s="1"/>
  <c r="L63" i="46"/>
  <c r="J50" i="46"/>
  <c r="L50" i="46" s="1"/>
  <c r="J49" i="46"/>
  <c r="J48" i="46"/>
  <c r="L48" i="46" s="1"/>
  <c r="J47" i="46"/>
  <c r="J34" i="46"/>
  <c r="J33" i="46"/>
  <c r="J32" i="46"/>
  <c r="L32" i="46" s="1"/>
  <c r="J31" i="46"/>
  <c r="L31" i="46" s="1"/>
  <c r="J18" i="46"/>
  <c r="L18" i="46" s="1"/>
  <c r="J17" i="46"/>
  <c r="L17" i="46" s="1"/>
  <c r="L16" i="46"/>
  <c r="G87" i="46"/>
  <c r="G86" i="46"/>
  <c r="G85" i="46"/>
  <c r="D95" i="46"/>
  <c r="C95" i="46"/>
  <c r="D96" i="46" s="1"/>
  <c r="C88" i="46"/>
  <c r="B88" i="46"/>
  <c r="C87" i="46"/>
  <c r="B87" i="46"/>
  <c r="B82" i="46"/>
  <c r="D82" i="46" s="1"/>
  <c r="B81" i="46"/>
  <c r="D81" i="46" s="1"/>
  <c r="B80" i="46"/>
  <c r="D80" i="46" s="1"/>
  <c r="B79" i="46"/>
  <c r="D79" i="46" s="1"/>
  <c r="B66" i="46"/>
  <c r="D66" i="46" s="1"/>
  <c r="B65" i="46"/>
  <c r="D65" i="46" s="1"/>
  <c r="B64" i="46"/>
  <c r="D64" i="46" s="1"/>
  <c r="B63" i="46"/>
  <c r="D63" i="46" s="1"/>
  <c r="B50" i="46"/>
  <c r="D50" i="46" s="1"/>
  <c r="B49" i="46"/>
  <c r="D49" i="46" s="1"/>
  <c r="B48" i="46"/>
  <c r="D48" i="46" s="1"/>
  <c r="B47" i="46"/>
  <c r="D47" i="46" s="1"/>
  <c r="B34" i="46"/>
  <c r="D34" i="46" s="1"/>
  <c r="B33" i="46"/>
  <c r="D33" i="46" s="1"/>
  <c r="B32" i="46"/>
  <c r="D32" i="46" s="1"/>
  <c r="B31" i="46"/>
  <c r="D31" i="46" s="1"/>
  <c r="B18" i="46"/>
  <c r="D18" i="46" s="1"/>
  <c r="B17" i="46"/>
  <c r="D17" i="46" s="1"/>
  <c r="B16" i="46"/>
  <c r="D16" i="46" s="1"/>
  <c r="B15" i="46"/>
  <c r="D15" i="46" s="1"/>
  <c r="G88" i="46" l="1"/>
  <c r="C90" i="46" s="1"/>
  <c r="D90" i="46" s="1"/>
  <c r="D88" i="46"/>
  <c r="D83" i="46"/>
  <c r="D35" i="46"/>
  <c r="D87" i="46"/>
  <c r="L66" i="46"/>
  <c r="L65" i="46"/>
  <c r="L67" i="46" s="1"/>
  <c r="L49" i="46"/>
  <c r="L47" i="46"/>
  <c r="L33" i="46"/>
  <c r="L34" i="46"/>
  <c r="L35" i="46" s="1"/>
  <c r="L15" i="46"/>
  <c r="L19" i="46" s="1"/>
  <c r="D19" i="46"/>
  <c r="D51" i="46"/>
  <c r="D67" i="46"/>
  <c r="D127" i="7"/>
  <c r="L51" i="46" l="1"/>
  <c r="D92" i="46"/>
  <c r="D98" i="46" s="1"/>
  <c r="D99" i="46" s="1"/>
  <c r="L92" i="46"/>
  <c r="L98" i="46" s="1"/>
  <c r="L99" i="46" s="1"/>
  <c r="F121" i="7"/>
  <c r="I125" i="7"/>
  <c r="D126" i="7"/>
  <c r="I126" i="7" s="1"/>
  <c r="D117" i="7"/>
  <c r="G117" i="7" s="1"/>
  <c r="G116" i="7"/>
  <c r="J123" i="7" l="1"/>
  <c r="C225" i="3" l="1"/>
  <c r="C221" i="3"/>
  <c r="C214" i="3"/>
  <c r="C213" i="3"/>
  <c r="C208" i="3"/>
  <c r="C163" i="3"/>
  <c r="C157" i="3"/>
  <c r="B156" i="3"/>
  <c r="C153" i="3"/>
  <c r="B145" i="3"/>
  <c r="C120" i="3"/>
  <c r="C112" i="3"/>
  <c r="C106" i="3"/>
  <c r="C96" i="3"/>
  <c r="C71" i="3"/>
  <c r="C70" i="3"/>
  <c r="C59" i="3"/>
  <c r="C20" i="3"/>
  <c r="H237" i="7" l="1"/>
  <c r="E240" i="7"/>
  <c r="D230" i="7"/>
  <c r="D239" i="7" s="1"/>
  <c r="H239" i="7" s="1"/>
  <c r="D240" i="7" l="1"/>
  <c r="H240" i="7" s="1"/>
  <c r="D145" i="10" l="1"/>
  <c r="B140" i="10"/>
  <c r="C140" i="10"/>
  <c r="B97" i="10"/>
  <c r="B96" i="10"/>
  <c r="C139" i="10"/>
  <c r="B139" i="10"/>
  <c r="B137" i="10"/>
  <c r="C137" i="10"/>
  <c r="B136" i="10"/>
  <c r="C136" i="10"/>
  <c r="B135" i="10"/>
  <c r="C135" i="10"/>
  <c r="B83" i="10"/>
  <c r="B82" i="10"/>
  <c r="B81" i="10"/>
  <c r="B80" i="10"/>
  <c r="B67" i="10"/>
  <c r="B66" i="10"/>
  <c r="B65" i="10"/>
  <c r="B64" i="10"/>
  <c r="B51" i="10"/>
  <c r="B50" i="10"/>
  <c r="B49" i="10"/>
  <c r="B48" i="10"/>
  <c r="B35" i="10"/>
  <c r="B34" i="10"/>
  <c r="B33" i="10"/>
  <c r="B32" i="10"/>
  <c r="C131" i="10"/>
  <c r="B131" i="10"/>
  <c r="C130" i="10"/>
  <c r="B130" i="10"/>
  <c r="C129" i="10"/>
  <c r="B129" i="10"/>
  <c r="C128" i="10"/>
  <c r="B128" i="10"/>
  <c r="C115" i="10"/>
  <c r="B115" i="10"/>
  <c r="C114" i="10"/>
  <c r="B114" i="10"/>
  <c r="C113" i="10"/>
  <c r="B113" i="10"/>
  <c r="C112" i="10"/>
  <c r="B112" i="10"/>
  <c r="C99" i="10"/>
  <c r="B99" i="10"/>
  <c r="C98" i="10"/>
  <c r="B98" i="10"/>
  <c r="C97" i="10"/>
  <c r="C96" i="10"/>
  <c r="M53" i="10"/>
  <c r="C83" i="10"/>
  <c r="C82" i="10"/>
  <c r="C81" i="10"/>
  <c r="C80" i="10"/>
  <c r="C67" i="10"/>
  <c r="C66" i="10"/>
  <c r="C65" i="10"/>
  <c r="D65" i="10" s="1"/>
  <c r="C64" i="10"/>
  <c r="C51" i="10"/>
  <c r="C50" i="10"/>
  <c r="C49" i="10"/>
  <c r="C48" i="10"/>
  <c r="C35" i="10"/>
  <c r="C34" i="10"/>
  <c r="C33" i="10"/>
  <c r="C32" i="10"/>
  <c r="C19" i="10"/>
  <c r="C18" i="10"/>
  <c r="C17" i="10"/>
  <c r="C16" i="10"/>
  <c r="B19" i="10"/>
  <c r="B17" i="10"/>
  <c r="B18" i="10"/>
  <c r="B16" i="10"/>
  <c r="D66" i="10" l="1"/>
  <c r="D139" i="10"/>
  <c r="D51" i="10"/>
  <c r="D17" i="10"/>
  <c r="D67" i="10"/>
  <c r="D83" i="10"/>
  <c r="D135" i="10"/>
  <c r="D136" i="10"/>
  <c r="D137" i="10"/>
  <c r="D140" i="10"/>
  <c r="D64" i="10"/>
  <c r="D19" i="10"/>
  <c r="D16" i="10"/>
  <c r="D18" i="10"/>
  <c r="D98" i="10"/>
  <c r="D130" i="10"/>
  <c r="D131" i="10"/>
  <c r="D112" i="10"/>
  <c r="D114" i="10"/>
  <c r="D115" i="10"/>
  <c r="D129" i="10"/>
  <c r="D128" i="10"/>
  <c r="D113" i="10"/>
  <c r="D96" i="10"/>
  <c r="D97" i="10"/>
  <c r="D99" i="10"/>
  <c r="D82" i="10"/>
  <c r="D80" i="10"/>
  <c r="D81" i="10"/>
  <c r="D49" i="10"/>
  <c r="D48" i="10"/>
  <c r="D50" i="10"/>
  <c r="D32" i="10"/>
  <c r="D35" i="10"/>
  <c r="D34" i="10"/>
  <c r="D33" i="10"/>
  <c r="D142" i="10" l="1"/>
  <c r="D144" i="10" s="1"/>
  <c r="D146" i="10" s="1"/>
  <c r="H114" i="4" l="1"/>
  <c r="G114" i="4"/>
  <c r="H167" i="4"/>
  <c r="H165" i="4"/>
  <c r="J149" i="4"/>
  <c r="M148" i="4"/>
  <c r="B146" i="4"/>
  <c r="C141" i="4"/>
  <c r="D141" i="4" s="1"/>
  <c r="C140" i="4"/>
  <c r="D140" i="4" s="1"/>
  <c r="C139" i="4"/>
  <c r="B145" i="4" s="1"/>
  <c r="C134" i="4"/>
  <c r="J137" i="4" s="1"/>
  <c r="U133" i="4"/>
  <c r="K133" i="4"/>
  <c r="J133" i="4"/>
  <c r="I133" i="4"/>
  <c r="U132" i="4"/>
  <c r="J132" i="4"/>
  <c r="I132" i="4"/>
  <c r="F132" i="4"/>
  <c r="K132" i="4" s="1"/>
  <c r="U131" i="4"/>
  <c r="I131" i="4"/>
  <c r="F131" i="4"/>
  <c r="K131" i="4" s="1"/>
  <c r="U130" i="4"/>
  <c r="J130" i="4"/>
  <c r="I130" i="4"/>
  <c r="F130" i="4"/>
  <c r="K130" i="4" s="1"/>
  <c r="U129" i="4"/>
  <c r="K129" i="4"/>
  <c r="J129" i="4"/>
  <c r="I129" i="4"/>
  <c r="U128" i="4"/>
  <c r="K128" i="4"/>
  <c r="J128" i="4"/>
  <c r="I128" i="4"/>
  <c r="L128" i="4" s="1"/>
  <c r="U127" i="4"/>
  <c r="K127" i="4"/>
  <c r="J127" i="4"/>
  <c r="I127" i="4"/>
  <c r="U126" i="4"/>
  <c r="K126" i="4"/>
  <c r="J126" i="4"/>
  <c r="I126" i="4"/>
  <c r="U125" i="4"/>
  <c r="J125" i="4"/>
  <c r="I125" i="4"/>
  <c r="F125" i="4"/>
  <c r="K125" i="4" s="1"/>
  <c r="U124" i="4"/>
  <c r="S124" i="4"/>
  <c r="K124" i="4"/>
  <c r="I124" i="4"/>
  <c r="L124" i="4" s="1"/>
  <c r="U123" i="4"/>
  <c r="J123" i="4"/>
  <c r="I123" i="4"/>
  <c r="F123" i="4"/>
  <c r="K123" i="4" s="1"/>
  <c r="E122" i="4"/>
  <c r="E121" i="4"/>
  <c r="U121" i="4" s="1"/>
  <c r="E120" i="4"/>
  <c r="F120" i="4" s="1"/>
  <c r="K120" i="4" s="1"/>
  <c r="E119" i="4"/>
  <c r="U119" i="4" s="1"/>
  <c r="E118" i="4"/>
  <c r="E117" i="4"/>
  <c r="U117" i="4" s="1"/>
  <c r="E116" i="4"/>
  <c r="F116" i="4" s="1"/>
  <c r="K116" i="4" s="1"/>
  <c r="E115" i="4"/>
  <c r="U115" i="4" s="1"/>
  <c r="L113" i="4"/>
  <c r="L112" i="4"/>
  <c r="S112" i="4" s="1"/>
  <c r="L111" i="4"/>
  <c r="S111" i="4" s="1"/>
  <c r="T111" i="4" s="1"/>
  <c r="J111" i="4"/>
  <c r="J110" i="4"/>
  <c r="H110" i="4"/>
  <c r="G110" i="4"/>
  <c r="E110" i="4"/>
  <c r="F110" i="4" s="1"/>
  <c r="J109" i="4"/>
  <c r="H109" i="4"/>
  <c r="G109" i="4"/>
  <c r="F109" i="4"/>
  <c r="K109" i="4" s="1"/>
  <c r="E109" i="4"/>
  <c r="J108" i="4"/>
  <c r="G108" i="4"/>
  <c r="E108" i="4"/>
  <c r="F108" i="4" s="1"/>
  <c r="J107" i="4"/>
  <c r="C107" i="4"/>
  <c r="H107" i="4" s="1"/>
  <c r="J106" i="4"/>
  <c r="H106" i="4"/>
  <c r="G106" i="4"/>
  <c r="E106" i="4"/>
  <c r="F106" i="4" s="1"/>
  <c r="J105" i="4"/>
  <c r="C105" i="4"/>
  <c r="C106" i="4" s="1"/>
  <c r="J104" i="4"/>
  <c r="H104" i="4"/>
  <c r="G104" i="4"/>
  <c r="E104" i="4"/>
  <c r="F104" i="4" s="1"/>
  <c r="K104" i="4" s="1"/>
  <c r="J103" i="4"/>
  <c r="H103" i="4"/>
  <c r="G103" i="4"/>
  <c r="E103" i="4"/>
  <c r="F103" i="4" s="1"/>
  <c r="C103" i="4"/>
  <c r="J102" i="4"/>
  <c r="H102" i="4"/>
  <c r="G102" i="4"/>
  <c r="E102" i="4"/>
  <c r="F102" i="4" s="1"/>
  <c r="K102" i="4" s="1"/>
  <c r="H101" i="4"/>
  <c r="G101" i="4"/>
  <c r="E101" i="4"/>
  <c r="H100" i="4"/>
  <c r="G100" i="4"/>
  <c r="E100" i="4"/>
  <c r="F100" i="4" s="1"/>
  <c r="K100" i="4" s="1"/>
  <c r="H99" i="4"/>
  <c r="G99" i="4"/>
  <c r="E99" i="4"/>
  <c r="F99" i="4" s="1"/>
  <c r="K99" i="4" s="1"/>
  <c r="H98" i="4"/>
  <c r="G98" i="4"/>
  <c r="E98" i="4"/>
  <c r="F98" i="4" s="1"/>
  <c r="K98" i="4" s="1"/>
  <c r="H97" i="4"/>
  <c r="G97" i="4"/>
  <c r="E97" i="4"/>
  <c r="H96" i="4"/>
  <c r="G96" i="4"/>
  <c r="E96" i="4"/>
  <c r="F96" i="4" s="1"/>
  <c r="K96" i="4" s="1"/>
  <c r="H95" i="4"/>
  <c r="G95" i="4"/>
  <c r="E95" i="4"/>
  <c r="F95" i="4" s="1"/>
  <c r="K95" i="4" s="1"/>
  <c r="H94" i="4"/>
  <c r="G94" i="4"/>
  <c r="E94" i="4"/>
  <c r="F94" i="4" s="1"/>
  <c r="K94" i="4" s="1"/>
  <c r="K93" i="4"/>
  <c r="J93" i="4"/>
  <c r="H93" i="4"/>
  <c r="I93" i="4" s="1"/>
  <c r="J92" i="4"/>
  <c r="H92" i="4"/>
  <c r="G92" i="4"/>
  <c r="E92" i="4"/>
  <c r="F92" i="4" s="1"/>
  <c r="K92" i="4" s="1"/>
  <c r="Z91" i="4"/>
  <c r="J91" i="4"/>
  <c r="H91" i="4"/>
  <c r="G91" i="4"/>
  <c r="E91" i="4"/>
  <c r="Z90" i="4"/>
  <c r="J90" i="4"/>
  <c r="H90" i="4"/>
  <c r="G90" i="4"/>
  <c r="E90" i="4"/>
  <c r="F90" i="4" s="1"/>
  <c r="K90" i="4" s="1"/>
  <c r="Z89" i="4"/>
  <c r="T89" i="4"/>
  <c r="Z88" i="4"/>
  <c r="J88" i="4"/>
  <c r="H88" i="4"/>
  <c r="G88" i="4"/>
  <c r="E88" i="4"/>
  <c r="F88" i="4" s="1"/>
  <c r="K88" i="4" s="1"/>
  <c r="Z87" i="4"/>
  <c r="J87" i="4"/>
  <c r="H87" i="4"/>
  <c r="G87" i="4"/>
  <c r="E87" i="4"/>
  <c r="F87" i="4" s="1"/>
  <c r="C87" i="4"/>
  <c r="C89" i="4" s="1"/>
  <c r="Z86" i="4"/>
  <c r="J86" i="4"/>
  <c r="H86" i="4"/>
  <c r="G86" i="4"/>
  <c r="E86" i="4"/>
  <c r="Z85" i="4"/>
  <c r="H85" i="4"/>
  <c r="G85" i="4"/>
  <c r="E85" i="4"/>
  <c r="F85" i="4" s="1"/>
  <c r="K85" i="4" s="1"/>
  <c r="Z84" i="4"/>
  <c r="J72" i="4"/>
  <c r="M71" i="4"/>
  <c r="C64" i="4"/>
  <c r="D64" i="4" s="1"/>
  <c r="C63" i="4"/>
  <c r="D63" i="4" s="1"/>
  <c r="C62" i="4"/>
  <c r="D62" i="4" s="1"/>
  <c r="C57" i="4"/>
  <c r="J66" i="4" s="1"/>
  <c r="J67" i="4" s="1"/>
  <c r="M67" i="4" s="1"/>
  <c r="E56" i="4"/>
  <c r="S56" i="4" s="1"/>
  <c r="E55" i="4"/>
  <c r="S55" i="4" s="1"/>
  <c r="E54" i="4"/>
  <c r="S54" i="4" s="1"/>
  <c r="E53" i="4"/>
  <c r="F53" i="4" s="1"/>
  <c r="K53" i="4" s="1"/>
  <c r="E52" i="4"/>
  <c r="S52" i="4" s="1"/>
  <c r="E51" i="4"/>
  <c r="U51" i="4" s="1"/>
  <c r="E50" i="4"/>
  <c r="E49" i="4"/>
  <c r="F49" i="4" s="1"/>
  <c r="K49" i="4" s="1"/>
  <c r="E48" i="4"/>
  <c r="I48" i="4" s="1"/>
  <c r="E47" i="4"/>
  <c r="E46" i="4"/>
  <c r="E45" i="4"/>
  <c r="F45" i="4" s="1"/>
  <c r="K45" i="4" s="1"/>
  <c r="E44" i="4"/>
  <c r="I44" i="4" s="1"/>
  <c r="E43" i="4"/>
  <c r="E42" i="4"/>
  <c r="I42" i="4" s="1"/>
  <c r="E41" i="4"/>
  <c r="E40" i="4"/>
  <c r="U40" i="4" s="1"/>
  <c r="E39" i="4"/>
  <c r="I39" i="4" s="1"/>
  <c r="E38" i="4"/>
  <c r="U38" i="4" s="1"/>
  <c r="E37" i="4"/>
  <c r="L36" i="4"/>
  <c r="S36" i="4" s="1"/>
  <c r="T36" i="4" s="1"/>
  <c r="L35" i="4"/>
  <c r="S35" i="4" s="1"/>
  <c r="L34" i="4"/>
  <c r="S34" i="4" s="1"/>
  <c r="J34" i="4"/>
  <c r="J33" i="4"/>
  <c r="H33" i="4"/>
  <c r="G33" i="4"/>
  <c r="E33" i="4"/>
  <c r="J32" i="4"/>
  <c r="H32" i="4"/>
  <c r="G32" i="4"/>
  <c r="E32" i="4"/>
  <c r="F32" i="4" s="1"/>
  <c r="K32" i="4" s="1"/>
  <c r="J31" i="4"/>
  <c r="G31" i="4"/>
  <c r="E31" i="4"/>
  <c r="F31" i="4" s="1"/>
  <c r="J30" i="4"/>
  <c r="C30" i="4"/>
  <c r="C31" i="4" s="1"/>
  <c r="J29" i="4"/>
  <c r="H29" i="4"/>
  <c r="G29" i="4"/>
  <c r="E29" i="4"/>
  <c r="F29" i="4" s="1"/>
  <c r="J28" i="4"/>
  <c r="C28" i="4"/>
  <c r="H28" i="4" s="1"/>
  <c r="J27" i="4"/>
  <c r="H27" i="4"/>
  <c r="G27" i="4"/>
  <c r="E27" i="4"/>
  <c r="F27" i="4" s="1"/>
  <c r="K27" i="4" s="1"/>
  <c r="J26" i="4"/>
  <c r="H26" i="4"/>
  <c r="G26" i="4"/>
  <c r="E26" i="4"/>
  <c r="F26" i="4" s="1"/>
  <c r="C26" i="4"/>
  <c r="J25" i="4"/>
  <c r="H25" i="4"/>
  <c r="G25" i="4"/>
  <c r="E25" i="4"/>
  <c r="F25" i="4" s="1"/>
  <c r="K25" i="4" s="1"/>
  <c r="H24" i="4"/>
  <c r="G24" i="4"/>
  <c r="E24" i="4"/>
  <c r="F24" i="4" s="1"/>
  <c r="K24" i="4" s="1"/>
  <c r="H23" i="4"/>
  <c r="G23" i="4"/>
  <c r="E23" i="4"/>
  <c r="F23" i="4" s="1"/>
  <c r="K23" i="4" s="1"/>
  <c r="H22" i="4"/>
  <c r="G22" i="4"/>
  <c r="E22" i="4"/>
  <c r="F22" i="4" s="1"/>
  <c r="K22" i="4" s="1"/>
  <c r="H21" i="4"/>
  <c r="G21" i="4"/>
  <c r="E21" i="4"/>
  <c r="F21" i="4" s="1"/>
  <c r="K21" i="4" s="1"/>
  <c r="H20" i="4"/>
  <c r="G20" i="4"/>
  <c r="E20" i="4"/>
  <c r="F20" i="4" s="1"/>
  <c r="K20" i="4" s="1"/>
  <c r="H19" i="4"/>
  <c r="G19" i="4"/>
  <c r="E19" i="4"/>
  <c r="F19" i="4" s="1"/>
  <c r="K19" i="4" s="1"/>
  <c r="H18" i="4"/>
  <c r="G18" i="4"/>
  <c r="E18" i="4"/>
  <c r="F18" i="4" s="1"/>
  <c r="K18" i="4" s="1"/>
  <c r="H17" i="4"/>
  <c r="G17" i="4"/>
  <c r="E17" i="4"/>
  <c r="F17" i="4" s="1"/>
  <c r="K17" i="4" s="1"/>
  <c r="K16" i="4"/>
  <c r="J16" i="4"/>
  <c r="H16" i="4"/>
  <c r="I16" i="4" s="1"/>
  <c r="J15" i="4"/>
  <c r="H15" i="4"/>
  <c r="G15" i="4"/>
  <c r="E15" i="4"/>
  <c r="Z14" i="4"/>
  <c r="J14" i="4"/>
  <c r="H14" i="4"/>
  <c r="G14" i="4"/>
  <c r="E14" i="4"/>
  <c r="F14" i="4" s="1"/>
  <c r="K14" i="4" s="1"/>
  <c r="Z13" i="4"/>
  <c r="J13" i="4"/>
  <c r="H13" i="4"/>
  <c r="G13" i="4"/>
  <c r="E13" i="4"/>
  <c r="F13" i="4" s="1"/>
  <c r="K13" i="4" s="1"/>
  <c r="Z12" i="4"/>
  <c r="J124" i="4" s="1"/>
  <c r="T12" i="4"/>
  <c r="Z11" i="4"/>
  <c r="J11" i="4"/>
  <c r="H11" i="4"/>
  <c r="G11" i="4"/>
  <c r="E11" i="4"/>
  <c r="F11" i="4" s="1"/>
  <c r="K11" i="4" s="1"/>
  <c r="Z10" i="4"/>
  <c r="J24" i="4" s="1"/>
  <c r="J10" i="4"/>
  <c r="H10" i="4"/>
  <c r="G10" i="4"/>
  <c r="E10" i="4"/>
  <c r="C10" i="4"/>
  <c r="H12" i="4" s="1"/>
  <c r="Z9" i="4"/>
  <c r="J46" i="4" s="1"/>
  <c r="J9" i="4"/>
  <c r="H9" i="4"/>
  <c r="G9" i="4"/>
  <c r="E9" i="4"/>
  <c r="F9" i="4" s="1"/>
  <c r="K9" i="4" s="1"/>
  <c r="Z8" i="4"/>
  <c r="H8" i="4"/>
  <c r="G8" i="4"/>
  <c r="E8" i="4"/>
  <c r="F8" i="4" s="1"/>
  <c r="K8" i="4" s="1"/>
  <c r="Z7" i="4"/>
  <c r="L133" i="4" l="1"/>
  <c r="I106" i="4"/>
  <c r="B147" i="4"/>
  <c r="L126" i="4"/>
  <c r="L129" i="4"/>
  <c r="H105" i="4"/>
  <c r="H108" i="4" s="1"/>
  <c r="L127" i="4"/>
  <c r="K10" i="4"/>
  <c r="I15" i="4"/>
  <c r="L16" i="4"/>
  <c r="M16" i="4" s="1"/>
  <c r="K105" i="4"/>
  <c r="L105" i="4" s="1"/>
  <c r="T105" i="4" s="1"/>
  <c r="F48" i="4"/>
  <c r="K48" i="4" s="1"/>
  <c r="L48" i="4" s="1"/>
  <c r="F51" i="4"/>
  <c r="K51" i="4" s="1"/>
  <c r="F52" i="4"/>
  <c r="K52" i="4" s="1"/>
  <c r="I86" i="4"/>
  <c r="F39" i="4"/>
  <c r="K39" i="4" s="1"/>
  <c r="F44" i="4"/>
  <c r="K44" i="4" s="1"/>
  <c r="I96" i="4"/>
  <c r="I100" i="4"/>
  <c r="I102" i="4"/>
  <c r="L102" i="4" s="1"/>
  <c r="M102" i="4" s="1"/>
  <c r="N102" i="4" s="1"/>
  <c r="I10" i="4"/>
  <c r="U39" i="4"/>
  <c r="U45" i="4"/>
  <c r="I99" i="4"/>
  <c r="L99" i="4" s="1"/>
  <c r="F117" i="4"/>
  <c r="K117" i="4" s="1"/>
  <c r="M126" i="4"/>
  <c r="L130" i="4"/>
  <c r="M130" i="4" s="1"/>
  <c r="N130" i="4" s="1"/>
  <c r="L131" i="4"/>
  <c r="I20" i="4"/>
  <c r="L20" i="4" s="1"/>
  <c r="S20" i="4" s="1"/>
  <c r="T20" i="4" s="1"/>
  <c r="I24" i="4"/>
  <c r="L24" i="4" s="1"/>
  <c r="M24" i="4" s="1"/>
  <c r="H30" i="4"/>
  <c r="H31" i="4" s="1"/>
  <c r="K30" i="4"/>
  <c r="L30" i="4" s="1"/>
  <c r="M30" i="4" s="1"/>
  <c r="N30" i="4" s="1"/>
  <c r="I33" i="4"/>
  <c r="L33" i="4" s="1"/>
  <c r="F38" i="4"/>
  <c r="K38" i="4" s="1"/>
  <c r="U44" i="4"/>
  <c r="I45" i="4"/>
  <c r="L45" i="4" s="1"/>
  <c r="S45" i="4" s="1"/>
  <c r="T45" i="4" s="1"/>
  <c r="U48" i="4"/>
  <c r="I49" i="4"/>
  <c r="U52" i="4"/>
  <c r="I53" i="4"/>
  <c r="F121" i="4"/>
  <c r="K121" i="4" s="1"/>
  <c r="M72" i="4"/>
  <c r="M149" i="4"/>
  <c r="I8" i="4"/>
  <c r="L8" i="4" s="1"/>
  <c r="K28" i="4"/>
  <c r="L28" i="4" s="1"/>
  <c r="T28" i="4" s="1"/>
  <c r="T35" i="4"/>
  <c r="J40" i="4"/>
  <c r="I56" i="4"/>
  <c r="J70" i="4"/>
  <c r="M70" i="4" s="1"/>
  <c r="I88" i="4"/>
  <c r="I92" i="4"/>
  <c r="L92" i="4" s="1"/>
  <c r="I110" i="4"/>
  <c r="L110" i="4" s="1"/>
  <c r="I115" i="4"/>
  <c r="U116" i="4"/>
  <c r="I119" i="4"/>
  <c r="U120" i="4"/>
  <c r="M129" i="4"/>
  <c r="N129" i="4" s="1"/>
  <c r="S8" i="4"/>
  <c r="F10" i="4"/>
  <c r="I11" i="4"/>
  <c r="L11" i="4" s="1"/>
  <c r="M11" i="4" s="1"/>
  <c r="N11" i="4" s="1"/>
  <c r="C12" i="4"/>
  <c r="I14" i="4"/>
  <c r="F15" i="4"/>
  <c r="K15" i="4" s="1"/>
  <c r="L15" i="4" s="1"/>
  <c r="K31" i="4"/>
  <c r="I32" i="4"/>
  <c r="L32" i="4" s="1"/>
  <c r="S32" i="4" s="1"/>
  <c r="F33" i="4"/>
  <c r="J45" i="4"/>
  <c r="U49" i="4"/>
  <c r="I52" i="4"/>
  <c r="L52" i="4" s="1"/>
  <c r="U53" i="4"/>
  <c r="F55" i="4"/>
  <c r="K55" i="4" s="1"/>
  <c r="F56" i="4"/>
  <c r="K56" i="4" s="1"/>
  <c r="U56" i="4"/>
  <c r="F86" i="4"/>
  <c r="K86" i="4" s="1"/>
  <c r="I90" i="4"/>
  <c r="L90" i="4" s="1"/>
  <c r="S90" i="4" s="1"/>
  <c r="I95" i="4"/>
  <c r="I104" i="4"/>
  <c r="L104" i="4" s="1"/>
  <c r="K106" i="4"/>
  <c r="I109" i="4"/>
  <c r="L109" i="4" s="1"/>
  <c r="M109" i="4" s="1"/>
  <c r="N109" i="4" s="1"/>
  <c r="T112" i="4"/>
  <c r="S113" i="4"/>
  <c r="T113" i="4" s="1"/>
  <c r="F115" i="4"/>
  <c r="K115" i="4" s="1"/>
  <c r="I116" i="4"/>
  <c r="L116" i="4" s="1"/>
  <c r="F119" i="4"/>
  <c r="K119" i="4" s="1"/>
  <c r="I120" i="4"/>
  <c r="L120" i="4" s="1"/>
  <c r="L123" i="4"/>
  <c r="M123" i="4" s="1"/>
  <c r="L125" i="4"/>
  <c r="S125" i="4" s="1"/>
  <c r="T125" i="4" s="1"/>
  <c r="L132" i="4"/>
  <c r="D139" i="4"/>
  <c r="J143" i="4" s="1"/>
  <c r="H161" i="4" s="1"/>
  <c r="H162" i="4" s="1"/>
  <c r="U37" i="4"/>
  <c r="I37" i="4"/>
  <c r="F37" i="4"/>
  <c r="K37" i="4" s="1"/>
  <c r="L14" i="4"/>
  <c r="S14" i="4" s="1"/>
  <c r="I17" i="4"/>
  <c r="L17" i="4" s="1"/>
  <c r="S17" i="4" s="1"/>
  <c r="I21" i="4"/>
  <c r="L21" i="4" s="1"/>
  <c r="S21" i="4" s="1"/>
  <c r="I25" i="4"/>
  <c r="L25" i="4" s="1"/>
  <c r="S25" i="4" s="1"/>
  <c r="L39" i="4"/>
  <c r="L44" i="4"/>
  <c r="H89" i="4"/>
  <c r="I9" i="4"/>
  <c r="L9" i="4" s="1"/>
  <c r="U46" i="4"/>
  <c r="I46" i="4"/>
  <c r="F46" i="4"/>
  <c r="K46" i="4" s="1"/>
  <c r="F101" i="4"/>
  <c r="K101" i="4" s="1"/>
  <c r="I101" i="4"/>
  <c r="N16" i="4"/>
  <c r="K26" i="4"/>
  <c r="I18" i="4"/>
  <c r="L18" i="4" s="1"/>
  <c r="I22" i="4"/>
  <c r="L22" i="4" s="1"/>
  <c r="S22" i="4" s="1"/>
  <c r="S24" i="4"/>
  <c r="I26" i="4"/>
  <c r="T34" i="4"/>
  <c r="I85" i="4"/>
  <c r="L85" i="4" s="1"/>
  <c r="S85" i="4"/>
  <c r="J98" i="4"/>
  <c r="J97" i="4"/>
  <c r="J96" i="4"/>
  <c r="J95" i="4"/>
  <c r="J85" i="4"/>
  <c r="J94" i="4"/>
  <c r="J8" i="4"/>
  <c r="J21" i="4"/>
  <c r="J20" i="4"/>
  <c r="M20" i="4" s="1"/>
  <c r="N20" i="4" s="1"/>
  <c r="J19" i="4"/>
  <c r="J18" i="4"/>
  <c r="J17" i="4"/>
  <c r="T24" i="4"/>
  <c r="N24" i="4"/>
  <c r="I19" i="4"/>
  <c r="L19" i="4" s="1"/>
  <c r="S19" i="4" s="1"/>
  <c r="I23" i="4"/>
  <c r="L23" i="4" s="1"/>
  <c r="S23" i="4" s="1"/>
  <c r="M28" i="4"/>
  <c r="N28" i="4" s="1"/>
  <c r="U41" i="4"/>
  <c r="I41" i="4"/>
  <c r="F41" i="4"/>
  <c r="K41" i="4" s="1"/>
  <c r="F97" i="4"/>
  <c r="K97" i="4" s="1"/>
  <c r="I97" i="4"/>
  <c r="I13" i="4"/>
  <c r="L13" i="4" s="1"/>
  <c r="S13" i="4" s="1"/>
  <c r="J22" i="4"/>
  <c r="J23" i="4"/>
  <c r="I27" i="4"/>
  <c r="L27" i="4" s="1"/>
  <c r="C29" i="4"/>
  <c r="K29" i="4" s="1"/>
  <c r="I38" i="4"/>
  <c r="L38" i="4" s="1"/>
  <c r="J39" i="4"/>
  <c r="J42" i="4"/>
  <c r="U43" i="4"/>
  <c r="I43" i="4"/>
  <c r="U47" i="4"/>
  <c r="I47" i="4"/>
  <c r="L49" i="4"/>
  <c r="U50" i="4"/>
  <c r="I50" i="4"/>
  <c r="F50" i="4"/>
  <c r="K50" i="4" s="1"/>
  <c r="L95" i="4"/>
  <c r="I98" i="4"/>
  <c r="L98" i="4" s="1"/>
  <c r="S98" i="4" s="1"/>
  <c r="U118" i="4"/>
  <c r="I118" i="4"/>
  <c r="F118" i="4"/>
  <c r="K118" i="4" s="1"/>
  <c r="M124" i="4"/>
  <c r="N124" i="4" s="1"/>
  <c r="T124" i="4"/>
  <c r="J122" i="4"/>
  <c r="J118" i="4"/>
  <c r="J114" i="4"/>
  <c r="J119" i="4"/>
  <c r="J115" i="4"/>
  <c r="J120" i="4"/>
  <c r="J116" i="4"/>
  <c r="J131" i="4"/>
  <c r="M131" i="4" s="1"/>
  <c r="N131" i="4" s="1"/>
  <c r="J121" i="4"/>
  <c r="J54" i="4"/>
  <c r="J50" i="4"/>
  <c r="J117" i="4"/>
  <c r="J55" i="4"/>
  <c r="J51" i="4"/>
  <c r="J47" i="4"/>
  <c r="J43" i="4"/>
  <c r="J56" i="4"/>
  <c r="J52" i="4"/>
  <c r="J48" i="4"/>
  <c r="J44" i="4"/>
  <c r="J38" i="4"/>
  <c r="F40" i="4"/>
  <c r="K40" i="4" s="1"/>
  <c r="F43" i="4"/>
  <c r="K43" i="4" s="1"/>
  <c r="F47" i="4"/>
  <c r="K47" i="4" s="1"/>
  <c r="J49" i="4"/>
  <c r="L53" i="4"/>
  <c r="U54" i="4"/>
  <c r="I54" i="4"/>
  <c r="F54" i="4"/>
  <c r="K54" i="4" s="1"/>
  <c r="M66" i="4"/>
  <c r="I87" i="4"/>
  <c r="L88" i="4"/>
  <c r="S88" i="4" s="1"/>
  <c r="F91" i="4"/>
  <c r="K91" i="4" s="1"/>
  <c r="I91" i="4"/>
  <c r="I94" i="4"/>
  <c r="L94" i="4" s="1"/>
  <c r="L106" i="4"/>
  <c r="M128" i="4"/>
  <c r="N128" i="4" s="1"/>
  <c r="S128" i="4"/>
  <c r="T128" i="4" s="1"/>
  <c r="J101" i="4"/>
  <c r="J100" i="4"/>
  <c r="J99" i="4"/>
  <c r="J37" i="4"/>
  <c r="I40" i="4"/>
  <c r="J41" i="4"/>
  <c r="U42" i="4"/>
  <c r="F42" i="4"/>
  <c r="K42" i="4" s="1"/>
  <c r="L42" i="4" s="1"/>
  <c r="J53" i="4"/>
  <c r="L96" i="4"/>
  <c r="L100" i="4"/>
  <c r="S132" i="4"/>
  <c r="T132" i="4" s="1"/>
  <c r="M132" i="4"/>
  <c r="N132" i="4" s="1"/>
  <c r="M133" i="4"/>
  <c r="N133" i="4" s="1"/>
  <c r="S133" i="4"/>
  <c r="T133" i="4" s="1"/>
  <c r="I51" i="4"/>
  <c r="S53" i="4"/>
  <c r="I55" i="4"/>
  <c r="U55" i="4"/>
  <c r="J60" i="4"/>
  <c r="U122" i="4"/>
  <c r="I122" i="4"/>
  <c r="F122" i="4"/>
  <c r="K122" i="4" s="1"/>
  <c r="S123" i="4"/>
  <c r="T123" i="4" s="1"/>
  <c r="N123" i="4"/>
  <c r="S126" i="4"/>
  <c r="T126" i="4" s="1"/>
  <c r="N126" i="4"/>
  <c r="S127" i="4"/>
  <c r="T127" i="4" s="1"/>
  <c r="M127" i="4"/>
  <c r="N127" i="4" s="1"/>
  <c r="S131" i="4"/>
  <c r="T131" i="4" s="1"/>
  <c r="M137" i="4"/>
  <c r="L93" i="4"/>
  <c r="S102" i="4"/>
  <c r="T102" i="4" s="1"/>
  <c r="I103" i="4"/>
  <c r="U114" i="4"/>
  <c r="I114" i="4"/>
  <c r="F114" i="4"/>
  <c r="K114" i="4" s="1"/>
  <c r="K107" i="4"/>
  <c r="L107" i="4" s="1"/>
  <c r="S109" i="4"/>
  <c r="T109" i="4" s="1"/>
  <c r="S129" i="4"/>
  <c r="T129" i="4" s="1"/>
  <c r="J147" i="4"/>
  <c r="M147" i="4" s="1"/>
  <c r="C108" i="4"/>
  <c r="K108" i="4" s="1"/>
  <c r="I117" i="4"/>
  <c r="I121" i="4"/>
  <c r="L55" i="4" l="1"/>
  <c r="S16" i="4"/>
  <c r="T16" i="4" s="1"/>
  <c r="K103" i="4"/>
  <c r="M105" i="4"/>
  <c r="N105" i="4" s="1"/>
  <c r="T8" i="4"/>
  <c r="L117" i="4"/>
  <c r="L51" i="4"/>
  <c r="S51" i="4" s="1"/>
  <c r="T51" i="4" s="1"/>
  <c r="L37" i="4"/>
  <c r="K134" i="4"/>
  <c r="J140" i="4" s="1"/>
  <c r="M140" i="4" s="1"/>
  <c r="L40" i="4"/>
  <c r="M40" i="4" s="1"/>
  <c r="N40" i="4" s="1"/>
  <c r="T30" i="4"/>
  <c r="M8" i="4"/>
  <c r="M45" i="4"/>
  <c r="N45" i="4" s="1"/>
  <c r="U134" i="4"/>
  <c r="J139" i="4" s="1"/>
  <c r="M139" i="4" s="1"/>
  <c r="S130" i="4"/>
  <c r="T130" i="4" s="1"/>
  <c r="M125" i="4"/>
  <c r="N125" i="4" s="1"/>
  <c r="L121" i="4"/>
  <c r="L119" i="4"/>
  <c r="L115" i="4"/>
  <c r="S115" i="4" s="1"/>
  <c r="T115" i="4" s="1"/>
  <c r="L86" i="4"/>
  <c r="M86" i="4" s="1"/>
  <c r="N86" i="4" s="1"/>
  <c r="S11" i="4"/>
  <c r="T11" i="4" s="1"/>
  <c r="S31" i="4"/>
  <c r="I31" i="4"/>
  <c r="L31" i="4" s="1"/>
  <c r="L54" i="4"/>
  <c r="M54" i="4" s="1"/>
  <c r="N54" i="4" s="1"/>
  <c r="L101" i="4"/>
  <c r="M101" i="4" s="1"/>
  <c r="N101" i="4" s="1"/>
  <c r="K87" i="4"/>
  <c r="M104" i="4"/>
  <c r="N104" i="4" s="1"/>
  <c r="S104" i="4"/>
  <c r="T104" i="4" s="1"/>
  <c r="J144" i="4"/>
  <c r="M144" i="4" s="1"/>
  <c r="L50" i="4"/>
  <c r="M50" i="4" s="1"/>
  <c r="N50" i="4" s="1"/>
  <c r="L47" i="4"/>
  <c r="M47" i="4" s="1"/>
  <c r="N47" i="4" s="1"/>
  <c r="L56" i="4"/>
  <c r="T56" i="4" s="1"/>
  <c r="M143" i="4"/>
  <c r="N8" i="4"/>
  <c r="M42" i="4"/>
  <c r="N42" i="4" s="1"/>
  <c r="S42" i="4"/>
  <c r="T42" i="4" s="1"/>
  <c r="M51" i="4"/>
  <c r="N51" i="4" s="1"/>
  <c r="M18" i="4"/>
  <c r="N18" i="4" s="1"/>
  <c r="L114" i="4"/>
  <c r="L122" i="4"/>
  <c r="M94" i="4"/>
  <c r="N94" i="4" s="1"/>
  <c r="S94" i="4"/>
  <c r="T94" i="4" s="1"/>
  <c r="L118" i="4"/>
  <c r="T98" i="4"/>
  <c r="M98" i="4"/>
  <c r="N98" i="4" s="1"/>
  <c r="M27" i="4"/>
  <c r="N27" i="4" s="1"/>
  <c r="L97" i="4"/>
  <c r="L41" i="4"/>
  <c r="T19" i="4"/>
  <c r="M19" i="4"/>
  <c r="N19" i="4" s="1"/>
  <c r="M85" i="4"/>
  <c r="T85" i="4"/>
  <c r="L87" i="4"/>
  <c r="S27" i="4"/>
  <c r="T27" i="4" s="1"/>
  <c r="T25" i="4"/>
  <c r="M25" i="4"/>
  <c r="N25" i="4" s="1"/>
  <c r="T17" i="4"/>
  <c r="M17" i="4"/>
  <c r="L26" i="4"/>
  <c r="M14" i="4"/>
  <c r="N14" i="4" s="1"/>
  <c r="T14" i="4"/>
  <c r="K57" i="4"/>
  <c r="J63" i="4" s="1"/>
  <c r="H155" i="4"/>
  <c r="M60" i="4"/>
  <c r="S96" i="4"/>
  <c r="T96" i="4" s="1"/>
  <c r="M96" i="4"/>
  <c r="N96" i="4" s="1"/>
  <c r="M106" i="4"/>
  <c r="N106" i="4" s="1"/>
  <c r="S106" i="4"/>
  <c r="T106" i="4" s="1"/>
  <c r="S47" i="4"/>
  <c r="T47" i="4" s="1"/>
  <c r="S108" i="4"/>
  <c r="S120" i="4"/>
  <c r="T120" i="4" s="1"/>
  <c r="M120" i="4"/>
  <c r="N120" i="4" s="1"/>
  <c r="S93" i="4"/>
  <c r="T93" i="4" s="1"/>
  <c r="M93" i="4"/>
  <c r="N93" i="4" s="1"/>
  <c r="M55" i="4"/>
  <c r="N55" i="4" s="1"/>
  <c r="T55" i="4"/>
  <c r="M90" i="4"/>
  <c r="N90" i="4" s="1"/>
  <c r="T90" i="4"/>
  <c r="M92" i="4"/>
  <c r="N92" i="4" s="1"/>
  <c r="S92" i="4"/>
  <c r="T92" i="4" s="1"/>
  <c r="M88" i="4"/>
  <c r="N88" i="4" s="1"/>
  <c r="T88" i="4"/>
  <c r="M53" i="4"/>
  <c r="N53" i="4" s="1"/>
  <c r="T53" i="4"/>
  <c r="M49" i="4"/>
  <c r="N49" i="4" s="1"/>
  <c r="S49" i="4"/>
  <c r="T49" i="4" s="1"/>
  <c r="T22" i="4"/>
  <c r="M22" i="4"/>
  <c r="N22" i="4" s="1"/>
  <c r="M9" i="4"/>
  <c r="M10" i="4" s="1"/>
  <c r="S44" i="4"/>
  <c r="T44" i="4" s="1"/>
  <c r="M44" i="4"/>
  <c r="N44" i="4" s="1"/>
  <c r="M37" i="4"/>
  <c r="N37" i="4" s="1"/>
  <c r="S37" i="4"/>
  <c r="T37" i="4" s="1"/>
  <c r="S18" i="4"/>
  <c r="S26" i="4" s="1"/>
  <c r="M117" i="4"/>
  <c r="N117" i="4" s="1"/>
  <c r="S117" i="4"/>
  <c r="T117" i="4" s="1"/>
  <c r="M13" i="4"/>
  <c r="N13" i="4" s="1"/>
  <c r="T13" i="4"/>
  <c r="M121" i="4"/>
  <c r="N121" i="4" s="1"/>
  <c r="S121" i="4"/>
  <c r="T121" i="4" s="1"/>
  <c r="M107" i="4"/>
  <c r="N107" i="4" s="1"/>
  <c r="T107" i="4"/>
  <c r="I108" i="4"/>
  <c r="L108" i="4" s="1"/>
  <c r="S116" i="4"/>
  <c r="T116" i="4" s="1"/>
  <c r="M116" i="4"/>
  <c r="N116" i="4" s="1"/>
  <c r="S100" i="4"/>
  <c r="T100" i="4" s="1"/>
  <c r="M100" i="4"/>
  <c r="N100" i="4" s="1"/>
  <c r="L91" i="4"/>
  <c r="T52" i="4"/>
  <c r="M52" i="4"/>
  <c r="N52" i="4" s="1"/>
  <c r="M99" i="4"/>
  <c r="N99" i="4" s="1"/>
  <c r="S99" i="4"/>
  <c r="T99" i="4" s="1"/>
  <c r="M95" i="4"/>
  <c r="N95" i="4" s="1"/>
  <c r="S95" i="4"/>
  <c r="T95" i="4" s="1"/>
  <c r="S48" i="4"/>
  <c r="T48" i="4" s="1"/>
  <c r="M48" i="4"/>
  <c r="N48" i="4" s="1"/>
  <c r="L43" i="4"/>
  <c r="S38" i="4"/>
  <c r="T38" i="4" s="1"/>
  <c r="M38" i="4"/>
  <c r="N38" i="4" s="1"/>
  <c r="I29" i="4"/>
  <c r="L29" i="4" s="1"/>
  <c r="T23" i="4"/>
  <c r="M23" i="4"/>
  <c r="N23" i="4" s="1"/>
  <c r="M15" i="4"/>
  <c r="N15" i="4" s="1"/>
  <c r="M32" i="4"/>
  <c r="N32" i="4" s="1"/>
  <c r="T32" i="4"/>
  <c r="L46" i="4"/>
  <c r="S9" i="4"/>
  <c r="S10" i="4" s="1"/>
  <c r="S39" i="4"/>
  <c r="T39" i="4" s="1"/>
  <c r="M39" i="4"/>
  <c r="N39" i="4" s="1"/>
  <c r="T21" i="4"/>
  <c r="M21" i="4"/>
  <c r="N21" i="4" s="1"/>
  <c r="S15" i="4"/>
  <c r="T15" i="4" s="1"/>
  <c r="U57" i="4"/>
  <c r="J62" i="4" s="1"/>
  <c r="L10" i="4"/>
  <c r="S40" i="4" l="1"/>
  <c r="T40" i="4" s="1"/>
  <c r="T31" i="4"/>
  <c r="M31" i="4"/>
  <c r="N31" i="4" s="1"/>
  <c r="S86" i="4"/>
  <c r="T86" i="4" s="1"/>
  <c r="T87" i="4" s="1"/>
  <c r="S50" i="4"/>
  <c r="T50" i="4" s="1"/>
  <c r="T54" i="4"/>
  <c r="M115" i="4"/>
  <c r="N115" i="4" s="1"/>
  <c r="N9" i="4"/>
  <c r="M119" i="4"/>
  <c r="N119" i="4" s="1"/>
  <c r="S119" i="4"/>
  <c r="T119" i="4" s="1"/>
  <c r="M56" i="4"/>
  <c r="N56" i="4" s="1"/>
  <c r="S101" i="4"/>
  <c r="T101" i="4" s="1"/>
  <c r="M87" i="4"/>
  <c r="N85" i="4"/>
  <c r="N87" i="4" s="1"/>
  <c r="M118" i="4"/>
  <c r="N118" i="4" s="1"/>
  <c r="S118" i="4"/>
  <c r="T118" i="4" s="1"/>
  <c r="M46" i="4"/>
  <c r="N46" i="4" s="1"/>
  <c r="S46" i="4"/>
  <c r="T46" i="4" s="1"/>
  <c r="H158" i="4"/>
  <c r="M63" i="4"/>
  <c r="T26" i="4"/>
  <c r="M97" i="4"/>
  <c r="N97" i="4" s="1"/>
  <c r="N103" i="4" s="1"/>
  <c r="S97" i="4"/>
  <c r="T97" i="4" s="1"/>
  <c r="T18" i="4"/>
  <c r="M91" i="4"/>
  <c r="N91" i="4" s="1"/>
  <c r="S91" i="4"/>
  <c r="T91" i="4" s="1"/>
  <c r="M26" i="4"/>
  <c r="M122" i="4"/>
  <c r="N122" i="4" s="1"/>
  <c r="S122" i="4"/>
  <c r="T122" i="4" s="1"/>
  <c r="N10" i="4"/>
  <c r="M43" i="4"/>
  <c r="N43" i="4" s="1"/>
  <c r="S43" i="4"/>
  <c r="T43" i="4" s="1"/>
  <c r="T9" i="4"/>
  <c r="T10" i="4" s="1"/>
  <c r="M41" i="4"/>
  <c r="N41" i="4" s="1"/>
  <c r="S41" i="4"/>
  <c r="T41" i="4" s="1"/>
  <c r="M62" i="4"/>
  <c r="H157" i="4"/>
  <c r="M29" i="4"/>
  <c r="N29" i="4" s="1"/>
  <c r="S29" i="4"/>
  <c r="T29" i="4" s="1"/>
  <c r="M108" i="4"/>
  <c r="N108" i="4" s="1"/>
  <c r="T108" i="4"/>
  <c r="L57" i="4"/>
  <c r="J61" i="4" s="1"/>
  <c r="N17" i="4"/>
  <c r="N26" i="4" s="1"/>
  <c r="L103" i="4"/>
  <c r="M114" i="4"/>
  <c r="N114" i="4" s="1"/>
  <c r="L134" i="4"/>
  <c r="J138" i="4" s="1"/>
  <c r="M138" i="4" s="1"/>
  <c r="S114" i="4"/>
  <c r="S134" i="4" s="1"/>
  <c r="S87" i="4" l="1"/>
  <c r="S57" i="4"/>
  <c r="N57" i="4"/>
  <c r="J65" i="4" s="1"/>
  <c r="M65" i="4" s="1"/>
  <c r="T57" i="4"/>
  <c r="M57" i="4"/>
  <c r="J64" i="4" s="1"/>
  <c r="M64" i="4" s="1"/>
  <c r="S103" i="4"/>
  <c r="T103" i="4" s="1"/>
  <c r="T114" i="4"/>
  <c r="T134" i="4" s="1"/>
  <c r="M103" i="4"/>
  <c r="N134" i="4"/>
  <c r="J142" i="4" s="1"/>
  <c r="M142" i="4" s="1"/>
  <c r="H156" i="4"/>
  <c r="M61" i="4"/>
  <c r="M134" i="4"/>
  <c r="J141" i="4" s="1"/>
  <c r="M141" i="4" s="1"/>
  <c r="M145" i="4" l="1"/>
  <c r="M150" i="4" s="1"/>
  <c r="H159" i="4"/>
  <c r="M68" i="4"/>
  <c r="M73" i="4" s="1"/>
  <c r="H160" i="4"/>
  <c r="F251" i="7" l="1"/>
  <c r="F250" i="7"/>
  <c r="F254" i="7"/>
  <c r="F248" i="7"/>
  <c r="F249" i="7"/>
  <c r="F246" i="7"/>
  <c r="F255" i="7"/>
  <c r="F256" i="7"/>
  <c r="F247" i="7"/>
  <c r="M49" i="7" l="1"/>
  <c r="M48" i="7"/>
  <c r="M47" i="7"/>
  <c r="M46" i="7"/>
  <c r="L56" i="7"/>
  <c r="M56" i="7" s="1"/>
  <c r="M55" i="7"/>
  <c r="L54" i="7"/>
  <c r="M53" i="7"/>
  <c r="L53" i="7"/>
  <c r="M54" i="7"/>
  <c r="K54" i="7"/>
  <c r="K55" i="7"/>
  <c r="K56" i="7"/>
  <c r="K53" i="7"/>
  <c r="H54" i="7"/>
  <c r="H55" i="7"/>
  <c r="H56" i="7"/>
  <c r="I56" i="7" s="1"/>
  <c r="H53" i="7"/>
  <c r="M51" i="7" l="1"/>
  <c r="L51" i="7"/>
  <c r="I53" i="7"/>
  <c r="M43" i="7"/>
  <c r="I49" i="7" l="1"/>
  <c r="H48" i="7"/>
  <c r="H47" i="7"/>
  <c r="H46" i="7"/>
  <c r="F44" i="7"/>
  <c r="E44" i="7"/>
  <c r="H44" i="7" l="1"/>
  <c r="I46" i="7"/>
  <c r="H41" i="7"/>
  <c r="H34" i="7"/>
  <c r="D236" i="7" l="1"/>
  <c r="H236" i="7" s="1"/>
  <c r="H231" i="7"/>
  <c r="H230" i="7"/>
  <c r="I23" i="11"/>
  <c r="I25" i="11"/>
  <c r="I26" i="11"/>
  <c r="I27" i="11"/>
  <c r="C24" i="11"/>
  <c r="I24" i="11" s="1"/>
  <c r="F71" i="11"/>
  <c r="C62" i="11"/>
  <c r="F62" i="11" s="1"/>
  <c r="C61" i="11"/>
  <c r="F61" i="11" s="1"/>
  <c r="C60" i="11"/>
  <c r="F60" i="11" s="1"/>
  <c r="C59" i="11"/>
  <c r="F59" i="11" s="1"/>
  <c r="C58" i="11"/>
  <c r="F58" i="11" s="1"/>
  <c r="C57" i="11"/>
  <c r="F57" i="11" s="1"/>
  <c r="C56" i="11"/>
  <c r="F56" i="11" s="1"/>
  <c r="C55" i="11"/>
  <c r="F55" i="11" s="1"/>
  <c r="C54" i="11"/>
  <c r="F54" i="11" s="1"/>
  <c r="C53" i="11"/>
  <c r="F53" i="11" s="1"/>
  <c r="C51" i="11"/>
  <c r="F51" i="11" s="1"/>
  <c r="C50" i="11"/>
  <c r="F50" i="11" s="1"/>
  <c r="C49" i="11"/>
  <c r="F49" i="11" s="1"/>
  <c r="C48" i="11"/>
  <c r="F48" i="11" s="1"/>
  <c r="C47" i="11"/>
  <c r="F47" i="11" s="1"/>
  <c r="C46" i="11"/>
  <c r="F46" i="11" s="1"/>
  <c r="O34" i="11"/>
  <c r="L34" i="11"/>
  <c r="I34" i="11"/>
  <c r="F34" i="11"/>
  <c r="O33" i="11"/>
  <c r="L33" i="11"/>
  <c r="I33" i="11"/>
  <c r="F33" i="11"/>
  <c r="O32" i="11"/>
  <c r="L32" i="11"/>
  <c r="I32" i="11"/>
  <c r="F32" i="11"/>
  <c r="O31" i="11"/>
  <c r="L31" i="11"/>
  <c r="I31" i="11"/>
  <c r="F31" i="11"/>
  <c r="O30" i="11"/>
  <c r="L30" i="11"/>
  <c r="I30" i="11"/>
  <c r="F30" i="11"/>
  <c r="O29" i="11"/>
  <c r="L29" i="11"/>
  <c r="I29" i="11"/>
  <c r="F29" i="11"/>
  <c r="O28" i="11"/>
  <c r="L28" i="11"/>
  <c r="I28" i="11"/>
  <c r="F28" i="11"/>
  <c r="O27" i="11"/>
  <c r="L27" i="11"/>
  <c r="F27" i="11"/>
  <c r="O26" i="11"/>
  <c r="L26" i="11"/>
  <c r="F26" i="11"/>
  <c r="O25" i="11"/>
  <c r="L25" i="11"/>
  <c r="F25" i="11"/>
  <c r="O23" i="11"/>
  <c r="L23" i="11"/>
  <c r="F23" i="11"/>
  <c r="O22" i="11"/>
  <c r="L22" i="11"/>
  <c r="I22" i="11"/>
  <c r="E22" i="11"/>
  <c r="F22" i="11" s="1"/>
  <c r="O21" i="11"/>
  <c r="L21" i="11"/>
  <c r="I21" i="11"/>
  <c r="E21" i="11"/>
  <c r="F21" i="11" s="1"/>
  <c r="O20" i="11"/>
  <c r="L20" i="11"/>
  <c r="I20" i="11"/>
  <c r="E20" i="11"/>
  <c r="F20" i="11" s="1"/>
  <c r="O19" i="11"/>
  <c r="L19" i="11"/>
  <c r="I19" i="11"/>
  <c r="E19" i="11"/>
  <c r="F19" i="11" s="1"/>
  <c r="O18" i="11"/>
  <c r="L18" i="11"/>
  <c r="I18" i="11"/>
  <c r="F18" i="11"/>
  <c r="G61" i="7"/>
  <c r="H61" i="7" s="1"/>
  <c r="G60" i="7"/>
  <c r="H60" i="7" s="1"/>
  <c r="L24" i="11" l="1"/>
  <c r="I37" i="11"/>
  <c r="C52" i="11"/>
  <c r="F52" i="11" s="1"/>
  <c r="I235" i="7"/>
  <c r="F24" i="11"/>
  <c r="O24" i="11"/>
  <c r="O37" i="11" s="1"/>
  <c r="C35" i="11"/>
  <c r="L37" i="11"/>
  <c r="I59" i="7"/>
  <c r="I229" i="7"/>
  <c r="F37" i="11"/>
  <c r="F233" i="7" l="1"/>
  <c r="I70" i="11"/>
  <c r="I39" i="11"/>
  <c r="I69" i="11"/>
  <c r="I68" i="11"/>
  <c r="I67" i="11"/>
  <c r="I41" i="11" l="1"/>
  <c r="I71" i="11"/>
  <c r="I150" i="7" l="1"/>
  <c r="J150" i="7" s="1"/>
  <c r="J148" i="7" l="1"/>
  <c r="M148" i="7" s="1"/>
  <c r="J149" i="7"/>
  <c r="M149" i="7" s="1"/>
  <c r="M150" i="7"/>
  <c r="J146" i="7"/>
  <c r="K146" i="7"/>
  <c r="I144" i="7"/>
  <c r="J144" i="7" s="1"/>
  <c r="J143" i="7"/>
  <c r="F143" i="7"/>
  <c r="L146" i="7" l="1"/>
  <c r="M146" i="7" s="1"/>
  <c r="M143" i="7"/>
  <c r="M144" i="7"/>
  <c r="N151" i="7"/>
  <c r="D173" i="7"/>
  <c r="G174" i="7" s="1"/>
  <c r="F169" i="7"/>
  <c r="F168" i="7"/>
  <c r="N147" i="7" l="1"/>
  <c r="N142" i="7"/>
  <c r="G167" i="7"/>
  <c r="D172" i="7" s="1"/>
  <c r="G172" i="7" s="1"/>
  <c r="D161" i="7" l="1"/>
  <c r="C1392" i="13" l="1"/>
  <c r="F1392" i="13" s="1"/>
  <c r="C1386" i="13"/>
  <c r="F1386" i="13" s="1"/>
  <c r="F1376" i="13"/>
  <c r="F1375" i="13"/>
  <c r="F1374" i="13"/>
  <c r="F1373" i="13"/>
  <c r="F1372" i="13"/>
  <c r="F1371" i="13"/>
  <c r="F1370" i="13"/>
  <c r="F1369" i="13"/>
  <c r="F1363" i="13"/>
  <c r="C1357" i="13"/>
  <c r="F1357" i="13" s="1"/>
  <c r="F1356" i="13"/>
  <c r="E1355" i="13"/>
  <c r="F1355" i="13" s="1"/>
  <c r="C1352" i="13"/>
  <c r="C1346" i="13"/>
  <c r="F1344" i="13"/>
  <c r="E1337" i="13"/>
  <c r="F1337" i="13" s="1"/>
  <c r="F1336" i="13"/>
  <c r="C1334" i="13"/>
  <c r="C1332" i="13"/>
  <c r="F1332" i="13" s="1"/>
  <c r="F1319" i="13"/>
  <c r="F1314" i="13"/>
  <c r="D1314" i="13"/>
  <c r="D1321" i="13" s="1"/>
  <c r="G1321" i="13" s="1"/>
  <c r="F1313" i="13"/>
  <c r="D1313" i="13"/>
  <c r="D1320" i="13" s="1"/>
  <c r="G1320" i="13" s="1"/>
  <c r="D1312" i="13"/>
  <c r="D1319" i="13" s="1"/>
  <c r="F1311" i="13"/>
  <c r="F1312" i="13" s="1"/>
  <c r="D1311" i="13"/>
  <c r="D1318" i="13" s="1"/>
  <c r="G1318" i="13" s="1"/>
  <c r="D1305" i="13"/>
  <c r="G1305" i="13" s="1"/>
  <c r="G1299" i="13"/>
  <c r="G1298" i="13"/>
  <c r="G1297" i="13"/>
  <c r="F1292" i="13"/>
  <c r="G1292" i="13" s="1"/>
  <c r="F1280" i="13"/>
  <c r="F1281" i="13" s="1"/>
  <c r="F1274" i="13"/>
  <c r="F1273" i="13"/>
  <c r="F1272" i="13"/>
  <c r="F1271" i="13"/>
  <c r="C1267" i="13"/>
  <c r="E1266" i="13"/>
  <c r="F1266" i="13" s="1"/>
  <c r="F1268" i="13" s="1"/>
  <c r="F1269" i="13" s="1"/>
  <c r="F1255" i="13"/>
  <c r="F1254" i="13"/>
  <c r="F1253" i="13"/>
  <c r="F1252" i="13"/>
  <c r="F1251" i="13"/>
  <c r="F1250" i="13"/>
  <c r="F1248" i="13"/>
  <c r="F1249" i="13" s="1"/>
  <c r="F1247" i="13"/>
  <c r="F1240" i="13"/>
  <c r="F1239" i="13"/>
  <c r="C1235" i="13"/>
  <c r="F1224" i="13"/>
  <c r="F1223" i="13"/>
  <c r="E1219" i="13"/>
  <c r="C1219" i="13"/>
  <c r="E1218" i="13"/>
  <c r="E1234" i="13" s="1"/>
  <c r="F1234" i="13" s="1"/>
  <c r="F1211" i="13"/>
  <c r="F1210" i="13"/>
  <c r="E1209" i="13"/>
  <c r="F1209" i="13" s="1"/>
  <c r="E1207" i="13"/>
  <c r="F1207" i="13" s="1"/>
  <c r="J1202" i="13"/>
  <c r="J1203" i="13" s="1"/>
  <c r="C1201" i="13"/>
  <c r="F1201" i="13" s="1"/>
  <c r="H1200" i="13"/>
  <c r="C1199" i="13"/>
  <c r="F1195" i="13"/>
  <c r="F1194" i="13"/>
  <c r="F1193" i="13"/>
  <c r="F1192" i="13"/>
  <c r="F1188" i="13"/>
  <c r="C1184" i="13"/>
  <c r="F1183" i="13"/>
  <c r="F1182" i="13"/>
  <c r="H1173" i="13"/>
  <c r="C1172" i="13"/>
  <c r="C1173" i="13" s="1"/>
  <c r="F1173" i="13" s="1"/>
  <c r="F1162" i="13"/>
  <c r="F1161" i="13"/>
  <c r="F1160" i="13"/>
  <c r="F1156" i="13"/>
  <c r="F1155" i="13"/>
  <c r="F1146" i="13"/>
  <c r="F1145" i="13"/>
  <c r="F1144" i="13"/>
  <c r="F1140" i="13"/>
  <c r="E1139" i="13"/>
  <c r="F1139" i="13" s="1"/>
  <c r="F1138" i="13"/>
  <c r="I1132" i="13"/>
  <c r="F1130" i="13"/>
  <c r="F1129" i="13"/>
  <c r="F1128" i="13"/>
  <c r="F1124" i="13"/>
  <c r="F1123" i="13"/>
  <c r="I1118" i="13"/>
  <c r="F1116" i="13"/>
  <c r="F1115" i="13"/>
  <c r="F1114" i="13"/>
  <c r="F1110" i="13"/>
  <c r="F1109" i="13"/>
  <c r="F1104" i="13"/>
  <c r="C1091" i="13"/>
  <c r="F1091" i="13" s="1"/>
  <c r="C1080" i="13"/>
  <c r="F1080" i="13" s="1"/>
  <c r="C1074" i="13"/>
  <c r="F1074" i="13" s="1"/>
  <c r="C1068" i="13"/>
  <c r="F1068" i="13" s="1"/>
  <c r="F1055" i="13"/>
  <c r="F1054" i="13"/>
  <c r="F1053" i="13"/>
  <c r="E1050" i="13"/>
  <c r="E1049" i="13"/>
  <c r="F1049" i="13" s="1"/>
  <c r="F1045" i="13"/>
  <c r="F1044" i="13"/>
  <c r="F1043" i="13"/>
  <c r="F1042" i="13"/>
  <c r="E1040" i="13"/>
  <c r="F1040" i="13" s="1"/>
  <c r="E1039" i="13"/>
  <c r="F1039" i="13" s="1"/>
  <c r="E1037" i="13"/>
  <c r="E1038" i="13" s="1"/>
  <c r="F1038" i="13" s="1"/>
  <c r="F1033" i="13"/>
  <c r="F1032" i="13"/>
  <c r="F1031" i="13"/>
  <c r="E1030" i="13"/>
  <c r="E1041" i="13" s="1"/>
  <c r="F1041" i="13" s="1"/>
  <c r="E1029" i="13"/>
  <c r="F1029" i="13" s="1"/>
  <c r="E1028" i="13"/>
  <c r="F1028" i="13" s="1"/>
  <c r="E1027" i="13"/>
  <c r="F1027" i="13" s="1"/>
  <c r="F1023" i="13"/>
  <c r="F1022" i="13"/>
  <c r="E1021" i="13"/>
  <c r="F1021" i="13" s="1"/>
  <c r="F1017" i="13"/>
  <c r="F1016" i="13"/>
  <c r="F1015" i="13"/>
  <c r="F1014" i="13"/>
  <c r="F1013" i="13"/>
  <c r="F1012" i="13"/>
  <c r="F1011" i="13"/>
  <c r="F1010" i="13"/>
  <c r="F1009" i="13"/>
  <c r="F1008" i="13"/>
  <c r="F1007" i="13"/>
  <c r="F1006" i="13"/>
  <c r="F1005" i="13"/>
  <c r="F1001" i="13"/>
  <c r="F1000" i="13"/>
  <c r="F999" i="13"/>
  <c r="F998" i="13"/>
  <c r="F994" i="13"/>
  <c r="F993" i="13"/>
  <c r="F992" i="13"/>
  <c r="F991" i="13"/>
  <c r="F990" i="13"/>
  <c r="F989" i="13"/>
  <c r="F988" i="13"/>
  <c r="F987" i="13"/>
  <c r="F986" i="13"/>
  <c r="F985" i="13"/>
  <c r="F984" i="13"/>
  <c r="F980" i="13"/>
  <c r="F979" i="13"/>
  <c r="F978" i="13"/>
  <c r="F977" i="13"/>
  <c r="F976" i="13"/>
  <c r="F972" i="13"/>
  <c r="F971" i="13"/>
  <c r="F970" i="13"/>
  <c r="F969" i="13"/>
  <c r="F968" i="13"/>
  <c r="F967" i="13"/>
  <c r="F966" i="13"/>
  <c r="F965" i="13"/>
  <c r="F964" i="13"/>
  <c r="F963" i="13"/>
  <c r="F962" i="13"/>
  <c r="C955" i="13"/>
  <c r="F955" i="13" s="1"/>
  <c r="F954" i="13"/>
  <c r="F953" i="13"/>
  <c r="F952" i="13"/>
  <c r="C947" i="13"/>
  <c r="F947" i="13" s="1"/>
  <c r="F946" i="13"/>
  <c r="F945" i="13"/>
  <c r="F944" i="13"/>
  <c r="C939" i="13"/>
  <c r="F939" i="13" s="1"/>
  <c r="F938" i="13"/>
  <c r="F937" i="13"/>
  <c r="F936" i="13"/>
  <c r="F931" i="13"/>
  <c r="F930" i="13"/>
  <c r="F929" i="13"/>
  <c r="F928" i="13"/>
  <c r="F923" i="13"/>
  <c r="F920" i="13"/>
  <c r="F919" i="13"/>
  <c r="F917" i="13"/>
  <c r="F915" i="13"/>
  <c r="F910" i="13"/>
  <c r="F907" i="13"/>
  <c r="F906" i="13"/>
  <c r="F898" i="13"/>
  <c r="F895" i="13"/>
  <c r="F894" i="13"/>
  <c r="E892" i="13"/>
  <c r="E904" i="13" s="1"/>
  <c r="E891" i="13"/>
  <c r="F891" i="13" s="1"/>
  <c r="E887" i="13"/>
  <c r="E886" i="13"/>
  <c r="F886" i="13" s="1"/>
  <c r="E885" i="13"/>
  <c r="E897" i="13" s="1"/>
  <c r="E909" i="13" s="1"/>
  <c r="F909" i="13" s="1"/>
  <c r="E884" i="13"/>
  <c r="F883" i="13"/>
  <c r="F882" i="13"/>
  <c r="E881" i="13"/>
  <c r="F880" i="13"/>
  <c r="E879" i="13"/>
  <c r="F879" i="13" s="1"/>
  <c r="F874" i="13"/>
  <c r="F873" i="13"/>
  <c r="I872" i="13"/>
  <c r="F872" i="13"/>
  <c r="F871" i="13"/>
  <c r="F870" i="13"/>
  <c r="F869" i="13"/>
  <c r="F868" i="13"/>
  <c r="F863" i="13"/>
  <c r="C857" i="13"/>
  <c r="F857" i="13" s="1"/>
  <c r="F851" i="13"/>
  <c r="C845" i="13"/>
  <c r="F845" i="13" s="1"/>
  <c r="D830" i="13"/>
  <c r="F829" i="13"/>
  <c r="F828" i="13"/>
  <c r="F826" i="13"/>
  <c r="F821" i="13"/>
  <c r="F819" i="13"/>
  <c r="F818" i="13"/>
  <c r="C814" i="13"/>
  <c r="F814" i="13" s="1"/>
  <c r="C808" i="13"/>
  <c r="F808" i="13" s="1"/>
  <c r="E1174" i="13" s="1"/>
  <c r="C802" i="13"/>
  <c r="F802" i="13" s="1"/>
  <c r="F784" i="13"/>
  <c r="E782" i="13"/>
  <c r="F782" i="13" s="1"/>
  <c r="F778" i="13"/>
  <c r="F777" i="13"/>
  <c r="F775" i="13"/>
  <c r="C754" i="13"/>
  <c r="F754" i="13" s="1"/>
  <c r="C744" i="13"/>
  <c r="F744" i="13" s="1"/>
  <c r="E742" i="13"/>
  <c r="E752" i="13" s="1"/>
  <c r="E735" i="13"/>
  <c r="E734" i="13"/>
  <c r="F734" i="13" s="1"/>
  <c r="F733" i="13"/>
  <c r="F732" i="13"/>
  <c r="F731" i="13"/>
  <c r="F730" i="13"/>
  <c r="F729" i="13"/>
  <c r="F728" i="13"/>
  <c r="F727" i="13"/>
  <c r="F726" i="13"/>
  <c r="E725" i="13"/>
  <c r="F725" i="13" s="1"/>
  <c r="E724" i="13"/>
  <c r="F724" i="13" s="1"/>
  <c r="E723" i="13"/>
  <c r="F723" i="13" s="1"/>
  <c r="E722" i="13"/>
  <c r="F722" i="13" s="1"/>
  <c r="E721" i="13"/>
  <c r="F721" i="13" s="1"/>
  <c r="E720" i="13"/>
  <c r="F720" i="13" s="1"/>
  <c r="F712" i="13"/>
  <c r="F711" i="13"/>
  <c r="F710" i="13"/>
  <c r="F709" i="13"/>
  <c r="F708" i="13"/>
  <c r="F706" i="13"/>
  <c r="G705" i="13"/>
  <c r="H705" i="13" s="1"/>
  <c r="F705" i="13"/>
  <c r="F704" i="13"/>
  <c r="F703" i="13"/>
  <c r="G702" i="13"/>
  <c r="F702" i="13"/>
  <c r="G701" i="13"/>
  <c r="F701" i="13"/>
  <c r="E700" i="13"/>
  <c r="F700" i="13" s="1"/>
  <c r="E699" i="13"/>
  <c r="E718" i="13" s="1"/>
  <c r="F718" i="13" s="1"/>
  <c r="F698" i="13"/>
  <c r="F695" i="13"/>
  <c r="F694" i="13"/>
  <c r="F693" i="13"/>
  <c r="F692" i="13"/>
  <c r="F688" i="13"/>
  <c r="C682" i="13"/>
  <c r="C676" i="13"/>
  <c r="F676" i="13" s="1"/>
  <c r="C670" i="13"/>
  <c r="F670" i="13" s="1"/>
  <c r="C663" i="13"/>
  <c r="F663" i="13" s="1"/>
  <c r="C656" i="13"/>
  <c r="C636" i="13"/>
  <c r="F636" i="13" s="1"/>
  <c r="C629" i="13"/>
  <c r="F629" i="13" s="1"/>
  <c r="C622" i="13"/>
  <c r="F622" i="13" s="1"/>
  <c r="F603" i="13"/>
  <c r="F602" i="13"/>
  <c r="G596" i="13"/>
  <c r="F596" i="13"/>
  <c r="E595" i="13"/>
  <c r="F595" i="13" s="1"/>
  <c r="F590" i="13"/>
  <c r="F589" i="13"/>
  <c r="F588" i="13"/>
  <c r="F584" i="13"/>
  <c r="F583" i="13"/>
  <c r="F576" i="13"/>
  <c r="F575" i="13"/>
  <c r="F569" i="13"/>
  <c r="F567" i="13"/>
  <c r="F566" i="13"/>
  <c r="F562" i="13"/>
  <c r="F561" i="13"/>
  <c r="F560" i="13"/>
  <c r="F556" i="13"/>
  <c r="F555" i="13"/>
  <c r="F550" i="13"/>
  <c r="F549" i="13"/>
  <c r="F548" i="13"/>
  <c r="F544" i="13"/>
  <c r="F543" i="13"/>
  <c r="F538" i="13"/>
  <c r="F529" i="13"/>
  <c r="E528" i="13"/>
  <c r="F528" i="13" s="1"/>
  <c r="F523" i="13"/>
  <c r="F522" i="13"/>
  <c r="C518" i="13"/>
  <c r="F518" i="13" s="1"/>
  <c r="C512" i="13"/>
  <c r="F512" i="13" s="1"/>
  <c r="C505" i="13"/>
  <c r="F505" i="13" s="1"/>
  <c r="C499" i="13"/>
  <c r="F499" i="13" s="1"/>
  <c r="C480" i="13"/>
  <c r="F480" i="13" s="1"/>
  <c r="C460" i="13"/>
  <c r="F460" i="13" s="1"/>
  <c r="C425" i="13"/>
  <c r="F425" i="13" s="1"/>
  <c r="C412" i="13"/>
  <c r="F412" i="13" s="1"/>
  <c r="C406" i="13"/>
  <c r="F406" i="13" s="1"/>
  <c r="C400" i="13"/>
  <c r="F400" i="13" s="1"/>
  <c r="C373" i="13"/>
  <c r="F373" i="13" s="1"/>
  <c r="C355" i="13"/>
  <c r="F355" i="13" s="1"/>
  <c r="C349" i="13"/>
  <c r="F349" i="13" s="1"/>
  <c r="C322" i="13"/>
  <c r="F322" i="13" s="1"/>
  <c r="C316" i="13"/>
  <c r="F316" i="13" s="1"/>
  <c r="F302" i="13"/>
  <c r="F303" i="13" s="1"/>
  <c r="E849" i="13" s="1"/>
  <c r="F849" i="13" s="1"/>
  <c r="C298" i="13"/>
  <c r="F298" i="13" s="1"/>
  <c r="E291" i="13"/>
  <c r="E296" i="13" s="1"/>
  <c r="C287" i="13"/>
  <c r="F287" i="13" s="1"/>
  <c r="D280" i="13"/>
  <c r="F279" i="13"/>
  <c r="F278" i="13"/>
  <c r="F276" i="13"/>
  <c r="F266" i="13"/>
  <c r="F265" i="13"/>
  <c r="F260" i="13"/>
  <c r="F259" i="13"/>
  <c r="F258" i="13"/>
  <c r="F252" i="13"/>
  <c r="F250" i="13"/>
  <c r="F249" i="13"/>
  <c r="F244" i="13"/>
  <c r="F243" i="13"/>
  <c r="F242" i="13"/>
  <c r="F236" i="13"/>
  <c r="F235" i="13"/>
  <c r="F234" i="13"/>
  <c r="F233" i="13"/>
  <c r="E228" i="13"/>
  <c r="C228" i="13"/>
  <c r="C222" i="13"/>
  <c r="F222" i="13" s="1"/>
  <c r="C216" i="13"/>
  <c r="F216" i="13" s="1"/>
  <c r="C210" i="13"/>
  <c r="F210" i="13" s="1"/>
  <c r="C162" i="13"/>
  <c r="F162" i="13" s="1"/>
  <c r="C156" i="13"/>
  <c r="F156" i="13" s="1"/>
  <c r="C150" i="13"/>
  <c r="F150" i="13" s="1"/>
  <c r="C144" i="13"/>
  <c r="F144" i="13" s="1"/>
  <c r="C138" i="13"/>
  <c r="F138" i="13" s="1"/>
  <c r="C132" i="13"/>
  <c r="F132" i="13" s="1"/>
  <c r="C126" i="13"/>
  <c r="F126" i="13" s="1"/>
  <c r="C120" i="13"/>
  <c r="F120" i="13" s="1"/>
  <c r="C114" i="13"/>
  <c r="F114" i="13" s="1"/>
  <c r="C108" i="13"/>
  <c r="F108" i="13" s="1"/>
  <c r="C102" i="13"/>
  <c r="F102" i="13" s="1"/>
  <c r="C95" i="13"/>
  <c r="F95" i="13" s="1"/>
  <c r="F89" i="13"/>
  <c r="F82" i="13"/>
  <c r="F74" i="13"/>
  <c r="F66" i="13"/>
  <c r="F61" i="13"/>
  <c r="F60" i="13"/>
  <c r="F59" i="13"/>
  <c r="F54" i="13"/>
  <c r="F46" i="13"/>
  <c r="F47" i="13" s="1"/>
  <c r="F41" i="13"/>
  <c r="F32" i="13"/>
  <c r="F24" i="13"/>
  <c r="F25" i="13" s="1"/>
  <c r="E142" i="13" s="1"/>
  <c r="F142" i="13" s="1"/>
  <c r="F20" i="13"/>
  <c r="F15" i="13"/>
  <c r="F11" i="13"/>
  <c r="F10" i="13"/>
  <c r="F9" i="13"/>
  <c r="F8" i="13"/>
  <c r="E65" i="13" s="1"/>
  <c r="F65" i="13" s="1"/>
  <c r="F7" i="13"/>
  <c r="E19" i="13" s="1"/>
  <c r="F19" i="13" s="1"/>
  <c r="F6" i="13"/>
  <c r="E14" i="13" s="1"/>
  <c r="F14" i="13" s="1"/>
  <c r="F5" i="13"/>
  <c r="E73" i="13" s="1"/>
  <c r="F73" i="13" s="1"/>
  <c r="F4" i="13"/>
  <c r="E81" i="13" s="1"/>
  <c r="F81" i="13" s="1"/>
  <c r="F3" i="13"/>
  <c r="E536" i="13" s="1"/>
  <c r="F536" i="13" s="1"/>
  <c r="F151" i="14"/>
  <c r="F150" i="14"/>
  <c r="F149" i="14"/>
  <c r="H149" i="14" s="1"/>
  <c r="F148" i="14"/>
  <c r="H148" i="14" s="1"/>
  <c r="F147" i="14"/>
  <c r="H147" i="14" s="1"/>
  <c r="F143" i="14"/>
  <c r="F142" i="14"/>
  <c r="F141" i="14"/>
  <c r="H141" i="14" s="1"/>
  <c r="F140" i="14"/>
  <c r="H140" i="14" s="1"/>
  <c r="F139" i="14"/>
  <c r="H139" i="14" s="1"/>
  <c r="F135" i="14"/>
  <c r="F134" i="14"/>
  <c r="F133" i="14"/>
  <c r="H133" i="14" s="1"/>
  <c r="F132" i="14"/>
  <c r="H132" i="14" s="1"/>
  <c r="F131" i="14"/>
  <c r="H131" i="14" s="1"/>
  <c r="F127" i="14"/>
  <c r="F126" i="14"/>
  <c r="F125" i="14"/>
  <c r="H125" i="14" s="1"/>
  <c r="F124" i="14"/>
  <c r="H124" i="14" s="1"/>
  <c r="F123" i="14"/>
  <c r="H123" i="14" s="1"/>
  <c r="F119" i="14"/>
  <c r="F118" i="14"/>
  <c r="H117" i="14"/>
  <c r="H116" i="14"/>
  <c r="F115" i="14"/>
  <c r="H115" i="14" s="1"/>
  <c r="F114" i="14"/>
  <c r="H114" i="14" s="1"/>
  <c r="F113" i="14"/>
  <c r="H113" i="14" s="1"/>
  <c r="F109" i="14"/>
  <c r="F108" i="14"/>
  <c r="H107" i="14"/>
  <c r="H106" i="14"/>
  <c r="F105" i="14"/>
  <c r="H105" i="14" s="1"/>
  <c r="F104" i="14"/>
  <c r="H104" i="14" s="1"/>
  <c r="F103" i="14"/>
  <c r="H103" i="14" s="1"/>
  <c r="F96" i="14"/>
  <c r="F95" i="14"/>
  <c r="H94" i="14"/>
  <c r="F93" i="14"/>
  <c r="H93" i="14" s="1"/>
  <c r="F92" i="14"/>
  <c r="H92" i="14" s="1"/>
  <c r="F85" i="14"/>
  <c r="F84" i="14"/>
  <c r="F83" i="14"/>
  <c r="H83" i="14" s="1"/>
  <c r="F82" i="14"/>
  <c r="H82" i="14" s="1"/>
  <c r="F81" i="14"/>
  <c r="H81" i="14" s="1"/>
  <c r="F77" i="14"/>
  <c r="F76" i="14"/>
  <c r="F75" i="14"/>
  <c r="H75" i="14" s="1"/>
  <c r="F74" i="14"/>
  <c r="H74" i="14" s="1"/>
  <c r="F73" i="14"/>
  <c r="H73" i="14" s="1"/>
  <c r="F69" i="14"/>
  <c r="F68" i="14"/>
  <c r="F67" i="14"/>
  <c r="H67" i="14" s="1"/>
  <c r="F66" i="14"/>
  <c r="H66" i="14" s="1"/>
  <c r="F65" i="14"/>
  <c r="H65" i="14" s="1"/>
  <c r="F61" i="14"/>
  <c r="F60" i="14"/>
  <c r="F59" i="14"/>
  <c r="H59" i="14" s="1"/>
  <c r="F58" i="14"/>
  <c r="H58" i="14" s="1"/>
  <c r="F54" i="14"/>
  <c r="F53" i="14"/>
  <c r="F52" i="14"/>
  <c r="H52" i="14" s="1"/>
  <c r="F51" i="14"/>
  <c r="H51" i="14" s="1"/>
  <c r="F50" i="14"/>
  <c r="H50" i="14" s="1"/>
  <c r="F46" i="14"/>
  <c r="F45" i="14"/>
  <c r="F44" i="14"/>
  <c r="H44" i="14" s="1"/>
  <c r="F43" i="14"/>
  <c r="H43" i="14" s="1"/>
  <c r="F42" i="14"/>
  <c r="H42" i="14" s="1"/>
  <c r="F38" i="14"/>
  <c r="F37" i="14"/>
  <c r="H36" i="14"/>
  <c r="F35" i="14"/>
  <c r="H35" i="14" s="1"/>
  <c r="F34" i="14"/>
  <c r="H34" i="14" s="1"/>
  <c r="F33" i="14"/>
  <c r="H33" i="14" s="1"/>
  <c r="F29" i="14"/>
  <c r="F28" i="14"/>
  <c r="H27" i="14"/>
  <c r="F26" i="14"/>
  <c r="H26" i="14" s="1"/>
  <c r="F25" i="14"/>
  <c r="H25" i="14" s="1"/>
  <c r="F24" i="14"/>
  <c r="H24" i="14" s="1"/>
  <c r="F20" i="14"/>
  <c r="F19" i="14"/>
  <c r="H18" i="14"/>
  <c r="H17" i="14"/>
  <c r="F16" i="14"/>
  <c r="H16" i="14" s="1"/>
  <c r="F15" i="14"/>
  <c r="H15" i="14" s="1"/>
  <c r="F14" i="14"/>
  <c r="H14" i="14" s="1"/>
  <c r="F8" i="14"/>
  <c r="F7" i="14"/>
  <c r="F6" i="14"/>
  <c r="H6" i="14" s="1"/>
  <c r="E288" i="15"/>
  <c r="E287" i="15"/>
  <c r="E286" i="15"/>
  <c r="E281" i="15"/>
  <c r="E280" i="15"/>
  <c r="E279" i="15"/>
  <c r="E278" i="15"/>
  <c r="E277" i="15"/>
  <c r="E272" i="15"/>
  <c r="E271" i="15"/>
  <c r="E270" i="15"/>
  <c r="E269" i="15"/>
  <c r="E268" i="15"/>
  <c r="E267" i="15"/>
  <c r="E262" i="15"/>
  <c r="E261" i="15"/>
  <c r="E260" i="15"/>
  <c r="E259" i="15"/>
  <c r="E258" i="15"/>
  <c r="E253" i="15"/>
  <c r="E252" i="15"/>
  <c r="E251" i="15"/>
  <c r="E250" i="15"/>
  <c r="E249" i="15"/>
  <c r="E248" i="15"/>
  <c r="E243" i="15"/>
  <c r="E238" i="15"/>
  <c r="E233" i="15"/>
  <c r="E232" i="15"/>
  <c r="E231" i="15"/>
  <c r="E230" i="15"/>
  <c r="E229" i="15"/>
  <c r="E228" i="15"/>
  <c r="E227" i="15"/>
  <c r="E226" i="15"/>
  <c r="E225" i="15"/>
  <c r="E220" i="15"/>
  <c r="E219" i="15"/>
  <c r="E218" i="15"/>
  <c r="E217" i="15"/>
  <c r="E216" i="15"/>
  <c r="E215" i="15"/>
  <c r="E214" i="15"/>
  <c r="E213" i="15"/>
  <c r="E212" i="15"/>
  <c r="E211" i="15"/>
  <c r="E210" i="15"/>
  <c r="E209" i="15"/>
  <c r="E208" i="15"/>
  <c r="E207" i="15"/>
  <c r="E202" i="15"/>
  <c r="E201" i="15"/>
  <c r="E200" i="15"/>
  <c r="E199" i="15"/>
  <c r="E198" i="15"/>
  <c r="E197" i="15"/>
  <c r="E196" i="15"/>
  <c r="E195" i="15"/>
  <c r="E194" i="15"/>
  <c r="E193" i="15"/>
  <c r="E188" i="15"/>
  <c r="E187" i="15"/>
  <c r="E186" i="15"/>
  <c r="E185" i="15"/>
  <c r="E184" i="15"/>
  <c r="E183" i="15"/>
  <c r="E178" i="15"/>
  <c r="E177" i="15"/>
  <c r="E176" i="15"/>
  <c r="E175" i="15"/>
  <c r="E174" i="15"/>
  <c r="E173" i="15"/>
  <c r="E172" i="15"/>
  <c r="E171" i="15"/>
  <c r="E170" i="15"/>
  <c r="E169" i="15"/>
  <c r="E164" i="15"/>
  <c r="E163" i="15"/>
  <c r="E162" i="15"/>
  <c r="E161" i="15"/>
  <c r="E160" i="15"/>
  <c r="E159" i="15"/>
  <c r="E158" i="15"/>
  <c r="E157" i="15"/>
  <c r="E156" i="15"/>
  <c r="E155" i="15"/>
  <c r="E150" i="15"/>
  <c r="E149" i="15"/>
  <c r="E148" i="15"/>
  <c r="E147" i="15"/>
  <c r="E146" i="15"/>
  <c r="E145" i="15"/>
  <c r="E144" i="15"/>
  <c r="E143" i="15"/>
  <c r="E142" i="15"/>
  <c r="E141" i="15"/>
  <c r="E140" i="15"/>
  <c r="E139" i="15"/>
  <c r="E138" i="15"/>
  <c r="E137" i="15"/>
  <c r="E136" i="15"/>
  <c r="E135" i="15"/>
  <c r="E134" i="15"/>
  <c r="E133" i="15"/>
  <c r="E132" i="15"/>
  <c r="E131" i="15"/>
  <c r="E130" i="15"/>
  <c r="E125" i="15"/>
  <c r="E124" i="15"/>
  <c r="E123" i="15"/>
  <c r="E122" i="15"/>
  <c r="E121" i="15"/>
  <c r="E120" i="15"/>
  <c r="E119" i="15"/>
  <c r="E118" i="15"/>
  <c r="E117" i="15"/>
  <c r="E116" i="15"/>
  <c r="E115" i="15"/>
  <c r="E114" i="15"/>
  <c r="E113" i="15"/>
  <c r="E108" i="15"/>
  <c r="E107" i="15"/>
  <c r="E106" i="15"/>
  <c r="E105" i="15"/>
  <c r="E104" i="15"/>
  <c r="E103" i="15"/>
  <c r="E102" i="15"/>
  <c r="E101" i="15"/>
  <c r="E100" i="15"/>
  <c r="E99" i="15"/>
  <c r="E94" i="15"/>
  <c r="E93" i="15"/>
  <c r="E92" i="15"/>
  <c r="E91" i="15"/>
  <c r="E90" i="15"/>
  <c r="E89" i="15"/>
  <c r="E88" i="15"/>
  <c r="E87" i="15"/>
  <c r="E86" i="15"/>
  <c r="E85" i="15"/>
  <c r="E84" i="15"/>
  <c r="E83" i="15"/>
  <c r="E78" i="15"/>
  <c r="E77" i="15"/>
  <c r="E76" i="15"/>
  <c r="E75" i="15"/>
  <c r="E74" i="15"/>
  <c r="E73" i="15"/>
  <c r="E72" i="15"/>
  <c r="E71" i="15"/>
  <c r="E70" i="15"/>
  <c r="E69" i="15"/>
  <c r="E68" i="15"/>
  <c r="E67" i="15"/>
  <c r="E62" i="15"/>
  <c r="E61" i="15"/>
  <c r="E60" i="15"/>
  <c r="E59" i="15"/>
  <c r="E58" i="15"/>
  <c r="E57" i="15"/>
  <c r="E56" i="15"/>
  <c r="E55" i="15"/>
  <c r="E54" i="15"/>
  <c r="E53" i="15"/>
  <c r="E48" i="15"/>
  <c r="E47" i="15"/>
  <c r="E46" i="15"/>
  <c r="E45" i="15"/>
  <c r="E44" i="15"/>
  <c r="E43" i="15"/>
  <c r="E42" i="15"/>
  <c r="E41" i="15"/>
  <c r="E36" i="15"/>
  <c r="E35" i="15"/>
  <c r="E34" i="15"/>
  <c r="E33" i="15"/>
  <c r="E32" i="15"/>
  <c r="E31" i="15"/>
  <c r="E30" i="15"/>
  <c r="E29" i="15"/>
  <c r="E24" i="15"/>
  <c r="E23" i="15"/>
  <c r="E22" i="15"/>
  <c r="E21" i="15"/>
  <c r="E20" i="15"/>
  <c r="E19" i="15"/>
  <c r="E18" i="15"/>
  <c r="E17" i="15"/>
  <c r="E16" i="15"/>
  <c r="E11" i="15"/>
  <c r="E10" i="15"/>
  <c r="E9" i="15"/>
  <c r="E8" i="15"/>
  <c r="E7" i="15"/>
  <c r="E6" i="15"/>
  <c r="E5" i="15"/>
  <c r="E4" i="15"/>
  <c r="F16" i="13" l="1"/>
  <c r="D95" i="15"/>
  <c r="E95" i="15" s="1"/>
  <c r="D189" i="15"/>
  <c r="E189" i="15" s="1"/>
  <c r="D273" i="15"/>
  <c r="E273" i="15" s="1"/>
  <c r="D179" i="15"/>
  <c r="E179" i="15" s="1"/>
  <c r="D282" i="15"/>
  <c r="E282" i="15" s="1"/>
  <c r="F875" i="13"/>
  <c r="F876" i="13" s="1"/>
  <c r="F892" i="13"/>
  <c r="E1241" i="13"/>
  <c r="F1241" i="13" s="1"/>
  <c r="E226" i="13"/>
  <c r="F226" i="13" s="1"/>
  <c r="F699" i="13"/>
  <c r="E31" i="13"/>
  <c r="F31" i="13" s="1"/>
  <c r="G108" i="14"/>
  <c r="H108" i="14" s="1"/>
  <c r="G109" i="14" s="1"/>
  <c r="H109" i="14" s="1"/>
  <c r="H110" i="14" s="1"/>
  <c r="F67" i="13"/>
  <c r="E70" i="13" s="1"/>
  <c r="F70" i="13" s="1"/>
  <c r="F524" i="13"/>
  <c r="F530" i="13"/>
  <c r="E719" i="13"/>
  <c r="F719" i="13" s="1"/>
  <c r="F742" i="13"/>
  <c r="F948" i="13"/>
  <c r="F973" i="13"/>
  <c r="F1024" i="13"/>
  <c r="F1037" i="13"/>
  <c r="F1046" i="13" s="1"/>
  <c r="F1219" i="13"/>
  <c r="E1225" i="13"/>
  <c r="F1225" i="13" s="1"/>
  <c r="F1226" i="13" s="1"/>
  <c r="G1312" i="13"/>
  <c r="F904" i="13"/>
  <c r="E916" i="13"/>
  <c r="F916" i="13" s="1"/>
  <c r="D109" i="15"/>
  <c r="E109" i="15" s="1"/>
  <c r="D203" i="15"/>
  <c r="E203" i="15" s="1"/>
  <c r="E204" i="15" s="1"/>
  <c r="G95" i="14"/>
  <c r="H95" i="14" s="1"/>
  <c r="C623" i="13"/>
  <c r="F623" i="13" s="1"/>
  <c r="C630" i="13"/>
  <c r="F630" i="13" s="1"/>
  <c r="E903" i="13"/>
  <c r="F903" i="13" s="1"/>
  <c r="F949" i="13"/>
  <c r="D12" i="15"/>
  <c r="E12" i="15" s="1"/>
  <c r="E13" i="15" s="1"/>
  <c r="D25" i="15"/>
  <c r="E25" i="15" s="1"/>
  <c r="E26" i="15" s="1"/>
  <c r="D63" i="15"/>
  <c r="E63" i="15" s="1"/>
  <c r="E64" i="15" s="1"/>
  <c r="D126" i="15"/>
  <c r="E126" i="15" s="1"/>
  <c r="D165" i="15"/>
  <c r="E165" i="15" s="1"/>
  <c r="E166" i="15" s="1"/>
  <c r="D221" i="15"/>
  <c r="E221" i="15" s="1"/>
  <c r="D263" i="15"/>
  <c r="E263" i="15" s="1"/>
  <c r="E264" i="15" s="1"/>
  <c r="D289" i="15"/>
  <c r="E289" i="15" s="1"/>
  <c r="E290" i="15" s="1"/>
  <c r="F21" i="13"/>
  <c r="E1101" i="13" s="1"/>
  <c r="F1101" i="13" s="1"/>
  <c r="E53" i="13"/>
  <c r="F53" i="13" s="1"/>
  <c r="F62" i="13"/>
  <c r="E125" i="13" s="1"/>
  <c r="F125" i="13" s="1"/>
  <c r="E71" i="13"/>
  <c r="F71" i="13" s="1"/>
  <c r="E93" i="13"/>
  <c r="F93" i="13" s="1"/>
  <c r="E112" i="13"/>
  <c r="F112" i="13" s="1"/>
  <c r="E591" i="13"/>
  <c r="F591" i="13" s="1"/>
  <c r="F592" i="13" s="1"/>
  <c r="C664" i="13"/>
  <c r="F664" i="13" s="1"/>
  <c r="F940" i="13"/>
  <c r="F981" i="13"/>
  <c r="F995" i="13"/>
  <c r="F1018" i="13"/>
  <c r="F1196" i="13"/>
  <c r="F1218" i="13"/>
  <c r="G1311" i="13"/>
  <c r="G1314" i="13"/>
  <c r="E1184" i="13"/>
  <c r="E535" i="13"/>
  <c r="F535" i="13" s="1"/>
  <c r="E1100" i="13"/>
  <c r="F1100" i="13" s="1"/>
  <c r="E50" i="13"/>
  <c r="F50" i="13" s="1"/>
  <c r="E28" i="13"/>
  <c r="E534" i="13"/>
  <c r="F534" i="13" s="1"/>
  <c r="E79" i="13"/>
  <c r="F79" i="13" s="1"/>
  <c r="E208" i="13"/>
  <c r="F208" i="13" s="1"/>
  <c r="E184" i="13"/>
  <c r="F184" i="13" s="1"/>
  <c r="E148" i="13"/>
  <c r="F148" i="13" s="1"/>
  <c r="E124" i="13"/>
  <c r="F124" i="13" s="1"/>
  <c r="E100" i="13"/>
  <c r="F100" i="13" s="1"/>
  <c r="E214" i="13"/>
  <c r="F214" i="13" s="1"/>
  <c r="E202" i="13"/>
  <c r="F202" i="13" s="1"/>
  <c r="E178" i="13"/>
  <c r="F178" i="13" s="1"/>
  <c r="E154" i="13"/>
  <c r="F154" i="13" s="1"/>
  <c r="E130" i="13"/>
  <c r="F130" i="13" s="1"/>
  <c r="E106" i="13"/>
  <c r="F106" i="13" s="1"/>
  <c r="E87" i="13"/>
  <c r="E610" i="13"/>
  <c r="E196" i="13"/>
  <c r="F196" i="13" s="1"/>
  <c r="E160" i="13"/>
  <c r="F160" i="13" s="1"/>
  <c r="E118" i="13"/>
  <c r="F118" i="13" s="1"/>
  <c r="E136" i="13"/>
  <c r="F136" i="13" s="1"/>
  <c r="E190" i="13"/>
  <c r="F190" i="13" s="1"/>
  <c r="E220" i="13"/>
  <c r="F220" i="13" s="1"/>
  <c r="E627" i="13"/>
  <c r="E620" i="13"/>
  <c r="F620" i="13" s="1"/>
  <c r="F624" i="13" s="1"/>
  <c r="E309" i="13"/>
  <c r="F296" i="13"/>
  <c r="F299" i="13" s="1"/>
  <c r="E616" i="13"/>
  <c r="F616" i="13" s="1"/>
  <c r="E621" i="13"/>
  <c r="E628" i="13"/>
  <c r="E292" i="13"/>
  <c r="F292" i="13" s="1"/>
  <c r="C683" i="13"/>
  <c r="F683" i="13" s="1"/>
  <c r="F682" i="13"/>
  <c r="E131" i="13"/>
  <c r="F131" i="13" s="1"/>
  <c r="E166" i="13"/>
  <c r="F166" i="13" s="1"/>
  <c r="F291" i="13"/>
  <c r="F293" i="13" s="1"/>
  <c r="E1396" i="13"/>
  <c r="F1396" i="13" s="1"/>
  <c r="E1390" i="13"/>
  <c r="F1390" i="13" s="1"/>
  <c r="E1384" i="13"/>
  <c r="F1384" i="13" s="1"/>
  <c r="E1199" i="13"/>
  <c r="F1199" i="13" s="1"/>
  <c r="E855" i="13"/>
  <c r="F855" i="13" s="1"/>
  <c r="E1206" i="13"/>
  <c r="F1206" i="13" s="1"/>
  <c r="E861" i="13"/>
  <c r="F861" i="13" s="1"/>
  <c r="E843" i="13"/>
  <c r="F843" i="13" s="1"/>
  <c r="E597" i="13"/>
  <c r="F597" i="13" s="1"/>
  <c r="F598" i="13" s="1"/>
  <c r="E896" i="13"/>
  <c r="F884" i="13"/>
  <c r="E1102" i="13"/>
  <c r="F1102" i="13" s="1"/>
  <c r="E578" i="13"/>
  <c r="F578" i="13" s="1"/>
  <c r="E251" i="13"/>
  <c r="E52" i="13"/>
  <c r="F52" i="13" s="1"/>
  <c r="E30" i="13"/>
  <c r="E537" i="13"/>
  <c r="F537" i="13" s="1"/>
  <c r="E1361" i="13"/>
  <c r="F1361" i="13" s="1"/>
  <c r="E1349" i="13"/>
  <c r="F1349" i="13" s="1"/>
  <c r="E1342" i="13"/>
  <c r="F1342" i="13" s="1"/>
  <c r="E1066" i="13"/>
  <c r="E1061" i="13"/>
  <c r="F1061" i="13" s="1"/>
  <c r="E1330" i="13"/>
  <c r="F1330" i="13" s="1"/>
  <c r="E806" i="13"/>
  <c r="F806" i="13" s="1"/>
  <c r="E1142" i="13"/>
  <c r="F1142" i="13" s="1"/>
  <c r="E812" i="13"/>
  <c r="F812" i="13" s="1"/>
  <c r="E838" i="13"/>
  <c r="F838" i="13" s="1"/>
  <c r="E1331" i="13"/>
  <c r="F1331" i="13" s="1"/>
  <c r="E1267" i="13"/>
  <c r="E1113" i="13"/>
  <c r="F1113" i="13" s="1"/>
  <c r="E850" i="13"/>
  <c r="F850" i="13" s="1"/>
  <c r="F852" i="13" s="1"/>
  <c r="E1391" i="13"/>
  <c r="F1391" i="13" s="1"/>
  <c r="E1362" i="13"/>
  <c r="F1362" i="13" s="1"/>
  <c r="E1343" i="13"/>
  <c r="F1343" i="13" s="1"/>
  <c r="E1062" i="13"/>
  <c r="E611" i="13"/>
  <c r="E1208" i="13"/>
  <c r="F1208" i="13" s="1"/>
  <c r="E173" i="13"/>
  <c r="F173" i="13" s="1"/>
  <c r="E137" i="13"/>
  <c r="F137" i="13" s="1"/>
  <c r="E1200" i="13"/>
  <c r="E791" i="13"/>
  <c r="F791" i="13" s="1"/>
  <c r="E1175" i="13" s="1"/>
  <c r="F1175" i="13" s="1"/>
  <c r="E807" i="13"/>
  <c r="F807" i="13" s="1"/>
  <c r="E191" i="13"/>
  <c r="F191" i="13" s="1"/>
  <c r="E143" i="13"/>
  <c r="F143" i="13" s="1"/>
  <c r="F145" i="13" s="1"/>
  <c r="E94" i="13"/>
  <c r="F94" i="13" s="1"/>
  <c r="E796" i="13"/>
  <c r="F796" i="13" s="1"/>
  <c r="E101" i="13"/>
  <c r="F101" i="13" s="1"/>
  <c r="E149" i="13"/>
  <c r="F149" i="13" s="1"/>
  <c r="E172" i="13"/>
  <c r="F172" i="13" s="1"/>
  <c r="E209" i="13"/>
  <c r="C657" i="13"/>
  <c r="F657" i="13" s="1"/>
  <c r="F656" i="13"/>
  <c r="E893" i="13"/>
  <c r="F881" i="13"/>
  <c r="E1103" i="13"/>
  <c r="F1103" i="13" s="1"/>
  <c r="E80" i="13"/>
  <c r="F80" i="13" s="1"/>
  <c r="E72" i="13"/>
  <c r="F72" i="13" s="1"/>
  <c r="F228" i="13"/>
  <c r="F1174" i="13"/>
  <c r="E1185" i="13"/>
  <c r="F752" i="13"/>
  <c r="E760" i="13"/>
  <c r="F760" i="13" s="1"/>
  <c r="F1300" i="13"/>
  <c r="G1300" i="13" s="1"/>
  <c r="G1301" i="13" s="1"/>
  <c r="F1377" i="13"/>
  <c r="F1378" i="13" s="1"/>
  <c r="E768" i="13"/>
  <c r="F768" i="13" s="1"/>
  <c r="F735" i="13"/>
  <c r="F1267" i="13"/>
  <c r="H702" i="13"/>
  <c r="F1002" i="13"/>
  <c r="F897" i="13"/>
  <c r="F1256" i="13"/>
  <c r="E922" i="13"/>
  <c r="F922" i="13" s="1"/>
  <c r="F941" i="13"/>
  <c r="F956" i="13"/>
  <c r="F957" i="13" s="1"/>
  <c r="F1275" i="13"/>
  <c r="F1277" i="13" s="1"/>
  <c r="F1284" i="13" s="1"/>
  <c r="G1313" i="13"/>
  <c r="G1319" i="13"/>
  <c r="F1242" i="13"/>
  <c r="F1244" i="13" s="1"/>
  <c r="F1304" i="13"/>
  <c r="G1304" i="13" s="1"/>
  <c r="G1306" i="13" s="1"/>
  <c r="F932" i="13"/>
  <c r="F933" i="13" s="1"/>
  <c r="F1030" i="13"/>
  <c r="F1034" i="13" s="1"/>
  <c r="F1172" i="13"/>
  <c r="F885" i="13"/>
  <c r="G37" i="14"/>
  <c r="H37" i="14" s="1"/>
  <c r="G38" i="14" s="1"/>
  <c r="H38" i="14" s="1"/>
  <c r="G134" i="14"/>
  <c r="H134" i="14" s="1"/>
  <c r="G60" i="14"/>
  <c r="H60" i="14" s="1"/>
  <c r="G76" i="14"/>
  <c r="H76" i="14" s="1"/>
  <c r="G77" i="14" s="1"/>
  <c r="H77" i="14" s="1"/>
  <c r="H78" i="14" s="1"/>
  <c r="G118" i="14"/>
  <c r="H118" i="14" s="1"/>
  <c r="G126" i="14"/>
  <c r="H126" i="14" s="1"/>
  <c r="G127" i="14" s="1"/>
  <c r="H127" i="14" s="1"/>
  <c r="G7" i="14"/>
  <c r="H7" i="14" s="1"/>
  <c r="G8" i="14" s="1"/>
  <c r="H8" i="14" s="1"/>
  <c r="H9" i="14" s="1"/>
  <c r="G45" i="14"/>
  <c r="H45" i="14" s="1"/>
  <c r="G142" i="14"/>
  <c r="H142" i="14" s="1"/>
  <c r="G143" i="14" s="1"/>
  <c r="H143" i="14" s="1"/>
  <c r="G19" i="14"/>
  <c r="H19" i="14" s="1"/>
  <c r="G20" i="14" s="1"/>
  <c r="H20" i="14" s="1"/>
  <c r="G84" i="14"/>
  <c r="H84" i="14" s="1"/>
  <c r="G28" i="14"/>
  <c r="H28" i="14" s="1"/>
  <c r="G53" i="14"/>
  <c r="H53" i="14" s="1"/>
  <c r="G68" i="14"/>
  <c r="H68" i="14" s="1"/>
  <c r="G150" i="14"/>
  <c r="H150" i="14" s="1"/>
  <c r="G151" i="14" s="1"/>
  <c r="H151" i="14" s="1"/>
  <c r="E110" i="15"/>
  <c r="E222" i="15"/>
  <c r="E283" i="15"/>
  <c r="E96" i="15"/>
  <c r="D49" i="15"/>
  <c r="E49" i="15" s="1"/>
  <c r="E50" i="15" s="1"/>
  <c r="D79" i="15"/>
  <c r="E79" i="15" s="1"/>
  <c r="E80" i="15" s="1"/>
  <c r="D151" i="15"/>
  <c r="E151" i="15" s="1"/>
  <c r="E152" i="15" s="1"/>
  <c r="E180" i="15"/>
  <c r="D37" i="15"/>
  <c r="E37" i="15" s="1"/>
  <c r="E38" i="15" s="1"/>
  <c r="D234" i="15"/>
  <c r="E234" i="15" s="1"/>
  <c r="E235" i="15" s="1"/>
  <c r="D244" i="15"/>
  <c r="E244" i="15" s="1"/>
  <c r="E245" i="15" s="1"/>
  <c r="E127" i="15"/>
  <c r="D254" i="15"/>
  <c r="E254" i="15" s="1"/>
  <c r="E255" i="15" s="1"/>
  <c r="E190" i="15"/>
  <c r="D239" i="15"/>
  <c r="E239" i="15" s="1"/>
  <c r="E240" i="15" s="1"/>
  <c r="E274" i="15"/>
  <c r="F96" i="13" l="1"/>
  <c r="E29" i="13"/>
  <c r="E40" i="13"/>
  <c r="F40" i="13" s="1"/>
  <c r="E179" i="13"/>
  <c r="F179" i="13" s="1"/>
  <c r="F738" i="13"/>
  <c r="E155" i="13"/>
  <c r="F155" i="13" s="1"/>
  <c r="E107" i="13"/>
  <c r="F107" i="13" s="1"/>
  <c r="E185" i="13"/>
  <c r="F185" i="13" s="1"/>
  <c r="E856" i="13"/>
  <c r="F856" i="13" s="1"/>
  <c r="E119" i="13"/>
  <c r="F119" i="13" s="1"/>
  <c r="F121" i="13" s="1"/>
  <c r="E167" i="13"/>
  <c r="F167" i="13" s="1"/>
  <c r="F169" i="13" s="1"/>
  <c r="E227" i="13"/>
  <c r="F227" i="13" s="1"/>
  <c r="F229" i="13" s="1"/>
  <c r="E813" i="13"/>
  <c r="F813" i="13" s="1"/>
  <c r="F815" i="13" s="1"/>
  <c r="E844" i="13"/>
  <c r="F844" i="13" s="1"/>
  <c r="F846" i="13" s="1"/>
  <c r="E113" i="13"/>
  <c r="F113" i="13" s="1"/>
  <c r="F115" i="13" s="1"/>
  <c r="E161" i="13"/>
  <c r="F161" i="13" s="1"/>
  <c r="E197" i="13"/>
  <c r="F197" i="13" s="1"/>
  <c r="F199" i="13" s="1"/>
  <c r="E559" i="13"/>
  <c r="F559" i="13" s="1"/>
  <c r="E801" i="13"/>
  <c r="F801" i="13" s="1"/>
  <c r="E839" i="13"/>
  <c r="F839" i="13" s="1"/>
  <c r="F840" i="13" s="1"/>
  <c r="E1350" i="13"/>
  <c r="F1350" i="13" s="1"/>
  <c r="F1351" i="13" s="1"/>
  <c r="C1353" i="13" s="1"/>
  <c r="E1385" i="13"/>
  <c r="F1385" i="13" s="1"/>
  <c r="E1397" i="13"/>
  <c r="F1397" i="13" s="1"/>
  <c r="F1398" i="13" s="1"/>
  <c r="E1051" i="13"/>
  <c r="F1051" i="13" s="1"/>
  <c r="E1143" i="13"/>
  <c r="F1143" i="13" s="1"/>
  <c r="E862" i="13"/>
  <c r="F862" i="13" s="1"/>
  <c r="F864" i="13" s="1"/>
  <c r="E203" i="13"/>
  <c r="E221" i="13" s="1"/>
  <c r="F221" i="13" s="1"/>
  <c r="F223" i="13" s="1"/>
  <c r="E51" i="13"/>
  <c r="F51" i="13" s="1"/>
  <c r="F1220" i="13"/>
  <c r="G96" i="14"/>
  <c r="H96" i="14" s="1"/>
  <c r="H97" i="14" s="1"/>
  <c r="G29" i="14"/>
  <c r="H29" i="14" s="1"/>
  <c r="H30" i="14" s="1"/>
  <c r="F163" i="13"/>
  <c r="G1322" i="13"/>
  <c r="F887" i="13"/>
  <c r="F888" i="13" s="1"/>
  <c r="F1387" i="13"/>
  <c r="F1388" i="13" s="1"/>
  <c r="F181" i="13"/>
  <c r="F127" i="13"/>
  <c r="E547" i="13"/>
  <c r="F547" i="13" s="1"/>
  <c r="E88" i="13"/>
  <c r="F88" i="13" s="1"/>
  <c r="F1260" i="13"/>
  <c r="F1258" i="13"/>
  <c r="F1345" i="13"/>
  <c r="C1347" i="13" s="1"/>
  <c r="E634" i="13"/>
  <c r="F634" i="13" s="1"/>
  <c r="F637" i="13" s="1"/>
  <c r="F627" i="13"/>
  <c r="F631" i="13" s="1"/>
  <c r="F893" i="13"/>
  <c r="E905" i="13"/>
  <c r="E1235" i="13"/>
  <c r="F1235" i="13" s="1"/>
  <c r="F1236" i="13" s="1"/>
  <c r="F1200" i="13"/>
  <c r="F1202" i="13" s="1"/>
  <c r="E1187" i="13" s="1"/>
  <c r="F1187" i="13" s="1"/>
  <c r="F611" i="13"/>
  <c r="E635" i="13"/>
  <c r="E643" i="13"/>
  <c r="E297" i="13"/>
  <c r="E39" i="13"/>
  <c r="F39" i="13" s="1"/>
  <c r="F30" i="13"/>
  <c r="E654" i="13"/>
  <c r="F87" i="13"/>
  <c r="F83" i="13"/>
  <c r="F84" i="13" s="1"/>
  <c r="F1105" i="13"/>
  <c r="F1106" i="13" s="1"/>
  <c r="F209" i="13"/>
  <c r="F211" i="13" s="1"/>
  <c r="E215" i="13"/>
  <c r="F215" i="13" s="1"/>
  <c r="F1333" i="13"/>
  <c r="E1335" i="13" s="1"/>
  <c r="F1335" i="13" s="1"/>
  <c r="F1338" i="13" s="1"/>
  <c r="F109" i="13"/>
  <c r="F151" i="13"/>
  <c r="F75" i="13"/>
  <c r="F76" i="13" s="1"/>
  <c r="F539" i="13"/>
  <c r="F540" i="13" s="1"/>
  <c r="F175" i="13"/>
  <c r="E1067" i="13"/>
  <c r="F1062" i="13"/>
  <c r="F1063" i="13" s="1"/>
  <c r="F1364" i="13"/>
  <c r="E237" i="13"/>
  <c r="F237" i="13" s="1"/>
  <c r="F251" i="13"/>
  <c r="F896" i="13"/>
  <c r="E908" i="13"/>
  <c r="F1212" i="13"/>
  <c r="F1393" i="13"/>
  <c r="F1394" i="13" s="1"/>
  <c r="E776" i="13"/>
  <c r="F776" i="13" s="1"/>
  <c r="F779" i="13" s="1"/>
  <c r="E681" i="13"/>
  <c r="F681" i="13" s="1"/>
  <c r="F628" i="13"/>
  <c r="E314" i="13"/>
  <c r="F309" i="13"/>
  <c r="F311" i="13" s="1"/>
  <c r="F193" i="13"/>
  <c r="F133" i="13"/>
  <c r="F217" i="13"/>
  <c r="F187" i="13"/>
  <c r="E37" i="13"/>
  <c r="F37" i="13" s="1"/>
  <c r="F28" i="13"/>
  <c r="F809" i="13"/>
  <c r="F1291" i="13"/>
  <c r="G1291" i="13" s="1"/>
  <c r="F1228" i="13"/>
  <c r="F1293" i="13" s="1"/>
  <c r="G1293" i="13" s="1"/>
  <c r="E1186" i="13"/>
  <c r="F1186" i="13" s="1"/>
  <c r="F1185" i="13"/>
  <c r="E1072" i="13"/>
  <c r="F1066" i="13"/>
  <c r="F858" i="13"/>
  <c r="E655" i="13"/>
  <c r="F621" i="13"/>
  <c r="F139" i="13"/>
  <c r="E642" i="13"/>
  <c r="F610" i="13"/>
  <c r="E615" i="13"/>
  <c r="F615" i="13" s="1"/>
  <c r="F617" i="13" s="1"/>
  <c r="F157" i="13"/>
  <c r="F103" i="13"/>
  <c r="F55" i="13"/>
  <c r="F56" i="13" s="1"/>
  <c r="E582" i="13" s="1"/>
  <c r="F582" i="13" s="1"/>
  <c r="F585" i="13" s="1"/>
  <c r="F29" i="13"/>
  <c r="E38" i="13"/>
  <c r="F38" i="13" s="1"/>
  <c r="G61" i="14"/>
  <c r="H61" i="14" s="1"/>
  <c r="H62" i="14" s="1"/>
  <c r="G135" i="14"/>
  <c r="H135" i="14" s="1"/>
  <c r="H136" i="14" s="1"/>
  <c r="G85" i="14"/>
  <c r="H85" i="14" s="1"/>
  <c r="H86" i="14" s="1"/>
  <c r="G46" i="14"/>
  <c r="H46" i="14" s="1"/>
  <c r="H47" i="14" s="1"/>
  <c r="G69" i="14"/>
  <c r="H69" i="14" s="1"/>
  <c r="H70" i="14" s="1"/>
  <c r="H21" i="14"/>
  <c r="H144" i="14"/>
  <c r="H152" i="14"/>
  <c r="G119" i="14"/>
  <c r="H119" i="14" s="1"/>
  <c r="H120" i="14" s="1"/>
  <c r="H39" i="14"/>
  <c r="G54" i="14"/>
  <c r="H54" i="14" s="1"/>
  <c r="H55" i="14" s="1"/>
  <c r="H128" i="14"/>
  <c r="F203" i="13" l="1"/>
  <c r="F205" i="13" s="1"/>
  <c r="F612" i="13"/>
  <c r="F90" i="13"/>
  <c r="G1294" i="13"/>
  <c r="G1295" i="13" s="1"/>
  <c r="G1324" i="13" s="1"/>
  <c r="E820" i="13"/>
  <c r="F820" i="13" s="1"/>
  <c r="F822" i="13" s="1"/>
  <c r="E601" i="13"/>
  <c r="F601" i="13" s="1"/>
  <c r="F604" i="13" s="1"/>
  <c r="E568" i="13"/>
  <c r="F568" i="13" s="1"/>
  <c r="F570" i="13" s="1"/>
  <c r="E264" i="13"/>
  <c r="F264" i="13" s="1"/>
  <c r="F267" i="13" s="1"/>
  <c r="E248" i="13"/>
  <c r="F248" i="13" s="1"/>
  <c r="F253" i="13" s="1"/>
  <c r="E574" i="13"/>
  <c r="F574" i="13" s="1"/>
  <c r="E257" i="13"/>
  <c r="F257" i="13" s="1"/>
  <c r="F261" i="13" s="1"/>
  <c r="E1111" i="13"/>
  <c r="F1111" i="13" s="1"/>
  <c r="E557" i="13"/>
  <c r="F557" i="13" s="1"/>
  <c r="E545" i="13"/>
  <c r="F545" i="13" s="1"/>
  <c r="E241" i="13"/>
  <c r="F241" i="13" s="1"/>
  <c r="F245" i="13" s="1"/>
  <c r="E232" i="13"/>
  <c r="F232" i="13" s="1"/>
  <c r="F238" i="13" s="1"/>
  <c r="E1126" i="13"/>
  <c r="F1126" i="13" s="1"/>
  <c r="E1158" i="13"/>
  <c r="F1158" i="13" s="1"/>
  <c r="E1112" i="13"/>
  <c r="F1112" i="13" s="1"/>
  <c r="E661" i="13"/>
  <c r="F654" i="13"/>
  <c r="E649" i="13"/>
  <c r="F649" i="13" s="1"/>
  <c r="F643" i="13"/>
  <c r="F655" i="13"/>
  <c r="E662" i="13"/>
  <c r="F662" i="13" s="1"/>
  <c r="F33" i="13"/>
  <c r="F34" i="13" s="1"/>
  <c r="F635" i="13"/>
  <c r="E783" i="13"/>
  <c r="F783" i="13" s="1"/>
  <c r="F785" i="13" s="1"/>
  <c r="E675" i="13"/>
  <c r="E918" i="13"/>
  <c r="F918" i="13" s="1"/>
  <c r="F905" i="13"/>
  <c r="F642" i="13"/>
  <c r="E648" i="13"/>
  <c r="F648" i="13" s="1"/>
  <c r="F1072" i="13"/>
  <c r="E1078" i="13"/>
  <c r="F42" i="13"/>
  <c r="F43" i="13" s="1"/>
  <c r="F899" i="13"/>
  <c r="F900" i="13" s="1"/>
  <c r="E320" i="13"/>
  <c r="F314" i="13"/>
  <c r="F317" i="13" s="1"/>
  <c r="E921" i="13"/>
  <c r="F921" i="13" s="1"/>
  <c r="F908" i="13"/>
  <c r="F1067" i="13"/>
  <c r="F1069" i="13" s="1"/>
  <c r="E1073" i="13"/>
  <c r="E573" i="13"/>
  <c r="F573" i="13" s="1"/>
  <c r="E546" i="13"/>
  <c r="F546" i="13" s="1"/>
  <c r="E558" i="13"/>
  <c r="F558" i="13" s="1"/>
  <c r="E1354" i="13"/>
  <c r="F1354" i="13" s="1"/>
  <c r="F1358" i="13" s="1"/>
  <c r="F1359" i="13" s="1"/>
  <c r="E669" i="13"/>
  <c r="F669" i="13" s="1"/>
  <c r="E315" i="13"/>
  <c r="F297" i="13"/>
  <c r="E310" i="13"/>
  <c r="F310" i="13" s="1"/>
  <c r="F650" i="13" l="1"/>
  <c r="F1117" i="13"/>
  <c r="F1118" i="13" s="1"/>
  <c r="F1119" i="13" s="1"/>
  <c r="F911" i="13"/>
  <c r="F912" i="13" s="1"/>
  <c r="F924" i="13"/>
  <c r="F925" i="13" s="1"/>
  <c r="E707" i="13"/>
  <c r="E271" i="13"/>
  <c r="F271" i="13" s="1"/>
  <c r="E689" i="13"/>
  <c r="F675" i="13"/>
  <c r="F551" i="13"/>
  <c r="F1078" i="13"/>
  <c r="E1084" i="13"/>
  <c r="E668" i="13"/>
  <c r="F661" i="13"/>
  <c r="F665" i="13" s="1"/>
  <c r="E767" i="13"/>
  <c r="F767" i="13" s="1"/>
  <c r="E577" i="13"/>
  <c r="F577" i="13" s="1"/>
  <c r="F579" i="13" s="1"/>
  <c r="E280" i="13"/>
  <c r="F280" i="13" s="1"/>
  <c r="E272" i="13"/>
  <c r="F272" i="13" s="1"/>
  <c r="E830" i="13"/>
  <c r="F830" i="13" s="1"/>
  <c r="E1079" i="13"/>
  <c r="F1073" i="13"/>
  <c r="F1075" i="13" s="1"/>
  <c r="F320" i="13"/>
  <c r="F323" i="13" s="1"/>
  <c r="E328" i="13"/>
  <c r="E790" i="13"/>
  <c r="E827" i="13"/>
  <c r="F827" i="13" s="1"/>
  <c r="E277" i="13"/>
  <c r="F277" i="13" s="1"/>
  <c r="F315" i="13"/>
  <c r="E321" i="13"/>
  <c r="F644" i="13"/>
  <c r="F658" i="13"/>
  <c r="F563" i="13"/>
  <c r="D254" i="13"/>
  <c r="E1052" i="13" s="1"/>
  <c r="F1052" i="13" s="1"/>
  <c r="F254" i="13"/>
  <c r="F281" i="13" l="1"/>
  <c r="F282" i="13" s="1"/>
  <c r="F831" i="13"/>
  <c r="F832" i="13" s="1"/>
  <c r="E335" i="13"/>
  <c r="F328" i="13"/>
  <c r="F330" i="13" s="1"/>
  <c r="E743" i="13"/>
  <c r="F689" i="13"/>
  <c r="F690" i="13" s="1"/>
  <c r="E696" i="13" s="1"/>
  <c r="F696" i="13" s="1"/>
  <c r="E1085" i="13"/>
  <c r="F1079" i="13"/>
  <c r="F1081" i="13" s="1"/>
  <c r="E1089" i="13"/>
  <c r="F1089" i="13" s="1"/>
  <c r="F1084" i="13"/>
  <c r="E329" i="13"/>
  <c r="F321" i="13"/>
  <c r="E795" i="13"/>
  <c r="F790" i="13"/>
  <c r="F792" i="13" s="1"/>
  <c r="E674" i="13"/>
  <c r="F668" i="13"/>
  <c r="F671" i="13" s="1"/>
  <c r="F552" i="13"/>
  <c r="E697" i="13"/>
  <c r="F697" i="13" s="1"/>
  <c r="F707" i="13"/>
  <c r="E766" i="13"/>
  <c r="F766" i="13" s="1"/>
  <c r="F1050" i="13" l="1"/>
  <c r="F1056" i="13" s="1"/>
  <c r="E270" i="13"/>
  <c r="F270" i="13" s="1"/>
  <c r="F273" i="13" s="1"/>
  <c r="F795" i="13"/>
  <c r="F797" i="13" s="1"/>
  <c r="E800" i="13"/>
  <c r="F800" i="13" s="1"/>
  <c r="F803" i="13" s="1"/>
  <c r="F743" i="13"/>
  <c r="F745" i="13" s="1"/>
  <c r="E747" i="13" s="1"/>
  <c r="F747" i="13" s="1"/>
  <c r="F748" i="13" s="1"/>
  <c r="E753" i="13"/>
  <c r="E1159" i="13"/>
  <c r="F1159" i="13" s="1"/>
  <c r="E1127" i="13"/>
  <c r="F1127" i="13" s="1"/>
  <c r="F674" i="13"/>
  <c r="F677" i="13" s="1"/>
  <c r="E680" i="13"/>
  <c r="F680" i="13" s="1"/>
  <c r="F684" i="13" s="1"/>
  <c r="F329" i="13"/>
  <c r="E336" i="13"/>
  <c r="E1090" i="13"/>
  <c r="F1090" i="13" s="1"/>
  <c r="F1092" i="13" s="1"/>
  <c r="F1093" i="13" s="1"/>
  <c r="F1085" i="13"/>
  <c r="F1086" i="13" s="1"/>
  <c r="F713" i="13"/>
  <c r="E342" i="13"/>
  <c r="F335" i="13"/>
  <c r="F337" i="13" s="1"/>
  <c r="E359" i="13"/>
  <c r="F359" i="13" s="1"/>
  <c r="F361" i="13" s="1"/>
  <c r="E360" i="13" l="1"/>
  <c r="F360" i="13" s="1"/>
  <c r="F336" i="13"/>
  <c r="E343" i="13"/>
  <c r="E366" i="13"/>
  <c r="F342" i="13"/>
  <c r="F344" i="13" s="1"/>
  <c r="E347" i="13"/>
  <c r="E761" i="13"/>
  <c r="F761" i="13" s="1"/>
  <c r="F762" i="13" s="1"/>
  <c r="C764" i="13" s="1"/>
  <c r="F753" i="13"/>
  <c r="F755" i="13" s="1"/>
  <c r="C757" i="13" s="1"/>
  <c r="E1157" i="13"/>
  <c r="F1157" i="13" s="1"/>
  <c r="F1163" i="13" s="1"/>
  <c r="E1125" i="13"/>
  <c r="F714" i="13"/>
  <c r="E765" i="13" l="1"/>
  <c r="F765" i="13" s="1"/>
  <c r="F769" i="13" s="1"/>
  <c r="E770" i="13" s="1"/>
  <c r="E348" i="13"/>
  <c r="F343" i="13"/>
  <c r="E367" i="13"/>
  <c r="E1141" i="13"/>
  <c r="F1141" i="13" s="1"/>
  <c r="F1147" i="13" s="1"/>
  <c r="F1125" i="13"/>
  <c r="F1131" i="13" s="1"/>
  <c r="F1132" i="13" s="1"/>
  <c r="E353" i="13"/>
  <c r="F353" i="13" s="1"/>
  <c r="F356" i="13" s="1"/>
  <c r="F347" i="13"/>
  <c r="F350" i="13" s="1"/>
  <c r="E379" i="13"/>
  <c r="E371" i="13"/>
  <c r="F371" i="13" s="1"/>
  <c r="F374" i="13" s="1"/>
  <c r="F366" i="13"/>
  <c r="F368" i="13" s="1"/>
  <c r="E372" i="13" l="1"/>
  <c r="F372" i="13" s="1"/>
  <c r="F367" i="13"/>
  <c r="E380" i="13"/>
  <c r="E1180" i="13"/>
  <c r="F1180" i="13" s="1"/>
  <c r="E1178" i="13"/>
  <c r="F1178" i="13" s="1"/>
  <c r="F1133" i="13"/>
  <c r="E1179" i="13"/>
  <c r="F1179" i="13" s="1"/>
  <c r="F348" i="13"/>
  <c r="E354" i="13"/>
  <c r="F354" i="13" s="1"/>
  <c r="F379" i="13"/>
  <c r="F381" i="13" s="1"/>
  <c r="E386" i="13"/>
  <c r="F1151" i="13"/>
  <c r="F1152" i="13" s="1"/>
  <c r="F1149" i="13"/>
  <c r="F1150" i="13" s="1"/>
  <c r="F1148" i="13"/>
  <c r="F1189" i="13" l="1"/>
  <c r="F386" i="13"/>
  <c r="F388" i="13" s="1"/>
  <c r="E393" i="13"/>
  <c r="E387" i="13"/>
  <c r="F380" i="13"/>
  <c r="E394" i="13" l="1"/>
  <c r="F387" i="13"/>
  <c r="E398" i="13"/>
  <c r="F393" i="13"/>
  <c r="F395" i="13" s="1"/>
  <c r="F398" i="13" l="1"/>
  <c r="F401" i="13" s="1"/>
  <c r="E404" i="13"/>
  <c r="E399" i="13"/>
  <c r="F394" i="13"/>
  <c r="E405" i="13" l="1"/>
  <c r="F399" i="13"/>
  <c r="F404" i="13"/>
  <c r="F407" i="13" s="1"/>
  <c r="E410" i="13"/>
  <c r="E418" i="13" l="1"/>
  <c r="F410" i="13"/>
  <c r="F413" i="13" s="1"/>
  <c r="E411" i="13"/>
  <c r="F405" i="13"/>
  <c r="F411" i="13" l="1"/>
  <c r="E419" i="13"/>
  <c r="F418" i="13"/>
  <c r="F420" i="13" s="1"/>
  <c r="E423" i="13"/>
  <c r="E431" i="13" l="1"/>
  <c r="F423" i="13"/>
  <c r="F426" i="13" s="1"/>
  <c r="E424" i="13"/>
  <c r="F419" i="13"/>
  <c r="F424" i="13" l="1"/>
  <c r="E432" i="13"/>
  <c r="E438" i="13"/>
  <c r="F431" i="13"/>
  <c r="F433" i="13" s="1"/>
  <c r="F438" i="13" l="1"/>
  <c r="F440" i="13" s="1"/>
  <c r="E446" i="13"/>
  <c r="E439" i="13"/>
  <c r="F432" i="13"/>
  <c r="E447" i="13" l="1"/>
  <c r="F439" i="13"/>
  <c r="E453" i="13"/>
  <c r="F446" i="13"/>
  <c r="F448" i="13" s="1"/>
  <c r="E458" i="13" l="1"/>
  <c r="F453" i="13"/>
  <c r="F455" i="13" s="1"/>
  <c r="F447" i="13"/>
  <c r="E454" i="13"/>
  <c r="E459" i="13" l="1"/>
  <c r="F454" i="13"/>
  <c r="E466" i="13"/>
  <c r="F458" i="13"/>
  <c r="F461" i="13" s="1"/>
  <c r="E473" i="13" l="1"/>
  <c r="F466" i="13"/>
  <c r="F468" i="13" s="1"/>
  <c r="F459" i="13"/>
  <c r="E467" i="13"/>
  <c r="E474" i="13" l="1"/>
  <c r="F467" i="13"/>
  <c r="E478" i="13"/>
  <c r="F473" i="13"/>
  <c r="F475" i="13" s="1"/>
  <c r="E486" i="13" l="1"/>
  <c r="F478" i="13"/>
  <c r="F481" i="13" s="1"/>
  <c r="E479" i="13"/>
  <c r="F479" i="13" s="1"/>
  <c r="F474" i="13"/>
  <c r="E487" i="13"/>
  <c r="E498" i="13" l="1"/>
  <c r="E492" i="13"/>
  <c r="F492" i="13" s="1"/>
  <c r="F487" i="13"/>
  <c r="E497" i="13"/>
  <c r="F486" i="13"/>
  <c r="F488" i="13" s="1"/>
  <c r="E491" i="13"/>
  <c r="F491" i="13" s="1"/>
  <c r="F493" i="13" s="1"/>
  <c r="F497" i="13" l="1"/>
  <c r="F500" i="13" s="1"/>
  <c r="E503" i="13"/>
  <c r="E504" i="13"/>
  <c r="F498" i="13"/>
  <c r="F504" i="13" l="1"/>
  <c r="E286" i="13"/>
  <c r="F503" i="13"/>
  <c r="F506" i="13" s="1"/>
  <c r="E285" i="13"/>
  <c r="E510" i="13" l="1"/>
  <c r="F285" i="13"/>
  <c r="F288" i="13" s="1"/>
  <c r="E511" i="13"/>
  <c r="F286" i="13"/>
  <c r="F511" i="13" l="1"/>
  <c r="E517" i="13"/>
  <c r="F517" i="13" s="1"/>
  <c r="E516" i="13"/>
  <c r="F516" i="13" s="1"/>
  <c r="F519" i="13" s="1"/>
  <c r="F510" i="13"/>
  <c r="F513" i="13" s="1"/>
  <c r="E586" i="42" l="1"/>
  <c r="D585" i="42"/>
  <c r="E585" i="42" s="1"/>
  <c r="E584" i="42"/>
  <c r="E583" i="42"/>
  <c r="E582" i="42"/>
  <c r="E576" i="42"/>
  <c r="D575" i="42"/>
  <c r="E575" i="42" s="1"/>
  <c r="E574" i="42"/>
  <c r="E573" i="42"/>
  <c r="E572" i="42"/>
  <c r="E571" i="42"/>
  <c r="E566" i="42"/>
  <c r="E565" i="42"/>
  <c r="E563" i="42"/>
  <c r="E562" i="42"/>
  <c r="E551" i="42"/>
  <c r="E550" i="42"/>
  <c r="E549" i="42"/>
  <c r="E548" i="42"/>
  <c r="E547" i="42"/>
  <c r="E543" i="42"/>
  <c r="E544" i="42" s="1"/>
  <c r="E540" i="42"/>
  <c r="E539" i="42"/>
  <c r="E541" i="42" s="1"/>
  <c r="E529" i="42"/>
  <c r="E528" i="42"/>
  <c r="D527" i="42"/>
  <c r="E527" i="42" s="1"/>
  <c r="E526" i="42"/>
  <c r="E525" i="42"/>
  <c r="E514" i="42"/>
  <c r="D512" i="42"/>
  <c r="E512" i="42" s="1"/>
  <c r="D513" i="42" s="1"/>
  <c r="E513" i="42" s="1"/>
  <c r="E511" i="42"/>
  <c r="B498" i="42"/>
  <c r="B504" i="42" s="1"/>
  <c r="B506" i="42" s="1"/>
  <c r="E484" i="42"/>
  <c r="E483" i="42"/>
  <c r="D482" i="42"/>
  <c r="E482" i="42" s="1"/>
  <c r="E481" i="42"/>
  <c r="E480" i="42"/>
  <c r="E475" i="42"/>
  <c r="E460" i="42"/>
  <c r="E459" i="42"/>
  <c r="E458" i="42"/>
  <c r="E457" i="42"/>
  <c r="E448" i="42"/>
  <c r="E447" i="42"/>
  <c r="E442" i="42"/>
  <c r="E440" i="42"/>
  <c r="E437" i="42"/>
  <c r="E435" i="42"/>
  <c r="E434" i="42"/>
  <c r="E433" i="42"/>
  <c r="E432" i="42"/>
  <c r="D419" i="42"/>
  <c r="E419" i="42" s="1"/>
  <c r="D418" i="42"/>
  <c r="E418" i="42" s="1"/>
  <c r="E420" i="42" s="1"/>
  <c r="E412" i="42"/>
  <c r="D413" i="42" s="1"/>
  <c r="E413" i="42" s="1"/>
  <c r="D411" i="42"/>
  <c r="E411" i="42" s="1"/>
  <c r="E388" i="42"/>
  <c r="E387" i="42"/>
  <c r="E386" i="42"/>
  <c r="E385" i="42"/>
  <c r="E384" i="42"/>
  <c r="E383" i="42"/>
  <c r="E382" i="42"/>
  <c r="E375" i="42"/>
  <c r="E374" i="42"/>
  <c r="E372" i="42"/>
  <c r="E371" i="42"/>
  <c r="D373" i="42" s="1"/>
  <c r="E373" i="42" s="1"/>
  <c r="E370" i="42"/>
  <c r="E369" i="42"/>
  <c r="E368" i="42"/>
  <c r="E361" i="42"/>
  <c r="E360" i="42"/>
  <c r="E359" i="42"/>
  <c r="E358" i="42"/>
  <c r="E357" i="42"/>
  <c r="E356" i="42"/>
  <c r="E355" i="42"/>
  <c r="E354" i="42"/>
  <c r="E347" i="42"/>
  <c r="E346" i="42"/>
  <c r="E345" i="42"/>
  <c r="E337" i="42"/>
  <c r="E338" i="42" s="1"/>
  <c r="D331" i="42"/>
  <c r="E331" i="42" s="1"/>
  <c r="E324" i="42"/>
  <c r="E323" i="42"/>
  <c r="E322" i="42"/>
  <c r="E321" i="42"/>
  <c r="E317" i="42"/>
  <c r="E304" i="42"/>
  <c r="E302" i="42"/>
  <c r="D303" i="42" s="1"/>
  <c r="E303" i="42" s="1"/>
  <c r="E301" i="42"/>
  <c r="E292" i="42"/>
  <c r="E293" i="42" s="1"/>
  <c r="E285" i="42"/>
  <c r="E284" i="42"/>
  <c r="E283" i="42"/>
  <c r="E279" i="42"/>
  <c r="E270" i="42"/>
  <c r="E269" i="42"/>
  <c r="E268" i="42"/>
  <c r="E267" i="42"/>
  <c r="E265" i="42"/>
  <c r="E255" i="42"/>
  <c r="E254" i="42"/>
  <c r="E252" i="42"/>
  <c r="E247" i="42"/>
  <c r="E246" i="42"/>
  <c r="E243" i="42"/>
  <c r="B239" i="42"/>
  <c r="E239" i="42" s="1"/>
  <c r="E223" i="42"/>
  <c r="E221" i="42"/>
  <c r="E216" i="42"/>
  <c r="E215" i="42"/>
  <c r="E214" i="42"/>
  <c r="E213" i="42"/>
  <c r="E212" i="42"/>
  <c r="E204" i="42"/>
  <c r="D205" i="42" s="1"/>
  <c r="E205" i="42" s="1"/>
  <c r="D203" i="42"/>
  <c r="E203" i="42" s="1"/>
  <c r="E202" i="42"/>
  <c r="E201" i="42"/>
  <c r="E196" i="42"/>
  <c r="E195" i="42"/>
  <c r="E190" i="42"/>
  <c r="E189" i="42"/>
  <c r="E184" i="42"/>
  <c r="E183" i="42"/>
  <c r="E182" i="42"/>
  <c r="E177" i="42"/>
  <c r="E176" i="42"/>
  <c r="E172" i="42"/>
  <c r="E171" i="42"/>
  <c r="E170" i="42"/>
  <c r="E166" i="42"/>
  <c r="E165" i="42"/>
  <c r="E160" i="42"/>
  <c r="E151" i="42"/>
  <c r="E150" i="42"/>
  <c r="E145" i="42"/>
  <c r="E144" i="42"/>
  <c r="E139" i="42"/>
  <c r="E133" i="42"/>
  <c r="E132" i="42"/>
  <c r="E126" i="42"/>
  <c r="E125" i="42"/>
  <c r="E124" i="42"/>
  <c r="E123" i="42"/>
  <c r="E117" i="42"/>
  <c r="E116" i="42"/>
  <c r="E115" i="42"/>
  <c r="E109" i="42"/>
  <c r="E108" i="42"/>
  <c r="E106" i="42"/>
  <c r="D105" i="42"/>
  <c r="E105" i="42" s="1"/>
  <c r="E100" i="42"/>
  <c r="E98" i="42"/>
  <c r="D97" i="42"/>
  <c r="E97" i="42" s="1"/>
  <c r="E92" i="42"/>
  <c r="E91" i="42"/>
  <c r="D90" i="42"/>
  <c r="E90" i="42" s="1"/>
  <c r="E85" i="42"/>
  <c r="E84" i="42"/>
  <c r="E83" i="42"/>
  <c r="E77" i="42"/>
  <c r="E69" i="42"/>
  <c r="E61" i="42"/>
  <c r="E54" i="42"/>
  <c r="E52" i="42"/>
  <c r="E51" i="42"/>
  <c r="E50" i="42"/>
  <c r="E45" i="42"/>
  <c r="E36" i="42"/>
  <c r="E28" i="42"/>
  <c r="D27" i="42"/>
  <c r="E27" i="42" s="1"/>
  <c r="E22" i="42"/>
  <c r="D21" i="42"/>
  <c r="E21" i="42" s="1"/>
  <c r="E17" i="42"/>
  <c r="B60" i="42" s="1"/>
  <c r="E16" i="42"/>
  <c r="D60" i="42" s="1"/>
  <c r="E15" i="42"/>
  <c r="D143" i="42" s="1"/>
  <c r="E14" i="42"/>
  <c r="D26" i="42" s="1"/>
  <c r="E26" i="42" s="1"/>
  <c r="E13" i="42"/>
  <c r="D59" i="42" s="1"/>
  <c r="E59" i="42" s="1"/>
  <c r="E12" i="42"/>
  <c r="D20" i="42" s="1"/>
  <c r="E20" i="42" s="1"/>
  <c r="E11" i="42"/>
  <c r="D68" i="42" s="1"/>
  <c r="E68" i="42" s="1"/>
  <c r="E10" i="42"/>
  <c r="D66" i="42" s="1"/>
  <c r="E66" i="42" s="1"/>
  <c r="E9" i="42"/>
  <c r="D158" i="42" s="1"/>
  <c r="E158" i="42" s="1"/>
  <c r="B46" i="41"/>
  <c r="E46" i="41" s="1"/>
  <c r="G45" i="41"/>
  <c r="F45" i="41"/>
  <c r="D44" i="41"/>
  <c r="E44" i="41" s="1"/>
  <c r="B40" i="41"/>
  <c r="E40" i="41" s="1"/>
  <c r="G39" i="41"/>
  <c r="F39" i="41"/>
  <c r="B34" i="41"/>
  <c r="E34" i="41" s="1"/>
  <c r="G33" i="41"/>
  <c r="F33" i="41"/>
  <c r="D32" i="41"/>
  <c r="D39" i="41" s="1"/>
  <c r="E39" i="41" s="1"/>
  <c r="F27" i="41"/>
  <c r="E27" i="41"/>
  <c r="G26" i="41"/>
  <c r="F26" i="41"/>
  <c r="D26" i="41"/>
  <c r="D33" i="41" s="1"/>
  <c r="D25" i="41"/>
  <c r="E25" i="41" s="1"/>
  <c r="B21" i="41"/>
  <c r="E21" i="41" s="1"/>
  <c r="G20" i="41"/>
  <c r="F20" i="41"/>
  <c r="D20" i="41"/>
  <c r="E20" i="41" s="1"/>
  <c r="D19" i="41"/>
  <c r="E19" i="41" s="1"/>
  <c r="H15" i="41"/>
  <c r="F15" i="41"/>
  <c r="D15" i="41"/>
  <c r="E15" i="41" s="1"/>
  <c r="D14" i="41"/>
  <c r="E14" i="41" s="1"/>
  <c r="H10" i="41"/>
  <c r="F10" i="41"/>
  <c r="E10" i="41"/>
  <c r="E9" i="41"/>
  <c r="H6" i="41"/>
  <c r="F6" i="41"/>
  <c r="E6" i="41"/>
  <c r="E5" i="41"/>
  <c r="I12" i="40"/>
  <c r="G11" i="40"/>
  <c r="B45" i="39"/>
  <c r="E45" i="39" s="1"/>
  <c r="G44" i="39"/>
  <c r="F44" i="39"/>
  <c r="D43" i="39"/>
  <c r="E43" i="39" s="1"/>
  <c r="B39" i="39"/>
  <c r="E39" i="39" s="1"/>
  <c r="G38" i="39"/>
  <c r="F38" i="39"/>
  <c r="D37" i="39"/>
  <c r="E37" i="39" s="1"/>
  <c r="G33" i="39"/>
  <c r="B33" i="39"/>
  <c r="E33" i="39" s="1"/>
  <c r="D31" i="39"/>
  <c r="E31" i="39" s="1"/>
  <c r="B27" i="39"/>
  <c r="E27" i="39" s="1"/>
  <c r="G26" i="39"/>
  <c r="F26" i="39"/>
  <c r="D25" i="39"/>
  <c r="E25" i="39" s="1"/>
  <c r="G20" i="39"/>
  <c r="F20" i="39"/>
  <c r="D19" i="39"/>
  <c r="E19" i="39" s="1"/>
  <c r="F15" i="39"/>
  <c r="E15" i="39"/>
  <c r="G14" i="39"/>
  <c r="F14" i="39"/>
  <c r="D14" i="39"/>
  <c r="D20" i="39" s="1"/>
  <c r="D26" i="39" s="1"/>
  <c r="D13" i="39"/>
  <c r="E13" i="39" s="1"/>
  <c r="H9" i="39"/>
  <c r="F9" i="39"/>
  <c r="D9" i="39"/>
  <c r="E9" i="39" s="1"/>
  <c r="D8" i="39"/>
  <c r="E8" i="39" s="1"/>
  <c r="H4" i="39"/>
  <c r="F4" i="39"/>
  <c r="E4" i="39"/>
  <c r="E3" i="39"/>
  <c r="E5" i="39" s="1"/>
  <c r="D15" i="38"/>
  <c r="E32" i="37"/>
  <c r="E31" i="37"/>
  <c r="E30" i="37"/>
  <c r="C29" i="37"/>
  <c r="E29" i="37" s="1"/>
  <c r="E28" i="37"/>
  <c r="E27" i="37"/>
  <c r="E26" i="37"/>
  <c r="E25" i="37"/>
  <c r="C24" i="37"/>
  <c r="E24" i="37" s="1"/>
  <c r="C23" i="37"/>
  <c r="E23" i="37" s="1"/>
  <c r="E22" i="37"/>
  <c r="E21" i="37"/>
  <c r="C20" i="37"/>
  <c r="E20" i="37" s="1"/>
  <c r="I19" i="37"/>
  <c r="I20" i="37" s="1"/>
  <c r="G11" i="37"/>
  <c r="I11" i="37" s="1"/>
  <c r="J11" i="37" s="1"/>
  <c r="G10" i="37"/>
  <c r="I10" i="37" s="1"/>
  <c r="J10" i="37" s="1"/>
  <c r="F9" i="37"/>
  <c r="I9" i="37" s="1"/>
  <c r="C40" i="35"/>
  <c r="C44" i="35" s="1"/>
  <c r="C37" i="35"/>
  <c r="C32" i="35"/>
  <c r="C15" i="35"/>
  <c r="K12" i="35"/>
  <c r="I11" i="35"/>
  <c r="H11" i="35"/>
  <c r="J11" i="35" s="1"/>
  <c r="I10" i="35"/>
  <c r="H10" i="35"/>
  <c r="J10" i="35" s="1"/>
  <c r="C10" i="35"/>
  <c r="I9" i="35"/>
  <c r="J9" i="35" s="1"/>
  <c r="M8" i="35"/>
  <c r="J8" i="35"/>
  <c r="M7" i="35"/>
  <c r="C6" i="35"/>
  <c r="C17" i="35" s="1"/>
  <c r="D25" i="34"/>
  <c r="F54" i="33"/>
  <c r="F53" i="33"/>
  <c r="F52" i="33"/>
  <c r="F51" i="33"/>
  <c r="F50" i="33"/>
  <c r="F49" i="33"/>
  <c r="F48" i="33"/>
  <c r="F47" i="33"/>
  <c r="F46" i="33"/>
  <c r="F45" i="33"/>
  <c r="F44" i="33"/>
  <c r="F43" i="33"/>
  <c r="F40" i="33"/>
  <c r="F39" i="33"/>
  <c r="F38" i="33"/>
  <c r="F37" i="33"/>
  <c r="F36" i="33"/>
  <c r="F35" i="33"/>
  <c r="F32" i="33"/>
  <c r="F31" i="33"/>
  <c r="F30" i="33"/>
  <c r="F29" i="33"/>
  <c r="F28" i="33"/>
  <c r="F27" i="33"/>
  <c r="F26" i="33"/>
  <c r="F25" i="33"/>
  <c r="F24" i="33"/>
  <c r="F23" i="33"/>
  <c r="F22" i="33"/>
  <c r="F21" i="33"/>
  <c r="F18" i="33"/>
  <c r="F15" i="33"/>
  <c r="F14" i="33"/>
  <c r="F13" i="33"/>
  <c r="F12" i="33"/>
  <c r="F11" i="33"/>
  <c r="F8" i="33"/>
  <c r="F7" i="33"/>
  <c r="I6" i="33"/>
  <c r="H6" i="33"/>
  <c r="F6" i="33"/>
  <c r="A59" i="32"/>
  <c r="A56" i="32"/>
  <c r="D56" i="32" s="1"/>
  <c r="D52" i="32"/>
  <c r="D48" i="32"/>
  <c r="D44" i="32"/>
  <c r="L41" i="32"/>
  <c r="M41" i="32" s="1"/>
  <c r="A37" i="32"/>
  <c r="D37" i="32" s="1"/>
  <c r="L36" i="32"/>
  <c r="L35" i="32"/>
  <c r="L34" i="32"/>
  <c r="A31" i="32"/>
  <c r="D31" i="32" s="1"/>
  <c r="A25" i="32"/>
  <c r="D25" i="32" s="1"/>
  <c r="A18" i="32"/>
  <c r="D18" i="32" s="1"/>
  <c r="D14" i="32"/>
  <c r="D10" i="32"/>
  <c r="D5" i="32"/>
  <c r="G23" i="31"/>
  <c r="G22" i="31"/>
  <c r="I19" i="31"/>
  <c r="H17" i="31"/>
  <c r="I17" i="31" s="1"/>
  <c r="H16" i="31"/>
  <c r="I16" i="31" s="1"/>
  <c r="H15" i="31"/>
  <c r="I15" i="31" s="1"/>
  <c r="H14" i="31"/>
  <c r="I14" i="31" s="1"/>
  <c r="H13" i="31"/>
  <c r="I13" i="31" s="1"/>
  <c r="I12" i="31"/>
  <c r="I11" i="31"/>
  <c r="D39" i="30"/>
  <c r="C39" i="30"/>
  <c r="C35" i="30"/>
  <c r="C34" i="30"/>
  <c r="D32" i="30"/>
  <c r="D20" i="30"/>
  <c r="E20" i="30" s="1"/>
  <c r="F20" i="30" s="1"/>
  <c r="D19" i="30"/>
  <c r="E19" i="30" s="1"/>
  <c r="F19" i="30" s="1"/>
  <c r="F16" i="30"/>
  <c r="E14" i="30"/>
  <c r="E13" i="30"/>
  <c r="F13" i="30" s="1"/>
  <c r="F9" i="30"/>
  <c r="C9" i="30"/>
  <c r="E8" i="30"/>
  <c r="F8" i="30" s="1"/>
  <c r="E6" i="30"/>
  <c r="F6" i="30" s="1"/>
  <c r="F60" i="29"/>
  <c r="C51" i="29"/>
  <c r="F51" i="29" s="1"/>
  <c r="C50" i="29"/>
  <c r="F50" i="29" s="1"/>
  <c r="C49" i="29"/>
  <c r="F49" i="29" s="1"/>
  <c r="C48" i="29"/>
  <c r="F48" i="29" s="1"/>
  <c r="C47" i="29"/>
  <c r="F47" i="29" s="1"/>
  <c r="C46" i="29"/>
  <c r="F46" i="29" s="1"/>
  <c r="C45" i="29"/>
  <c r="F45" i="29" s="1"/>
  <c r="C44" i="29"/>
  <c r="F44" i="29" s="1"/>
  <c r="C43" i="29"/>
  <c r="F43" i="29" s="1"/>
  <c r="C42" i="29"/>
  <c r="F42" i="29" s="1"/>
  <c r="C41" i="29"/>
  <c r="F41" i="29" s="1"/>
  <c r="C40" i="29"/>
  <c r="F40" i="29" s="1"/>
  <c r="C39" i="29"/>
  <c r="F39" i="29" s="1"/>
  <c r="C38" i="29"/>
  <c r="F38" i="29" s="1"/>
  <c r="C35" i="29"/>
  <c r="F35" i="29" s="1"/>
  <c r="O23" i="29"/>
  <c r="L23" i="29"/>
  <c r="I23" i="29"/>
  <c r="F23" i="29"/>
  <c r="O22" i="29"/>
  <c r="L22" i="29"/>
  <c r="I22" i="29"/>
  <c r="F22" i="29"/>
  <c r="O21" i="29"/>
  <c r="L21" i="29"/>
  <c r="I21" i="29"/>
  <c r="F21" i="29"/>
  <c r="O20" i="29"/>
  <c r="L20" i="29"/>
  <c r="I20" i="29"/>
  <c r="F20" i="29"/>
  <c r="O19" i="29"/>
  <c r="L19" i="29"/>
  <c r="I19" i="29"/>
  <c r="F19" i="29"/>
  <c r="O18" i="29"/>
  <c r="L18" i="29"/>
  <c r="I18" i="29"/>
  <c r="F18" i="29"/>
  <c r="O17" i="29"/>
  <c r="L17" i="29"/>
  <c r="I17" i="29"/>
  <c r="F17" i="29"/>
  <c r="O16" i="29"/>
  <c r="L16" i="29"/>
  <c r="I16" i="29"/>
  <c r="F16" i="29"/>
  <c r="O15" i="29"/>
  <c r="L15" i="29"/>
  <c r="I15" i="29"/>
  <c r="F15" i="29"/>
  <c r="O14" i="29"/>
  <c r="L14" i="29"/>
  <c r="I14" i="29"/>
  <c r="F14" i="29"/>
  <c r="O13" i="29"/>
  <c r="L13" i="29"/>
  <c r="I13" i="29"/>
  <c r="F13" i="29"/>
  <c r="O12" i="29"/>
  <c r="L12" i="29"/>
  <c r="I12" i="29"/>
  <c r="F12" i="29"/>
  <c r="O11" i="29"/>
  <c r="L11" i="29"/>
  <c r="I11" i="29"/>
  <c r="E11" i="29"/>
  <c r="F11" i="29" s="1"/>
  <c r="O10" i="29"/>
  <c r="L10" i="29"/>
  <c r="E10" i="29"/>
  <c r="F10" i="29" s="1"/>
  <c r="E9" i="29"/>
  <c r="C9" i="29"/>
  <c r="O9" i="29" s="1"/>
  <c r="E8" i="29"/>
  <c r="H8" i="29" s="1"/>
  <c r="C8" i="29"/>
  <c r="O7" i="29"/>
  <c r="L7" i="29"/>
  <c r="I7" i="29"/>
  <c r="F7" i="29"/>
  <c r="F62" i="28"/>
  <c r="C53" i="28"/>
  <c r="F53" i="28" s="1"/>
  <c r="C52" i="28"/>
  <c r="F52" i="28" s="1"/>
  <c r="C51" i="28"/>
  <c r="F51" i="28" s="1"/>
  <c r="C50" i="28"/>
  <c r="F50" i="28" s="1"/>
  <c r="C49" i="28"/>
  <c r="F49" i="28" s="1"/>
  <c r="C48" i="28"/>
  <c r="F48" i="28" s="1"/>
  <c r="C47" i="28"/>
  <c r="F47" i="28" s="1"/>
  <c r="C46" i="28"/>
  <c r="F46" i="28" s="1"/>
  <c r="C45" i="28"/>
  <c r="F45" i="28" s="1"/>
  <c r="C44" i="28"/>
  <c r="F44" i="28" s="1"/>
  <c r="C43" i="28"/>
  <c r="F43" i="28" s="1"/>
  <c r="C42" i="28"/>
  <c r="F42" i="28" s="1"/>
  <c r="C41" i="28"/>
  <c r="F41" i="28" s="1"/>
  <c r="C40" i="28"/>
  <c r="F40" i="28" s="1"/>
  <c r="C39" i="28"/>
  <c r="F39" i="28" s="1"/>
  <c r="C38" i="28"/>
  <c r="F38" i="28" s="1"/>
  <c r="C37" i="28"/>
  <c r="F37" i="28" s="1"/>
  <c r="C26" i="28"/>
  <c r="O25" i="28"/>
  <c r="L25" i="28"/>
  <c r="I25" i="28"/>
  <c r="F25" i="28"/>
  <c r="O24" i="28"/>
  <c r="L24" i="28"/>
  <c r="I24" i="28"/>
  <c r="F24" i="28"/>
  <c r="O23" i="28"/>
  <c r="L23" i="28"/>
  <c r="I23" i="28"/>
  <c r="F23" i="28"/>
  <c r="O22" i="28"/>
  <c r="L22" i="28"/>
  <c r="I22" i="28"/>
  <c r="F22" i="28"/>
  <c r="O21" i="28"/>
  <c r="L21" i="28"/>
  <c r="I21" i="28"/>
  <c r="F21" i="28"/>
  <c r="O20" i="28"/>
  <c r="L20" i="28"/>
  <c r="I20" i="28"/>
  <c r="F20" i="28"/>
  <c r="O19" i="28"/>
  <c r="L19" i="28"/>
  <c r="I19" i="28"/>
  <c r="F19" i="28"/>
  <c r="O18" i="28"/>
  <c r="L18" i="28"/>
  <c r="I18" i="28"/>
  <c r="F18" i="28"/>
  <c r="O17" i="28"/>
  <c r="L17" i="28"/>
  <c r="I17" i="28"/>
  <c r="F17" i="28"/>
  <c r="O16" i="28"/>
  <c r="L16" i="28"/>
  <c r="I16" i="28"/>
  <c r="F16" i="28"/>
  <c r="O15" i="28"/>
  <c r="L15" i="28"/>
  <c r="I15" i="28"/>
  <c r="E15" i="28"/>
  <c r="F15" i="28" s="1"/>
  <c r="O14" i="28"/>
  <c r="L14" i="28"/>
  <c r="I14" i="28"/>
  <c r="E14" i="28"/>
  <c r="F14" i="28" s="1"/>
  <c r="O13" i="28"/>
  <c r="L13" i="28"/>
  <c r="I13" i="28"/>
  <c r="F13" i="28"/>
  <c r="O12" i="28"/>
  <c r="L12" i="28"/>
  <c r="I12" i="28"/>
  <c r="F12" i="28"/>
  <c r="O11" i="28"/>
  <c r="L11" i="28"/>
  <c r="I11" i="28"/>
  <c r="E11" i="28"/>
  <c r="F11" i="28" s="1"/>
  <c r="O10" i="28"/>
  <c r="L10" i="28"/>
  <c r="I10" i="28"/>
  <c r="E10" i="28"/>
  <c r="F10" i="28" s="1"/>
  <c r="O9" i="28"/>
  <c r="L9" i="28"/>
  <c r="I9" i="28"/>
  <c r="E9" i="28"/>
  <c r="F9" i="28" s="1"/>
  <c r="O8" i="28"/>
  <c r="L8" i="28"/>
  <c r="I8" i="28"/>
  <c r="E8" i="28"/>
  <c r="F8" i="28" s="1"/>
  <c r="O7" i="28"/>
  <c r="O28" i="28" s="1"/>
  <c r="L7" i="28"/>
  <c r="I7" i="28"/>
  <c r="F7" i="28"/>
  <c r="F60" i="27"/>
  <c r="C51" i="27"/>
  <c r="F51" i="27" s="1"/>
  <c r="C50" i="27"/>
  <c r="F50" i="27" s="1"/>
  <c r="C49" i="27"/>
  <c r="F49" i="27" s="1"/>
  <c r="C48" i="27"/>
  <c r="F48" i="27" s="1"/>
  <c r="C47" i="27"/>
  <c r="F47" i="27" s="1"/>
  <c r="C46" i="27"/>
  <c r="F46" i="27" s="1"/>
  <c r="C45" i="27"/>
  <c r="F45" i="27" s="1"/>
  <c r="C44" i="27"/>
  <c r="F44" i="27" s="1"/>
  <c r="C43" i="27"/>
  <c r="F43" i="27" s="1"/>
  <c r="C42" i="27"/>
  <c r="F42" i="27" s="1"/>
  <c r="C41" i="27"/>
  <c r="F41" i="27" s="1"/>
  <c r="C40" i="27"/>
  <c r="F40" i="27" s="1"/>
  <c r="C39" i="27"/>
  <c r="F39" i="27" s="1"/>
  <c r="C38" i="27"/>
  <c r="F38" i="27" s="1"/>
  <c r="C36" i="27"/>
  <c r="F36" i="27" s="1"/>
  <c r="C35" i="27"/>
  <c r="F35" i="27" s="1"/>
  <c r="O23" i="27"/>
  <c r="L23" i="27"/>
  <c r="I23" i="27"/>
  <c r="F23" i="27"/>
  <c r="O22" i="27"/>
  <c r="L22" i="27"/>
  <c r="I22" i="27"/>
  <c r="F22" i="27"/>
  <c r="O21" i="27"/>
  <c r="L21" i="27"/>
  <c r="I21" i="27"/>
  <c r="F21" i="27"/>
  <c r="O20" i="27"/>
  <c r="L20" i="27"/>
  <c r="I20" i="27"/>
  <c r="F20" i="27"/>
  <c r="O19" i="27"/>
  <c r="L19" i="27"/>
  <c r="I19" i="27"/>
  <c r="F19" i="27"/>
  <c r="O18" i="27"/>
  <c r="L18" i="27"/>
  <c r="I18" i="27"/>
  <c r="F18" i="27"/>
  <c r="O17" i="27"/>
  <c r="L17" i="27"/>
  <c r="I17" i="27"/>
  <c r="F17" i="27"/>
  <c r="O16" i="27"/>
  <c r="L16" i="27"/>
  <c r="I16" i="27"/>
  <c r="F16" i="27"/>
  <c r="O15" i="27"/>
  <c r="L15" i="27"/>
  <c r="I15" i="27"/>
  <c r="F15" i="27"/>
  <c r="O14" i="27"/>
  <c r="L14" i="27"/>
  <c r="I14" i="27"/>
  <c r="F14" i="27"/>
  <c r="O13" i="27"/>
  <c r="L13" i="27"/>
  <c r="I13" i="27"/>
  <c r="F13" i="27"/>
  <c r="O12" i="27"/>
  <c r="L12" i="27"/>
  <c r="I12" i="27"/>
  <c r="F12" i="27"/>
  <c r="O11" i="27"/>
  <c r="L11" i="27"/>
  <c r="I11" i="27"/>
  <c r="E11" i="27"/>
  <c r="F11" i="27" s="1"/>
  <c r="O10" i="27"/>
  <c r="L10" i="27"/>
  <c r="I10" i="27"/>
  <c r="E10" i="27"/>
  <c r="F10" i="27" s="1"/>
  <c r="E9" i="27"/>
  <c r="H9" i="27" s="1"/>
  <c r="D9" i="27"/>
  <c r="C9" i="27"/>
  <c r="C37" i="27" s="1"/>
  <c r="F37" i="27" s="1"/>
  <c r="O8" i="27"/>
  <c r="L8" i="27"/>
  <c r="I8" i="27"/>
  <c r="E8" i="27"/>
  <c r="F8" i="27" s="1"/>
  <c r="O7" i="27"/>
  <c r="L7" i="27"/>
  <c r="I7" i="27"/>
  <c r="F7" i="27"/>
  <c r="F62" i="26"/>
  <c r="C53" i="26"/>
  <c r="F53" i="26" s="1"/>
  <c r="C52" i="26"/>
  <c r="F52" i="26" s="1"/>
  <c r="C51" i="26"/>
  <c r="F51" i="26" s="1"/>
  <c r="C50" i="26"/>
  <c r="F50" i="26" s="1"/>
  <c r="C49" i="26"/>
  <c r="F49" i="26" s="1"/>
  <c r="C48" i="26"/>
  <c r="F48" i="26" s="1"/>
  <c r="C47" i="26"/>
  <c r="F47" i="26" s="1"/>
  <c r="C46" i="26"/>
  <c r="F46" i="26" s="1"/>
  <c r="C45" i="26"/>
  <c r="F45" i="26" s="1"/>
  <c r="C44" i="26"/>
  <c r="F44" i="26" s="1"/>
  <c r="C43" i="26"/>
  <c r="F43" i="26" s="1"/>
  <c r="C42" i="26"/>
  <c r="F42" i="26" s="1"/>
  <c r="C41" i="26"/>
  <c r="F41" i="26" s="1"/>
  <c r="C40" i="26"/>
  <c r="F40" i="26" s="1"/>
  <c r="C39" i="26"/>
  <c r="F39" i="26" s="1"/>
  <c r="C38" i="26"/>
  <c r="F38" i="26" s="1"/>
  <c r="C37" i="26"/>
  <c r="F37" i="26" s="1"/>
  <c r="C26" i="26"/>
  <c r="O25" i="26"/>
  <c r="L25" i="26"/>
  <c r="I25" i="26"/>
  <c r="F25" i="26"/>
  <c r="O24" i="26"/>
  <c r="L24" i="26"/>
  <c r="I24" i="26"/>
  <c r="F24" i="26"/>
  <c r="O23" i="26"/>
  <c r="L23" i="26"/>
  <c r="I23" i="26"/>
  <c r="F23" i="26"/>
  <c r="O22" i="26"/>
  <c r="L22" i="26"/>
  <c r="I22" i="26"/>
  <c r="F22" i="26"/>
  <c r="O21" i="26"/>
  <c r="L21" i="26"/>
  <c r="I21" i="26"/>
  <c r="F21" i="26"/>
  <c r="O20" i="26"/>
  <c r="L20" i="26"/>
  <c r="I20" i="26"/>
  <c r="F20" i="26"/>
  <c r="O19" i="26"/>
  <c r="L19" i="26"/>
  <c r="I19" i="26"/>
  <c r="F19" i="26"/>
  <c r="O18" i="26"/>
  <c r="L18" i="26"/>
  <c r="I18" i="26"/>
  <c r="F18" i="26"/>
  <c r="O17" i="26"/>
  <c r="L17" i="26"/>
  <c r="I17" i="26"/>
  <c r="F17" i="26"/>
  <c r="O16" i="26"/>
  <c r="L16" i="26"/>
  <c r="I16" i="26"/>
  <c r="F16" i="26"/>
  <c r="O15" i="26"/>
  <c r="L15" i="26"/>
  <c r="I15" i="26"/>
  <c r="E15" i="26"/>
  <c r="F15" i="26" s="1"/>
  <c r="O14" i="26"/>
  <c r="L14" i="26"/>
  <c r="I14" i="26"/>
  <c r="E14" i="26"/>
  <c r="F14" i="26" s="1"/>
  <c r="O13" i="26"/>
  <c r="L13" i="26"/>
  <c r="I13" i="26"/>
  <c r="F13" i="26"/>
  <c r="O12" i="26"/>
  <c r="L12" i="26"/>
  <c r="I12" i="26"/>
  <c r="F12" i="26"/>
  <c r="O11" i="26"/>
  <c r="L11" i="26"/>
  <c r="I11" i="26"/>
  <c r="E11" i="26"/>
  <c r="F11" i="26" s="1"/>
  <c r="O10" i="26"/>
  <c r="L10" i="26"/>
  <c r="I10" i="26"/>
  <c r="E10" i="26"/>
  <c r="F10" i="26" s="1"/>
  <c r="O9" i="26"/>
  <c r="L9" i="26"/>
  <c r="I9" i="26"/>
  <c r="E9" i="26"/>
  <c r="F9" i="26" s="1"/>
  <c r="O8" i="26"/>
  <c r="L8" i="26"/>
  <c r="I8" i="26"/>
  <c r="E8" i="26"/>
  <c r="F8" i="26" s="1"/>
  <c r="O7" i="26"/>
  <c r="L7" i="26"/>
  <c r="I7" i="26"/>
  <c r="F7" i="26"/>
  <c r="F60" i="25"/>
  <c r="C51" i="25"/>
  <c r="F51" i="25" s="1"/>
  <c r="C50" i="25"/>
  <c r="F50" i="25" s="1"/>
  <c r="C49" i="25"/>
  <c r="F49" i="25" s="1"/>
  <c r="C48" i="25"/>
  <c r="F48" i="25" s="1"/>
  <c r="C47" i="25"/>
  <c r="F47" i="25" s="1"/>
  <c r="C46" i="25"/>
  <c r="F46" i="25" s="1"/>
  <c r="C45" i="25"/>
  <c r="F45" i="25" s="1"/>
  <c r="C44" i="25"/>
  <c r="F44" i="25" s="1"/>
  <c r="C43" i="25"/>
  <c r="F43" i="25" s="1"/>
  <c r="C42" i="25"/>
  <c r="F42" i="25" s="1"/>
  <c r="C41" i="25"/>
  <c r="F41" i="25" s="1"/>
  <c r="C40" i="25"/>
  <c r="F40" i="25" s="1"/>
  <c r="C39" i="25"/>
  <c r="F39" i="25" s="1"/>
  <c r="C38" i="25"/>
  <c r="F38" i="25" s="1"/>
  <c r="C37" i="25"/>
  <c r="F37" i="25" s="1"/>
  <c r="C36" i="25"/>
  <c r="F36" i="25" s="1"/>
  <c r="C35" i="25"/>
  <c r="F35" i="25" s="1"/>
  <c r="C24" i="25"/>
  <c r="O23" i="25"/>
  <c r="L23" i="25"/>
  <c r="I23" i="25"/>
  <c r="F23" i="25"/>
  <c r="O22" i="25"/>
  <c r="L22" i="25"/>
  <c r="I22" i="25"/>
  <c r="F22" i="25"/>
  <c r="O21" i="25"/>
  <c r="L21" i="25"/>
  <c r="I21" i="25"/>
  <c r="F21" i="25"/>
  <c r="O20" i="25"/>
  <c r="L20" i="25"/>
  <c r="I20" i="25"/>
  <c r="F20" i="25"/>
  <c r="O19" i="25"/>
  <c r="L19" i="25"/>
  <c r="I19" i="25"/>
  <c r="F19" i="25"/>
  <c r="O18" i="25"/>
  <c r="L18" i="25"/>
  <c r="I18" i="25"/>
  <c r="F18" i="25"/>
  <c r="O17" i="25"/>
  <c r="L17" i="25"/>
  <c r="I17" i="25"/>
  <c r="F17" i="25"/>
  <c r="O16" i="25"/>
  <c r="L16" i="25"/>
  <c r="I16" i="25"/>
  <c r="F16" i="25"/>
  <c r="O15" i="25"/>
  <c r="L15" i="25"/>
  <c r="I15" i="25"/>
  <c r="F15" i="25"/>
  <c r="O14" i="25"/>
  <c r="L14" i="25"/>
  <c r="I14" i="25"/>
  <c r="F14" i="25"/>
  <c r="O13" i="25"/>
  <c r="L13" i="25"/>
  <c r="I13" i="25"/>
  <c r="F13" i="25"/>
  <c r="O12" i="25"/>
  <c r="L12" i="25"/>
  <c r="I12" i="25"/>
  <c r="F12" i="25"/>
  <c r="O11" i="25"/>
  <c r="L11" i="25"/>
  <c r="I11" i="25"/>
  <c r="E11" i="25"/>
  <c r="F11" i="25" s="1"/>
  <c r="O10" i="25"/>
  <c r="L10" i="25"/>
  <c r="I10" i="25"/>
  <c r="E10" i="25"/>
  <c r="F10" i="25" s="1"/>
  <c r="O9" i="25"/>
  <c r="L9" i="25"/>
  <c r="I9" i="25"/>
  <c r="E9" i="25"/>
  <c r="F9" i="25" s="1"/>
  <c r="O8" i="25"/>
  <c r="L8" i="25"/>
  <c r="I8" i="25"/>
  <c r="E8" i="25"/>
  <c r="F8" i="25" s="1"/>
  <c r="O7" i="25"/>
  <c r="L7" i="25"/>
  <c r="I7" i="25"/>
  <c r="I26" i="25" s="1"/>
  <c r="F7" i="25"/>
  <c r="E249" i="24"/>
  <c r="C249" i="24"/>
  <c r="I248" i="24"/>
  <c r="I247" i="24"/>
  <c r="C243" i="24"/>
  <c r="F243" i="24" s="1"/>
  <c r="I242" i="24"/>
  <c r="I241" i="24"/>
  <c r="C233" i="24"/>
  <c r="F233" i="24" s="1"/>
  <c r="C227" i="24"/>
  <c r="F227" i="24" s="1"/>
  <c r="C221" i="24"/>
  <c r="F221" i="24" s="1"/>
  <c r="C215" i="24"/>
  <c r="F215" i="24" s="1"/>
  <c r="C209" i="24"/>
  <c r="F209" i="24" s="1"/>
  <c r="C203" i="24"/>
  <c r="F203" i="24" s="1"/>
  <c r="C197" i="24"/>
  <c r="F197" i="24" s="1"/>
  <c r="C191" i="24"/>
  <c r="F191" i="24" s="1"/>
  <c r="C185" i="24"/>
  <c r="F185" i="24" s="1"/>
  <c r="C179" i="24"/>
  <c r="F179" i="24" s="1"/>
  <c r="C173" i="24"/>
  <c r="F173" i="24" s="1"/>
  <c r="C166" i="24"/>
  <c r="F166" i="24" s="1"/>
  <c r="C160" i="24"/>
  <c r="F160" i="24" s="1"/>
  <c r="C154" i="24"/>
  <c r="F154" i="24" s="1"/>
  <c r="C148" i="24"/>
  <c r="F148" i="24" s="1"/>
  <c r="E147" i="24"/>
  <c r="F147" i="24" s="1"/>
  <c r="E142" i="24"/>
  <c r="F142" i="24" s="1"/>
  <c r="E141" i="24"/>
  <c r="E146" i="24" s="1"/>
  <c r="F146" i="24" s="1"/>
  <c r="F149" i="24" s="1"/>
  <c r="C137" i="24"/>
  <c r="F137" i="24" s="1"/>
  <c r="E136" i="24"/>
  <c r="F136" i="24" s="1"/>
  <c r="E135" i="24"/>
  <c r="F135" i="24" s="1"/>
  <c r="D130" i="24"/>
  <c r="F129" i="24"/>
  <c r="F128" i="24"/>
  <c r="E127" i="24"/>
  <c r="F127" i="24" s="1"/>
  <c r="F126" i="24"/>
  <c r="E120" i="24"/>
  <c r="F120" i="24" s="1"/>
  <c r="F116" i="24"/>
  <c r="F115" i="24"/>
  <c r="E114" i="24"/>
  <c r="F114" i="24" s="1"/>
  <c r="F117" i="24" s="1"/>
  <c r="F110" i="24"/>
  <c r="F109" i="24"/>
  <c r="F108" i="24"/>
  <c r="E107" i="24"/>
  <c r="F107" i="24" s="1"/>
  <c r="F111" i="24" s="1"/>
  <c r="E121" i="24" s="1"/>
  <c r="F121" i="24" s="1"/>
  <c r="F102" i="24"/>
  <c r="E101" i="24"/>
  <c r="F101" i="24" s="1"/>
  <c r="F100" i="24"/>
  <c r="F99" i="24"/>
  <c r="E98" i="24"/>
  <c r="F98" i="24" s="1"/>
  <c r="F103" i="24" s="1"/>
  <c r="F94" i="24"/>
  <c r="F93" i="24"/>
  <c r="F92" i="24"/>
  <c r="F86" i="24"/>
  <c r="F85" i="24"/>
  <c r="F84" i="24"/>
  <c r="F83" i="24"/>
  <c r="F77" i="24"/>
  <c r="E76" i="24"/>
  <c r="F76" i="24" s="1"/>
  <c r="E75" i="24"/>
  <c r="F75" i="24" s="1"/>
  <c r="E74" i="24"/>
  <c r="F69" i="24"/>
  <c r="E68" i="24"/>
  <c r="F68" i="24" s="1"/>
  <c r="E67" i="24"/>
  <c r="F67" i="24" s="1"/>
  <c r="E65" i="24"/>
  <c r="F61" i="24"/>
  <c r="F56" i="24"/>
  <c r="F55" i="24"/>
  <c r="F54" i="24"/>
  <c r="F49" i="24"/>
  <c r="F41" i="24"/>
  <c r="F42" i="24" s="1"/>
  <c r="F37" i="24"/>
  <c r="F38" i="24" s="1"/>
  <c r="F32" i="24"/>
  <c r="F24" i="24"/>
  <c r="F25" i="24" s="1"/>
  <c r="F20" i="24"/>
  <c r="F15" i="24"/>
  <c r="F11" i="24"/>
  <c r="F10" i="24"/>
  <c r="F9" i="24"/>
  <c r="F8" i="24"/>
  <c r="E60" i="24" s="1"/>
  <c r="F60" i="24" s="1"/>
  <c r="F62" i="24" s="1"/>
  <c r="F7" i="24"/>
  <c r="E19" i="24" s="1"/>
  <c r="F19" i="24" s="1"/>
  <c r="F21" i="24" s="1"/>
  <c r="F6" i="24"/>
  <c r="E14" i="24" s="1"/>
  <c r="F14" i="24" s="1"/>
  <c r="F16" i="24" s="1"/>
  <c r="F5" i="24"/>
  <c r="F4" i="24"/>
  <c r="E30" i="24" s="1"/>
  <c r="F30" i="24" s="1"/>
  <c r="F3" i="24"/>
  <c r="E31" i="24" s="1"/>
  <c r="F31" i="24" s="1"/>
  <c r="F154" i="22"/>
  <c r="F153" i="22"/>
  <c r="H152" i="22"/>
  <c r="F151" i="22"/>
  <c r="H151" i="22" s="1"/>
  <c r="F150" i="22"/>
  <c r="H150" i="22" s="1"/>
  <c r="F144" i="22"/>
  <c r="F143" i="22"/>
  <c r="F142" i="22"/>
  <c r="H142" i="22" s="1"/>
  <c r="F141" i="22"/>
  <c r="H141" i="22" s="1"/>
  <c r="F140" i="22"/>
  <c r="H140" i="22" s="1"/>
  <c r="F136" i="22"/>
  <c r="F135" i="22"/>
  <c r="F134" i="22"/>
  <c r="H134" i="22" s="1"/>
  <c r="F133" i="22"/>
  <c r="H133" i="22" s="1"/>
  <c r="F132" i="22"/>
  <c r="H132" i="22" s="1"/>
  <c r="F128" i="22"/>
  <c r="F127" i="22"/>
  <c r="F126" i="22"/>
  <c r="H126" i="22" s="1"/>
  <c r="F125" i="22"/>
  <c r="H125" i="22" s="1"/>
  <c r="F124" i="22"/>
  <c r="H124" i="22" s="1"/>
  <c r="F120" i="22"/>
  <c r="F119" i="22"/>
  <c r="F118" i="22"/>
  <c r="H118" i="22" s="1"/>
  <c r="F117" i="22"/>
  <c r="H117" i="22" s="1"/>
  <c r="F116" i="22"/>
  <c r="H116" i="22" s="1"/>
  <c r="F112" i="22"/>
  <c r="F111" i="22"/>
  <c r="F110" i="22"/>
  <c r="H110" i="22" s="1"/>
  <c r="F109" i="22"/>
  <c r="H109" i="22" s="1"/>
  <c r="F108" i="22"/>
  <c r="H108" i="22" s="1"/>
  <c r="F104" i="22"/>
  <c r="F103" i="22"/>
  <c r="F102" i="22"/>
  <c r="H102" i="22" s="1"/>
  <c r="F101" i="22"/>
  <c r="H101" i="22" s="1"/>
  <c r="F100" i="22"/>
  <c r="H100" i="22" s="1"/>
  <c r="F96" i="22"/>
  <c r="F95" i="22"/>
  <c r="F94" i="22"/>
  <c r="H94" i="22" s="1"/>
  <c r="F93" i="22"/>
  <c r="H93" i="22" s="1"/>
  <c r="F92" i="22"/>
  <c r="H92" i="22" s="1"/>
  <c r="F88" i="22"/>
  <c r="F87" i="22"/>
  <c r="F86" i="22"/>
  <c r="H86" i="22" s="1"/>
  <c r="F85" i="22"/>
  <c r="H85" i="22" s="1"/>
  <c r="F84" i="22"/>
  <c r="H84" i="22" s="1"/>
  <c r="F80" i="22"/>
  <c r="F79" i="22"/>
  <c r="F78" i="22"/>
  <c r="H78" i="22" s="1"/>
  <c r="F77" i="22"/>
  <c r="H77" i="22" s="1"/>
  <c r="F76" i="22"/>
  <c r="H76" i="22" s="1"/>
  <c r="F72" i="22"/>
  <c r="F71" i="22"/>
  <c r="F70" i="22"/>
  <c r="H70" i="22" s="1"/>
  <c r="F69" i="22"/>
  <c r="H69" i="22" s="1"/>
  <c r="F68" i="22"/>
  <c r="H68" i="22" s="1"/>
  <c r="F67" i="22"/>
  <c r="H67" i="22" s="1"/>
  <c r="F63" i="22"/>
  <c r="F62" i="22"/>
  <c r="F61" i="22"/>
  <c r="H61" i="22" s="1"/>
  <c r="F60" i="22"/>
  <c r="H60" i="22" s="1"/>
  <c r="F59" i="22"/>
  <c r="H59" i="22" s="1"/>
  <c r="F55" i="22"/>
  <c r="F54" i="22"/>
  <c r="F53" i="22"/>
  <c r="H53" i="22" s="1"/>
  <c r="F52" i="22"/>
  <c r="H52" i="22" s="1"/>
  <c r="F51" i="22"/>
  <c r="H51" i="22" s="1"/>
  <c r="F50" i="22"/>
  <c r="H50" i="22" s="1"/>
  <c r="F46" i="22"/>
  <c r="F45" i="22"/>
  <c r="F44" i="22"/>
  <c r="H44" i="22" s="1"/>
  <c r="F43" i="22"/>
  <c r="H43" i="22" s="1"/>
  <c r="F42" i="22"/>
  <c r="H42" i="22" s="1"/>
  <c r="F38" i="22"/>
  <c r="F37" i="22"/>
  <c r="H36" i="22"/>
  <c r="F35" i="22"/>
  <c r="H35" i="22" s="1"/>
  <c r="F34" i="22"/>
  <c r="H34" i="22" s="1"/>
  <c r="F33" i="22"/>
  <c r="H33" i="22" s="1"/>
  <c r="F29" i="22"/>
  <c r="F28" i="22"/>
  <c r="H27" i="22"/>
  <c r="F26" i="22"/>
  <c r="H26" i="22" s="1"/>
  <c r="F25" i="22"/>
  <c r="H25" i="22" s="1"/>
  <c r="F24" i="22"/>
  <c r="H24" i="22" s="1"/>
  <c r="F20" i="22"/>
  <c r="F19" i="22"/>
  <c r="H18" i="22"/>
  <c r="H17" i="22"/>
  <c r="F16" i="22"/>
  <c r="H16" i="22" s="1"/>
  <c r="F15" i="22"/>
  <c r="H15" i="22" s="1"/>
  <c r="F14" i="22"/>
  <c r="H14" i="22" s="1"/>
  <c r="F8" i="22"/>
  <c r="F7" i="22"/>
  <c r="F6" i="22"/>
  <c r="H6" i="22" s="1"/>
  <c r="E56" i="21"/>
  <c r="E55" i="21"/>
  <c r="E54" i="21"/>
  <c r="E53" i="21"/>
  <c r="E52" i="21"/>
  <c r="E51" i="21"/>
  <c r="E50" i="21"/>
  <c r="E45" i="21"/>
  <c r="E40" i="21"/>
  <c r="E35" i="21"/>
  <c r="E34" i="21"/>
  <c r="E33" i="21"/>
  <c r="E32" i="21"/>
  <c r="E31" i="21"/>
  <c r="E30" i="21"/>
  <c r="E25" i="21"/>
  <c r="E24" i="21"/>
  <c r="E23" i="21"/>
  <c r="E22" i="21"/>
  <c r="E21" i="21"/>
  <c r="E20" i="21"/>
  <c r="E19" i="21"/>
  <c r="E18" i="21"/>
  <c r="E17" i="21"/>
  <c r="E16" i="21"/>
  <c r="E11" i="21"/>
  <c r="E10" i="21"/>
  <c r="E9" i="21"/>
  <c r="E8" i="21"/>
  <c r="E7" i="21"/>
  <c r="E6" i="21"/>
  <c r="E5" i="21"/>
  <c r="E4" i="21"/>
  <c r="D580" i="20"/>
  <c r="E580" i="20" s="1"/>
  <c r="D579" i="20"/>
  <c r="E579" i="20" s="1"/>
  <c r="D578" i="20"/>
  <c r="E578" i="20" s="1"/>
  <c r="B577" i="20"/>
  <c r="B576" i="20"/>
  <c r="B575" i="20"/>
  <c r="B574" i="20"/>
  <c r="B573" i="20"/>
  <c r="B572" i="20"/>
  <c r="B571" i="20"/>
  <c r="B570" i="20"/>
  <c r="D569" i="20"/>
  <c r="D568" i="20"/>
  <c r="B568" i="20"/>
  <c r="B569" i="20" s="1"/>
  <c r="D567" i="20"/>
  <c r="E567" i="20" s="1"/>
  <c r="E563" i="20"/>
  <c r="E562" i="20"/>
  <c r="E561" i="20"/>
  <c r="B560" i="20"/>
  <c r="B559" i="20"/>
  <c r="B558" i="20"/>
  <c r="B557" i="20"/>
  <c r="B556" i="20"/>
  <c r="B555" i="20"/>
  <c r="B554" i="20"/>
  <c r="B553" i="20"/>
  <c r="B551" i="20"/>
  <c r="E551" i="20" s="1"/>
  <c r="E550" i="20"/>
  <c r="D546" i="20"/>
  <c r="E546" i="20" s="1"/>
  <c r="D545" i="20"/>
  <c r="E545" i="20" s="1"/>
  <c r="B540" i="20"/>
  <c r="E539" i="20"/>
  <c r="E538" i="20"/>
  <c r="E536" i="20"/>
  <c r="B529" i="20"/>
  <c r="E529" i="20" s="1"/>
  <c r="D528" i="20"/>
  <c r="E528" i="20" s="1"/>
  <c r="B506" i="20"/>
  <c r="E506" i="20" s="1"/>
  <c r="B505" i="20"/>
  <c r="E505" i="20" s="1"/>
  <c r="E494" i="20"/>
  <c r="E493" i="20"/>
  <c r="E492" i="20"/>
  <c r="E491" i="20"/>
  <c r="E490" i="20"/>
  <c r="E489" i="20"/>
  <c r="E488" i="20"/>
  <c r="E486" i="20"/>
  <c r="E485" i="20"/>
  <c r="E484" i="20"/>
  <c r="E483" i="20"/>
  <c r="E482" i="20"/>
  <c r="E481" i="20"/>
  <c r="E480" i="20"/>
  <c r="D479" i="20"/>
  <c r="E479" i="20" s="1"/>
  <c r="E478" i="20"/>
  <c r="E470" i="20"/>
  <c r="E469" i="20"/>
  <c r="E468" i="20"/>
  <c r="E464" i="20"/>
  <c r="E463" i="20"/>
  <c r="E462" i="20"/>
  <c r="E461" i="20"/>
  <c r="E460" i="20"/>
  <c r="E459" i="20"/>
  <c r="E458" i="20"/>
  <c r="E457" i="20"/>
  <c r="E456" i="20"/>
  <c r="E453" i="20"/>
  <c r="E452" i="20"/>
  <c r="E451" i="20"/>
  <c r="E422" i="20"/>
  <c r="E421" i="20"/>
  <c r="E420" i="20"/>
  <c r="E416" i="20"/>
  <c r="E415" i="20"/>
  <c r="E410" i="20"/>
  <c r="E409" i="20"/>
  <c r="E408" i="20"/>
  <c r="E399" i="20"/>
  <c r="D398" i="20"/>
  <c r="E398" i="20" s="1"/>
  <c r="E393" i="20"/>
  <c r="E392" i="20"/>
  <c r="E388" i="20"/>
  <c r="E387" i="20"/>
  <c r="E382" i="20"/>
  <c r="E381" i="20"/>
  <c r="E380" i="20"/>
  <c r="E374" i="20"/>
  <c r="E373" i="20"/>
  <c r="E372" i="20"/>
  <c r="E371" i="20"/>
  <c r="E365" i="20"/>
  <c r="E364" i="20"/>
  <c r="E363" i="20"/>
  <c r="E362" i="20"/>
  <c r="E357" i="20"/>
  <c r="E356" i="20"/>
  <c r="E355" i="20"/>
  <c r="E349" i="20"/>
  <c r="E348" i="20"/>
  <c r="E347" i="20"/>
  <c r="E341" i="20"/>
  <c r="E340" i="20"/>
  <c r="E339" i="20"/>
  <c r="E338" i="20"/>
  <c r="B333" i="20"/>
  <c r="B327" i="20"/>
  <c r="B326" i="20" s="1"/>
  <c r="D325" i="20"/>
  <c r="D332" i="20" s="1"/>
  <c r="E332" i="20" s="1"/>
  <c r="B318" i="20"/>
  <c r="E318" i="20" s="1"/>
  <c r="D312" i="20"/>
  <c r="D327" i="20" s="1"/>
  <c r="B312" i="20"/>
  <c r="B311" i="20" s="1"/>
  <c r="D311" i="20"/>
  <c r="D326" i="20" s="1"/>
  <c r="D333" i="20" s="1"/>
  <c r="D310" i="20"/>
  <c r="E310" i="20" s="1"/>
  <c r="B305" i="20"/>
  <c r="E305" i="20" s="1"/>
  <c r="D303" i="20"/>
  <c r="E303" i="20" s="1"/>
  <c r="B298" i="20"/>
  <c r="E298" i="20" s="1"/>
  <c r="D292" i="20"/>
  <c r="B292" i="20"/>
  <c r="B286" i="20"/>
  <c r="E286" i="20" s="1"/>
  <c r="D285" i="20"/>
  <c r="D297" i="20" s="1"/>
  <c r="D280" i="20"/>
  <c r="E280" i="20" s="1"/>
  <c r="B272" i="20"/>
  <c r="E272" i="20" s="1"/>
  <c r="D271" i="20"/>
  <c r="E271" i="20" s="1"/>
  <c r="B266" i="20"/>
  <c r="E266" i="20" s="1"/>
  <c r="D265" i="20"/>
  <c r="E265" i="20" s="1"/>
  <c r="B260" i="20"/>
  <c r="E260" i="20" s="1"/>
  <c r="D259" i="20"/>
  <c r="E259" i="20" s="1"/>
  <c r="B254" i="20"/>
  <c r="E254" i="20" s="1"/>
  <c r="B253" i="20"/>
  <c r="E253" i="20" s="1"/>
  <c r="D252" i="20"/>
  <c r="E252" i="20" s="1"/>
  <c r="B247" i="20"/>
  <c r="E247" i="20" s="1"/>
  <c r="B246" i="20"/>
  <c r="E246" i="20" s="1"/>
  <c r="D245" i="20"/>
  <c r="E245" i="20" s="1"/>
  <c r="B240" i="20"/>
  <c r="E240" i="20" s="1"/>
  <c r="D238" i="20"/>
  <c r="E238" i="20" s="1"/>
  <c r="B233" i="20"/>
  <c r="E233" i="20" s="1"/>
  <c r="D232" i="20"/>
  <c r="E232" i="20" s="1"/>
  <c r="D227" i="20"/>
  <c r="E227" i="20" s="1"/>
  <c r="B222" i="20"/>
  <c r="E222" i="20" s="1"/>
  <c r="D221" i="20"/>
  <c r="E221" i="20" s="1"/>
  <c r="B216" i="20"/>
  <c r="E216" i="20" s="1"/>
  <c r="D215" i="20"/>
  <c r="E215" i="20" s="1"/>
  <c r="E208" i="20"/>
  <c r="E207" i="20"/>
  <c r="D206" i="20"/>
  <c r="E206" i="20" s="1"/>
  <c r="E209" i="20" s="1"/>
  <c r="E202" i="20"/>
  <c r="E201" i="20"/>
  <c r="E184" i="20"/>
  <c r="D183" i="20"/>
  <c r="E183" i="20" s="1"/>
  <c r="D182" i="20"/>
  <c r="E182" i="20" s="1"/>
  <c r="D181" i="20"/>
  <c r="E181" i="20" s="1"/>
  <c r="D180" i="20"/>
  <c r="E180" i="20" s="1"/>
  <c r="D172" i="20"/>
  <c r="E172" i="20" s="1"/>
  <c r="D171" i="20"/>
  <c r="E171" i="20" s="1"/>
  <c r="D166" i="20"/>
  <c r="E166" i="20" s="1"/>
  <c r="D165" i="20"/>
  <c r="E165" i="20" s="1"/>
  <c r="D164" i="20"/>
  <c r="E164" i="20" s="1"/>
  <c r="D163" i="20"/>
  <c r="E163" i="20" s="1"/>
  <c r="D162" i="20"/>
  <c r="E162" i="20" s="1"/>
  <c r="E157" i="20"/>
  <c r="E156" i="20"/>
  <c r="E155" i="20"/>
  <c r="D154" i="20"/>
  <c r="E154" i="20" s="1"/>
  <c r="E149" i="20"/>
  <c r="E148" i="20"/>
  <c r="E150" i="20" s="1"/>
  <c r="D407" i="20" s="1"/>
  <c r="E407" i="20" s="1"/>
  <c r="E144" i="20"/>
  <c r="E143" i="20"/>
  <c r="E137" i="20"/>
  <c r="E136" i="20"/>
  <c r="E135" i="20"/>
  <c r="E132" i="20"/>
  <c r="E131" i="20"/>
  <c r="E130" i="20"/>
  <c r="E124" i="20"/>
  <c r="E122" i="20"/>
  <c r="E121" i="20"/>
  <c r="E112" i="20"/>
  <c r="D112" i="20"/>
  <c r="D110" i="20"/>
  <c r="E110" i="20" s="1"/>
  <c r="D111" i="20" s="1"/>
  <c r="E111" i="20" s="1"/>
  <c r="E109" i="20"/>
  <c r="E103" i="20"/>
  <c r="E102" i="20"/>
  <c r="E100" i="20"/>
  <c r="D101" i="20" s="1"/>
  <c r="E101" i="20" s="1"/>
  <c r="E94" i="20"/>
  <c r="C93" i="20"/>
  <c r="B91" i="20"/>
  <c r="E89" i="20"/>
  <c r="E87" i="20"/>
  <c r="D88" i="20" s="1"/>
  <c r="E88" i="20" s="1"/>
  <c r="E86" i="20"/>
  <c r="E81" i="20"/>
  <c r="E79" i="20"/>
  <c r="D80" i="20" s="1"/>
  <c r="E80" i="20" s="1"/>
  <c r="E78" i="20"/>
  <c r="D73" i="20"/>
  <c r="E73" i="20" s="1"/>
  <c r="D74" i="20" s="1"/>
  <c r="E74" i="20" s="1"/>
  <c r="E72" i="20"/>
  <c r="B68" i="20"/>
  <c r="E66" i="20"/>
  <c r="E65" i="20"/>
  <c r="E64" i="20"/>
  <c r="E63" i="20"/>
  <c r="E62" i="20"/>
  <c r="E61" i="20"/>
  <c r="E54" i="20"/>
  <c r="E46" i="20"/>
  <c r="E45" i="20"/>
  <c r="E44" i="20"/>
  <c r="E43" i="20"/>
  <c r="D47" i="20" s="1"/>
  <c r="E47" i="20" s="1"/>
  <c r="E42" i="20"/>
  <c r="E41" i="20"/>
  <c r="E40" i="20"/>
  <c r="E30" i="20"/>
  <c r="E20" i="20"/>
  <c r="E19" i="20"/>
  <c r="E15" i="20"/>
  <c r="E14" i="20"/>
  <c r="E13" i="20"/>
  <c r="E12" i="20"/>
  <c r="E11" i="20"/>
  <c r="E10" i="20"/>
  <c r="B6" i="20"/>
  <c r="E601" i="19"/>
  <c r="E596" i="19"/>
  <c r="C596" i="19"/>
  <c r="C603" i="19" s="1"/>
  <c r="F603" i="19" s="1"/>
  <c r="E595" i="19"/>
  <c r="C595" i="19"/>
  <c r="C602" i="19" s="1"/>
  <c r="F602" i="19" s="1"/>
  <c r="C594" i="19"/>
  <c r="C601" i="19" s="1"/>
  <c r="E593" i="19"/>
  <c r="C593" i="19"/>
  <c r="C600" i="19" s="1"/>
  <c r="F600" i="19" s="1"/>
  <c r="C587" i="19"/>
  <c r="F587" i="19" s="1"/>
  <c r="F581" i="19"/>
  <c r="F580" i="19"/>
  <c r="F579" i="19"/>
  <c r="E574" i="19"/>
  <c r="F574" i="19" s="1"/>
  <c r="C562" i="19"/>
  <c r="F562" i="19" s="1"/>
  <c r="F561" i="19"/>
  <c r="F555" i="19"/>
  <c r="F554" i="19"/>
  <c r="F553" i="19"/>
  <c r="F552" i="19"/>
  <c r="C548" i="19"/>
  <c r="F536" i="19"/>
  <c r="F535" i="19"/>
  <c r="E533" i="19"/>
  <c r="F533" i="19" s="1"/>
  <c r="E531" i="19"/>
  <c r="F531" i="19" s="1"/>
  <c r="F529" i="19"/>
  <c r="F530" i="19" s="1"/>
  <c r="F528" i="19"/>
  <c r="F521" i="19"/>
  <c r="F520" i="19"/>
  <c r="E586" i="19" s="1"/>
  <c r="F586" i="19" s="1"/>
  <c r="C516" i="19"/>
  <c r="F505" i="19"/>
  <c r="F504" i="19"/>
  <c r="C500" i="19"/>
  <c r="F488" i="19"/>
  <c r="F487" i="19"/>
  <c r="C483" i="19"/>
  <c r="F475" i="19"/>
  <c r="E473" i="19"/>
  <c r="F473" i="19" s="1"/>
  <c r="F469" i="19"/>
  <c r="F468" i="19"/>
  <c r="F466" i="19"/>
  <c r="C445" i="19"/>
  <c r="F445" i="19" s="1"/>
  <c r="C435" i="19"/>
  <c r="F435" i="19" s="1"/>
  <c r="E426" i="19"/>
  <c r="E459" i="19" s="1"/>
  <c r="F459" i="19" s="1"/>
  <c r="E425" i="19"/>
  <c r="F425" i="19" s="1"/>
  <c r="F424" i="19"/>
  <c r="F423" i="19"/>
  <c r="F422" i="19"/>
  <c r="F421" i="19"/>
  <c r="F420" i="19"/>
  <c r="F419" i="19"/>
  <c r="F418" i="19"/>
  <c r="F417" i="19"/>
  <c r="E416" i="19"/>
  <c r="F416" i="19" s="1"/>
  <c r="E415" i="19"/>
  <c r="F415" i="19" s="1"/>
  <c r="E414" i="19"/>
  <c r="F414" i="19" s="1"/>
  <c r="E413" i="19"/>
  <c r="F413" i="19" s="1"/>
  <c r="E412" i="19"/>
  <c r="F412" i="19" s="1"/>
  <c r="E411" i="19"/>
  <c r="F411" i="19" s="1"/>
  <c r="F403" i="19"/>
  <c r="F402" i="19"/>
  <c r="F401" i="19"/>
  <c r="F400" i="19"/>
  <c r="F399" i="19"/>
  <c r="F397" i="19"/>
  <c r="G396" i="19"/>
  <c r="H396" i="19" s="1"/>
  <c r="F396" i="19"/>
  <c r="F395" i="19"/>
  <c r="F394" i="19"/>
  <c r="G393" i="19"/>
  <c r="F393" i="19"/>
  <c r="G392" i="19"/>
  <c r="F392" i="19"/>
  <c r="E391" i="19"/>
  <c r="F391" i="19" s="1"/>
  <c r="E390" i="19"/>
  <c r="F390" i="19" s="1"/>
  <c r="F389" i="19"/>
  <c r="F386" i="19"/>
  <c r="F385" i="19"/>
  <c r="F384" i="19"/>
  <c r="F383" i="19"/>
  <c r="C353" i="19"/>
  <c r="F353" i="19" s="1"/>
  <c r="E342" i="19"/>
  <c r="C342" i="19"/>
  <c r="C334" i="19"/>
  <c r="F334" i="19" s="1"/>
  <c r="C327" i="19"/>
  <c r="C328" i="19" s="1"/>
  <c r="F328" i="19" s="1"/>
  <c r="C318" i="19"/>
  <c r="F318" i="19" s="1"/>
  <c r="C312" i="19"/>
  <c r="F312" i="19" s="1"/>
  <c r="C305" i="19"/>
  <c r="F305" i="19" s="1"/>
  <c r="C298" i="19"/>
  <c r="C299" i="19" s="1"/>
  <c r="F299" i="19" s="1"/>
  <c r="C292" i="19"/>
  <c r="F292" i="19" s="1"/>
  <c r="C268" i="19"/>
  <c r="F268" i="19" s="1"/>
  <c r="M264" i="19"/>
  <c r="E262" i="19"/>
  <c r="C261" i="19"/>
  <c r="F261" i="19" s="1"/>
  <c r="C254" i="19"/>
  <c r="F254" i="19" s="1"/>
  <c r="L249" i="19"/>
  <c r="M249" i="19" s="1"/>
  <c r="C248" i="19"/>
  <c r="F248" i="19" s="1"/>
  <c r="F229" i="19"/>
  <c r="F228" i="19"/>
  <c r="G222" i="19"/>
  <c r="F222" i="19"/>
  <c r="E221" i="19"/>
  <c r="F221" i="19" s="1"/>
  <c r="F216" i="19"/>
  <c r="F215" i="19"/>
  <c r="F214" i="19"/>
  <c r="F204" i="19"/>
  <c r="F203" i="19"/>
  <c r="F196" i="19"/>
  <c r="F195" i="19"/>
  <c r="D189" i="19"/>
  <c r="F188" i="19"/>
  <c r="F187" i="19"/>
  <c r="F185" i="19"/>
  <c r="F181" i="19"/>
  <c r="F179" i="19"/>
  <c r="F178" i="19"/>
  <c r="F174" i="19"/>
  <c r="F173" i="19"/>
  <c r="F172" i="19"/>
  <c r="F168" i="19"/>
  <c r="F167" i="19"/>
  <c r="F162" i="19"/>
  <c r="F161" i="19"/>
  <c r="F160" i="19"/>
  <c r="F156" i="19"/>
  <c r="F155" i="19"/>
  <c r="F150" i="19"/>
  <c r="F141" i="19"/>
  <c r="E140" i="19"/>
  <c r="F140" i="19" s="1"/>
  <c r="F136" i="19"/>
  <c r="F135" i="19"/>
  <c r="F134" i="19"/>
  <c r="F130" i="19"/>
  <c r="F129" i="19"/>
  <c r="F125" i="19"/>
  <c r="F124" i="19"/>
  <c r="F119" i="19"/>
  <c r="F118" i="19"/>
  <c r="F117" i="19"/>
  <c r="F111" i="19"/>
  <c r="F110" i="19"/>
  <c r="F109" i="19"/>
  <c r="F108" i="19"/>
  <c r="F102" i="19"/>
  <c r="F100" i="19"/>
  <c r="F99" i="19"/>
  <c r="F94" i="19"/>
  <c r="F93" i="19"/>
  <c r="F92" i="19"/>
  <c r="F86" i="19"/>
  <c r="F78" i="19"/>
  <c r="F70" i="19"/>
  <c r="F64" i="19"/>
  <c r="F55" i="19"/>
  <c r="F46" i="19"/>
  <c r="F37" i="19"/>
  <c r="F28" i="19"/>
  <c r="F20" i="19"/>
  <c r="F15" i="19"/>
  <c r="F11" i="19"/>
  <c r="F10" i="19"/>
  <c r="F9" i="19"/>
  <c r="F8" i="19"/>
  <c r="E69" i="19" s="1"/>
  <c r="F69" i="19" s="1"/>
  <c r="F7" i="19"/>
  <c r="E19" i="19" s="1"/>
  <c r="F19" i="19" s="1"/>
  <c r="F6" i="19"/>
  <c r="E14" i="19" s="1"/>
  <c r="F14" i="19" s="1"/>
  <c r="F5" i="19"/>
  <c r="E77" i="19" s="1"/>
  <c r="F77" i="19" s="1"/>
  <c r="F4" i="19"/>
  <c r="E198" i="19" s="1"/>
  <c r="F198" i="19" s="1"/>
  <c r="F3" i="19"/>
  <c r="E148" i="19" s="1"/>
  <c r="F148" i="19" s="1"/>
  <c r="C1407" i="18"/>
  <c r="F1407" i="18" s="1"/>
  <c r="C1406" i="18"/>
  <c r="F1406" i="18" s="1"/>
  <c r="F1405" i="18"/>
  <c r="F1400" i="18"/>
  <c r="C1399" i="18"/>
  <c r="F1399" i="18" s="1"/>
  <c r="F1398" i="18"/>
  <c r="C1393" i="18"/>
  <c r="F1393" i="18" s="1"/>
  <c r="C1387" i="18"/>
  <c r="F1387" i="18" s="1"/>
  <c r="C1367" i="18"/>
  <c r="F1367" i="18" s="1"/>
  <c r="C1361" i="18"/>
  <c r="F1361" i="18" s="1"/>
  <c r="F1351" i="18"/>
  <c r="F1350" i="18"/>
  <c r="F1349" i="18"/>
  <c r="F1348" i="18"/>
  <c r="F1347" i="18"/>
  <c r="F1346" i="18"/>
  <c r="F1345" i="18"/>
  <c r="F1344" i="18"/>
  <c r="F1338" i="18"/>
  <c r="C1332" i="18"/>
  <c r="F1332" i="18" s="1"/>
  <c r="F1331" i="18"/>
  <c r="E1330" i="18"/>
  <c r="F1330" i="18" s="1"/>
  <c r="C1327" i="18"/>
  <c r="C1321" i="18"/>
  <c r="F1319" i="18"/>
  <c r="E1312" i="18"/>
  <c r="F1312" i="18" s="1"/>
  <c r="F1311" i="18"/>
  <c r="C1309" i="18"/>
  <c r="C1307" i="18"/>
  <c r="F1307" i="18" s="1"/>
  <c r="F1294" i="18"/>
  <c r="F1289" i="18"/>
  <c r="D1289" i="18"/>
  <c r="D1296" i="18" s="1"/>
  <c r="G1296" i="18" s="1"/>
  <c r="F1288" i="18"/>
  <c r="D1288" i="18"/>
  <c r="D1295" i="18" s="1"/>
  <c r="G1295" i="18" s="1"/>
  <c r="D1287" i="18"/>
  <c r="D1294" i="18" s="1"/>
  <c r="F1286" i="18"/>
  <c r="F1287" i="18" s="1"/>
  <c r="D1286" i="18"/>
  <c r="D1293" i="18" s="1"/>
  <c r="G1293" i="18" s="1"/>
  <c r="D1280" i="18"/>
  <c r="G1280" i="18" s="1"/>
  <c r="G1274" i="18"/>
  <c r="G1273" i="18"/>
  <c r="G1272" i="18"/>
  <c r="F1267" i="18"/>
  <c r="G1267" i="18" s="1"/>
  <c r="F1255" i="18"/>
  <c r="F1256" i="18" s="1"/>
  <c r="F1249" i="18"/>
  <c r="F1248" i="18"/>
  <c r="F1247" i="18"/>
  <c r="F1246" i="18"/>
  <c r="C1242" i="18"/>
  <c r="E1241" i="18"/>
  <c r="F1241" i="18" s="1"/>
  <c r="F1243" i="18" s="1"/>
  <c r="F1244" i="18" s="1"/>
  <c r="F1230" i="18"/>
  <c r="F1229" i="18"/>
  <c r="F1228" i="18"/>
  <c r="F1227" i="18"/>
  <c r="F1226" i="18"/>
  <c r="F1225" i="18"/>
  <c r="F1223" i="18"/>
  <c r="F1224" i="18" s="1"/>
  <c r="F1222" i="18"/>
  <c r="F1215" i="18"/>
  <c r="F1214" i="18"/>
  <c r="F1279" i="18" s="1"/>
  <c r="G1279" i="18" s="1"/>
  <c r="C1210" i="18"/>
  <c r="F1199" i="18"/>
  <c r="F1198" i="18"/>
  <c r="E1194" i="18"/>
  <c r="C1194" i="18"/>
  <c r="E1193" i="18"/>
  <c r="F1193" i="18" s="1"/>
  <c r="F1186" i="18"/>
  <c r="F1185" i="18"/>
  <c r="E1184" i="18"/>
  <c r="F1184" i="18" s="1"/>
  <c r="E1182" i="18"/>
  <c r="F1182" i="18" s="1"/>
  <c r="J1177" i="18"/>
  <c r="J1178" i="18" s="1"/>
  <c r="C1176" i="18"/>
  <c r="F1176" i="18" s="1"/>
  <c r="H1175" i="18"/>
  <c r="C1174" i="18"/>
  <c r="F1170" i="18"/>
  <c r="F1169" i="18"/>
  <c r="F1168" i="18"/>
  <c r="F1167" i="18"/>
  <c r="F1163" i="18"/>
  <c r="C1159" i="18"/>
  <c r="F1158" i="18"/>
  <c r="F1157" i="18"/>
  <c r="H1148" i="18"/>
  <c r="C1147" i="18"/>
  <c r="C1148" i="18" s="1"/>
  <c r="F1148" i="18" s="1"/>
  <c r="F1137" i="18"/>
  <c r="F1136" i="18"/>
  <c r="F1135" i="18"/>
  <c r="F1131" i="18"/>
  <c r="F1130" i="18"/>
  <c r="F1121" i="18"/>
  <c r="F1120" i="18"/>
  <c r="F1119" i="18"/>
  <c r="F1115" i="18"/>
  <c r="E1114" i="18"/>
  <c r="F1114" i="18" s="1"/>
  <c r="F1113" i="18"/>
  <c r="I1107" i="18"/>
  <c r="F1105" i="18"/>
  <c r="F1104" i="18"/>
  <c r="F1103" i="18"/>
  <c r="F1099" i="18"/>
  <c r="F1098" i="18"/>
  <c r="I1093" i="18"/>
  <c r="F1091" i="18"/>
  <c r="F1090" i="18"/>
  <c r="F1089" i="18"/>
  <c r="F1085" i="18"/>
  <c r="F1084" i="18"/>
  <c r="F1079" i="18"/>
  <c r="C1066" i="18"/>
  <c r="F1066" i="18" s="1"/>
  <c r="C1055" i="18"/>
  <c r="F1055" i="18" s="1"/>
  <c r="C1049" i="18"/>
  <c r="F1049" i="18" s="1"/>
  <c r="C1043" i="18"/>
  <c r="F1043" i="18" s="1"/>
  <c r="F1030" i="18"/>
  <c r="F1029" i="18"/>
  <c r="F1028" i="18"/>
  <c r="E1025" i="18"/>
  <c r="E1024" i="18"/>
  <c r="F1024" i="18" s="1"/>
  <c r="F1020" i="18"/>
  <c r="F1019" i="18"/>
  <c r="F1018" i="18"/>
  <c r="F1017" i="18"/>
  <c r="E1015" i="18"/>
  <c r="F1015" i="18" s="1"/>
  <c r="E1014" i="18"/>
  <c r="F1014" i="18" s="1"/>
  <c r="E1012" i="18"/>
  <c r="F1012" i="18" s="1"/>
  <c r="F1008" i="18"/>
  <c r="F1007" i="18"/>
  <c r="F1006" i="18"/>
  <c r="E1005" i="18"/>
  <c r="F1005" i="18" s="1"/>
  <c r="E1004" i="18"/>
  <c r="F1004" i="18" s="1"/>
  <c r="E1003" i="18"/>
  <c r="F1003" i="18" s="1"/>
  <c r="E1002" i="18"/>
  <c r="F1002" i="18" s="1"/>
  <c r="F998" i="18"/>
  <c r="F997" i="18"/>
  <c r="E996" i="18"/>
  <c r="F996" i="18" s="1"/>
  <c r="F992" i="18"/>
  <c r="F991" i="18"/>
  <c r="F990" i="18"/>
  <c r="F989" i="18"/>
  <c r="F988" i="18"/>
  <c r="F987" i="18"/>
  <c r="F986" i="18"/>
  <c r="F985" i="18"/>
  <c r="F984" i="18"/>
  <c r="F983" i="18"/>
  <c r="F982" i="18"/>
  <c r="F981" i="18"/>
  <c r="F980" i="18"/>
  <c r="F976" i="18"/>
  <c r="F975" i="18"/>
  <c r="F974" i="18"/>
  <c r="F973" i="18"/>
  <c r="F969" i="18"/>
  <c r="F968" i="18"/>
  <c r="F967" i="18"/>
  <c r="F966" i="18"/>
  <c r="F965" i="18"/>
  <c r="F964" i="18"/>
  <c r="F963" i="18"/>
  <c r="F962" i="18"/>
  <c r="F961" i="18"/>
  <c r="F960" i="18"/>
  <c r="F959" i="18"/>
  <c r="F955" i="18"/>
  <c r="F954" i="18"/>
  <c r="F953" i="18"/>
  <c r="F952" i="18"/>
  <c r="F951" i="18"/>
  <c r="F947" i="18"/>
  <c r="F946" i="18"/>
  <c r="F945" i="18"/>
  <c r="F944" i="18"/>
  <c r="F943" i="18"/>
  <c r="F942" i="18"/>
  <c r="F941" i="18"/>
  <c r="F940" i="18"/>
  <c r="F939" i="18"/>
  <c r="F938" i="18"/>
  <c r="F937" i="18"/>
  <c r="C931" i="18"/>
  <c r="F931" i="18" s="1"/>
  <c r="F930" i="18"/>
  <c r="F929" i="18"/>
  <c r="F928" i="18"/>
  <c r="E923" i="18"/>
  <c r="F923" i="18" s="1"/>
  <c r="F920" i="18"/>
  <c r="E917" i="18"/>
  <c r="F917" i="18" s="1"/>
  <c r="F916" i="18"/>
  <c r="E915" i="18"/>
  <c r="F915" i="18" s="1"/>
  <c r="F910" i="18"/>
  <c r="F907" i="18"/>
  <c r="F898" i="18"/>
  <c r="F895" i="18"/>
  <c r="E894" i="18"/>
  <c r="E906" i="18" s="1"/>
  <c r="E887" i="18"/>
  <c r="E886" i="18"/>
  <c r="F886" i="18" s="1"/>
  <c r="E885" i="18"/>
  <c r="E897" i="18" s="1"/>
  <c r="E884" i="18"/>
  <c r="E896" i="18" s="1"/>
  <c r="F883" i="18"/>
  <c r="F882" i="18"/>
  <c r="E880" i="18"/>
  <c r="E892" i="18" s="1"/>
  <c r="F874" i="18"/>
  <c r="F873" i="18"/>
  <c r="I872" i="18"/>
  <c r="F872" i="18"/>
  <c r="F871" i="18"/>
  <c r="E870" i="18"/>
  <c r="E881" i="18" s="1"/>
  <c r="F869" i="18"/>
  <c r="E868" i="18"/>
  <c r="E891" i="18" s="1"/>
  <c r="F863" i="18"/>
  <c r="C857" i="18"/>
  <c r="F857" i="18" s="1"/>
  <c r="F851" i="18"/>
  <c r="C845" i="18"/>
  <c r="F845" i="18" s="1"/>
  <c r="D830" i="18"/>
  <c r="F829" i="18"/>
  <c r="F828" i="18"/>
  <c r="F826" i="18"/>
  <c r="F821" i="18"/>
  <c r="F819" i="18"/>
  <c r="F818" i="18"/>
  <c r="C814" i="18"/>
  <c r="F814" i="18" s="1"/>
  <c r="C808" i="18"/>
  <c r="F808" i="18" s="1"/>
  <c r="E1149" i="18" s="1"/>
  <c r="C802" i="18"/>
  <c r="F802" i="18" s="1"/>
  <c r="F784" i="18"/>
  <c r="E782" i="18"/>
  <c r="F782" i="18" s="1"/>
  <c r="F778" i="18"/>
  <c r="F777" i="18"/>
  <c r="F775" i="18"/>
  <c r="C754" i="18"/>
  <c r="F754" i="18" s="1"/>
  <c r="C744" i="18"/>
  <c r="F744" i="18" s="1"/>
  <c r="E742" i="18"/>
  <c r="E752" i="18" s="1"/>
  <c r="E735" i="18"/>
  <c r="E768" i="18" s="1"/>
  <c r="F768" i="18" s="1"/>
  <c r="E734" i="18"/>
  <c r="F734" i="18" s="1"/>
  <c r="F733" i="18"/>
  <c r="F732" i="18"/>
  <c r="F731" i="18"/>
  <c r="F730" i="18"/>
  <c r="F729" i="18"/>
  <c r="F728" i="18"/>
  <c r="F727" i="18"/>
  <c r="F726" i="18"/>
  <c r="E725" i="18"/>
  <c r="F725" i="18" s="1"/>
  <c r="E724" i="18"/>
  <c r="F724" i="18" s="1"/>
  <c r="E723" i="18"/>
  <c r="F723" i="18" s="1"/>
  <c r="E722" i="18"/>
  <c r="F722" i="18" s="1"/>
  <c r="E721" i="18"/>
  <c r="F721" i="18" s="1"/>
  <c r="E720" i="18"/>
  <c r="F720" i="18" s="1"/>
  <c r="F712" i="18"/>
  <c r="F711" i="18"/>
  <c r="F710" i="18"/>
  <c r="F709" i="18"/>
  <c r="F708" i="18"/>
  <c r="F706" i="18"/>
  <c r="G705" i="18"/>
  <c r="H705" i="18" s="1"/>
  <c r="F705" i="18"/>
  <c r="F704" i="18"/>
  <c r="F703" i="18"/>
  <c r="G702" i="18"/>
  <c r="F702" i="18"/>
  <c r="G701" i="18"/>
  <c r="F701" i="18"/>
  <c r="E700" i="18"/>
  <c r="E719" i="18" s="1"/>
  <c r="F719" i="18" s="1"/>
  <c r="E699" i="18"/>
  <c r="E718" i="18" s="1"/>
  <c r="F718" i="18" s="1"/>
  <c r="F698" i="18"/>
  <c r="F695" i="18"/>
  <c r="F694" i="18"/>
  <c r="F693" i="18"/>
  <c r="F692" i="18"/>
  <c r="F688" i="18"/>
  <c r="C682" i="18"/>
  <c r="C683" i="18" s="1"/>
  <c r="F683" i="18" s="1"/>
  <c r="C676" i="18"/>
  <c r="F676" i="18" s="1"/>
  <c r="C670" i="18"/>
  <c r="F670" i="18" s="1"/>
  <c r="C663" i="18"/>
  <c r="C664" i="18" s="1"/>
  <c r="F664" i="18" s="1"/>
  <c r="C656" i="18"/>
  <c r="C657" i="18" s="1"/>
  <c r="F657" i="18" s="1"/>
  <c r="C636" i="18"/>
  <c r="F636" i="18" s="1"/>
  <c r="C629" i="18"/>
  <c r="C630" i="18" s="1"/>
  <c r="F630" i="18" s="1"/>
  <c r="C622" i="18"/>
  <c r="C623" i="18" s="1"/>
  <c r="F623" i="18" s="1"/>
  <c r="F603" i="18"/>
  <c r="F602" i="18"/>
  <c r="G596" i="18"/>
  <c r="F596" i="18"/>
  <c r="E595" i="18"/>
  <c r="F595" i="18" s="1"/>
  <c r="F590" i="18"/>
  <c r="F589" i="18"/>
  <c r="F588" i="18"/>
  <c r="F584" i="18"/>
  <c r="F583" i="18"/>
  <c r="F576" i="18"/>
  <c r="F575" i="18"/>
  <c r="D573" i="18"/>
  <c r="F569" i="18"/>
  <c r="F567" i="18"/>
  <c r="F566" i="18"/>
  <c r="F562" i="18"/>
  <c r="F561" i="18"/>
  <c r="F560" i="18"/>
  <c r="F556" i="18"/>
  <c r="F555" i="18"/>
  <c r="F550" i="18"/>
  <c r="F549" i="18"/>
  <c r="F548" i="18"/>
  <c r="F544" i="18"/>
  <c r="F543" i="18"/>
  <c r="F538" i="18"/>
  <c r="F529" i="18"/>
  <c r="E528" i="18"/>
  <c r="F528" i="18" s="1"/>
  <c r="F523" i="18"/>
  <c r="F522" i="18"/>
  <c r="C518" i="18"/>
  <c r="F518" i="18" s="1"/>
  <c r="C512" i="18"/>
  <c r="F512" i="18" s="1"/>
  <c r="C505" i="18"/>
  <c r="F505" i="18" s="1"/>
  <c r="C499" i="18"/>
  <c r="F499" i="18" s="1"/>
  <c r="E352" i="1" s="1"/>
  <c r="F352" i="1" s="1"/>
  <c r="C480" i="18"/>
  <c r="F480" i="18" s="1"/>
  <c r="C460" i="18"/>
  <c r="F460" i="18" s="1"/>
  <c r="C425" i="18"/>
  <c r="F425" i="18" s="1"/>
  <c r="C412" i="18"/>
  <c r="F412" i="18" s="1"/>
  <c r="C406" i="18"/>
  <c r="F406" i="18" s="1"/>
  <c r="C400" i="18"/>
  <c r="F400" i="18" s="1"/>
  <c r="C373" i="18"/>
  <c r="F373" i="18" s="1"/>
  <c r="C355" i="18"/>
  <c r="F355" i="18" s="1"/>
  <c r="C349" i="18"/>
  <c r="F349" i="18" s="1"/>
  <c r="C322" i="18"/>
  <c r="F322" i="18" s="1"/>
  <c r="C316" i="18"/>
  <c r="F316" i="18" s="1"/>
  <c r="F302" i="18"/>
  <c r="F303" i="18" s="1"/>
  <c r="C298" i="18"/>
  <c r="F298" i="18" s="1"/>
  <c r="E291" i="18"/>
  <c r="E296" i="18" s="1"/>
  <c r="C287" i="18"/>
  <c r="F287" i="18" s="1"/>
  <c r="D280" i="18"/>
  <c r="F279" i="18"/>
  <c r="F278" i="18"/>
  <c r="F276" i="18"/>
  <c r="F266" i="18"/>
  <c r="F265" i="18"/>
  <c r="F260" i="18"/>
  <c r="F259" i="18"/>
  <c r="F258" i="18"/>
  <c r="F252" i="18"/>
  <c r="F250" i="18"/>
  <c r="F249" i="18"/>
  <c r="F244" i="18"/>
  <c r="F243" i="18"/>
  <c r="F242" i="18"/>
  <c r="F236" i="18"/>
  <c r="E77" i="1" s="1"/>
  <c r="F77" i="1" s="1"/>
  <c r="F235" i="18"/>
  <c r="E76" i="1" s="1"/>
  <c r="F76" i="1" s="1"/>
  <c r="F234" i="18"/>
  <c r="F233" i="18"/>
  <c r="E228" i="18"/>
  <c r="C228" i="18"/>
  <c r="C222" i="18"/>
  <c r="F222" i="18" s="1"/>
  <c r="C216" i="18"/>
  <c r="F216" i="18" s="1"/>
  <c r="C210" i="18"/>
  <c r="F210" i="18" s="1"/>
  <c r="C162" i="18"/>
  <c r="F162" i="18" s="1"/>
  <c r="C156" i="18"/>
  <c r="F156" i="18" s="1"/>
  <c r="C150" i="18"/>
  <c r="F150" i="18" s="1"/>
  <c r="C144" i="18"/>
  <c r="F144" i="18" s="1"/>
  <c r="C138" i="18"/>
  <c r="F138" i="18" s="1"/>
  <c r="C132" i="18"/>
  <c r="F132" i="18" s="1"/>
  <c r="C126" i="18"/>
  <c r="F126" i="18" s="1"/>
  <c r="C120" i="18"/>
  <c r="F120" i="18" s="1"/>
  <c r="C114" i="18"/>
  <c r="F114" i="18" s="1"/>
  <c r="C108" i="18"/>
  <c r="F108" i="18" s="1"/>
  <c r="C102" i="18"/>
  <c r="F102" i="18" s="1"/>
  <c r="C95" i="18"/>
  <c r="F95" i="18" s="1"/>
  <c r="E89" i="18"/>
  <c r="C89" i="18"/>
  <c r="F82" i="18"/>
  <c r="F74" i="18"/>
  <c r="F66" i="18"/>
  <c r="F61" i="18"/>
  <c r="F60" i="18"/>
  <c r="F59" i="18"/>
  <c r="F54" i="18"/>
  <c r="F46" i="18"/>
  <c r="F47" i="18" s="1"/>
  <c r="F41" i="18"/>
  <c r="F32" i="18"/>
  <c r="F24" i="18"/>
  <c r="F25" i="18" s="1"/>
  <c r="E184" i="18" s="1"/>
  <c r="F184" i="18" s="1"/>
  <c r="F20" i="18"/>
  <c r="F15" i="18"/>
  <c r="F11" i="18"/>
  <c r="F10" i="18"/>
  <c r="F9" i="18"/>
  <c r="F8" i="18"/>
  <c r="E65" i="18" s="1"/>
  <c r="F65" i="18" s="1"/>
  <c r="F7" i="18"/>
  <c r="E19" i="18" s="1"/>
  <c r="F19" i="18" s="1"/>
  <c r="F6" i="18"/>
  <c r="E14" i="18" s="1"/>
  <c r="F14" i="18" s="1"/>
  <c r="F5" i="18"/>
  <c r="E73" i="18" s="1"/>
  <c r="F73" i="18" s="1"/>
  <c r="F4" i="18"/>
  <c r="F3" i="18"/>
  <c r="E80" i="18" s="1"/>
  <c r="F80" i="18" s="1"/>
  <c r="H223" i="7"/>
  <c r="H222" i="7"/>
  <c r="H221" i="7"/>
  <c r="H220" i="7"/>
  <c r="H219" i="7"/>
  <c r="H218" i="7"/>
  <c r="H217" i="7"/>
  <c r="H216" i="7"/>
  <c r="H215" i="7"/>
  <c r="H214" i="7"/>
  <c r="G213" i="7"/>
  <c r="H213" i="7" s="1"/>
  <c r="H209" i="7"/>
  <c r="D206" i="7"/>
  <c r="H206" i="7" s="1"/>
  <c r="H201" i="7"/>
  <c r="E140" i="7"/>
  <c r="E139" i="7"/>
  <c r="E138" i="7"/>
  <c r="E137" i="7"/>
  <c r="E136" i="7"/>
  <c r="E135" i="7"/>
  <c r="E134" i="7"/>
  <c r="E133" i="7"/>
  <c r="E132" i="7"/>
  <c r="I117" i="7"/>
  <c r="I116" i="7"/>
  <c r="D87" i="7"/>
  <c r="H87" i="7" s="1"/>
  <c r="D86" i="7"/>
  <c r="H86" i="7" s="1"/>
  <c r="F85" i="7"/>
  <c r="D85" i="7"/>
  <c r="D84" i="7"/>
  <c r="H84" i="7" s="1"/>
  <c r="F83" i="7"/>
  <c r="D83" i="7"/>
  <c r="F82" i="7"/>
  <c r="D82" i="7"/>
  <c r="F40" i="7"/>
  <c r="H40" i="7" s="1"/>
  <c r="F33" i="7"/>
  <c r="H33" i="7" s="1"/>
  <c r="D29" i="7"/>
  <c r="H29" i="7" s="1"/>
  <c r="F28" i="7"/>
  <c r="D28" i="7"/>
  <c r="H27" i="7"/>
  <c r="H22" i="7"/>
  <c r="D21" i="7"/>
  <c r="H21" i="7" s="1"/>
  <c r="D20" i="7"/>
  <c r="H20" i="7" s="1"/>
  <c r="H19" i="7"/>
  <c r="D18" i="7"/>
  <c r="H18" i="7" s="1"/>
  <c r="H17" i="7"/>
  <c r="H16" i="7"/>
  <c r="H15" i="7"/>
  <c r="H11" i="7"/>
  <c r="D10" i="7"/>
  <c r="H10" i="7" s="1"/>
  <c r="D9" i="7"/>
  <c r="H9" i="7" s="1"/>
  <c r="H8" i="7"/>
  <c r="D7" i="7"/>
  <c r="H6" i="7"/>
  <c r="H5" i="7"/>
  <c r="H4" i="7"/>
  <c r="F1089" i="2"/>
  <c r="F1088" i="2"/>
  <c r="F1084" i="2"/>
  <c r="F1082" i="2"/>
  <c r="F1080" i="2"/>
  <c r="F1079" i="2"/>
  <c r="F1077" i="2"/>
  <c r="F1076" i="2"/>
  <c r="F1075" i="2"/>
  <c r="F1074" i="2"/>
  <c r="F1073" i="2"/>
  <c r="F1072" i="2"/>
  <c r="F1070" i="2"/>
  <c r="F1069" i="2"/>
  <c r="F1068" i="2"/>
  <c r="F1067" i="2"/>
  <c r="F1066" i="2"/>
  <c r="F1065" i="2"/>
  <c r="F1063" i="2"/>
  <c r="F1062" i="2"/>
  <c r="F1061" i="2"/>
  <c r="F1060" i="2"/>
  <c r="F1059" i="2"/>
  <c r="F1058" i="2"/>
  <c r="F1057" i="2"/>
  <c r="F1056" i="2"/>
  <c r="F1055" i="2"/>
  <c r="F1054" i="2"/>
  <c r="F1053" i="2"/>
  <c r="F1052" i="2"/>
  <c r="F1050" i="2"/>
  <c r="F1049" i="2"/>
  <c r="F1048" i="2"/>
  <c r="F1046" i="2"/>
  <c r="F1041" i="2"/>
  <c r="F1039" i="2"/>
  <c r="F1037" i="2"/>
  <c r="F1036" i="2"/>
  <c r="F1035" i="2"/>
  <c r="F1034" i="2"/>
  <c r="F1032" i="2"/>
  <c r="F1031" i="2"/>
  <c r="F1030" i="2"/>
  <c r="F1029" i="2"/>
  <c r="F1028" i="2"/>
  <c r="F1027" i="2"/>
  <c r="F1026" i="2"/>
  <c r="F1025" i="2"/>
  <c r="F1024" i="2"/>
  <c r="F1023" i="2"/>
  <c r="F1022" i="2"/>
  <c r="F1021" i="2"/>
  <c r="F1020" i="2"/>
  <c r="F1019" i="2"/>
  <c r="F1016" i="2"/>
  <c r="F1015" i="2"/>
  <c r="F1014" i="2"/>
  <c r="F1013" i="2"/>
  <c r="F1012" i="2"/>
  <c r="F1011" i="2"/>
  <c r="F1010" i="2"/>
  <c r="F1009" i="2"/>
  <c r="F1008" i="2"/>
  <c r="F1007" i="2"/>
  <c r="F1006" i="2"/>
  <c r="F1005" i="2"/>
  <c r="F1004" i="2"/>
  <c r="F1003" i="2"/>
  <c r="F998" i="2"/>
  <c r="F997" i="2"/>
  <c r="F996" i="2"/>
  <c r="F995" i="2"/>
  <c r="F994" i="2"/>
  <c r="F993" i="2"/>
  <c r="F992" i="2"/>
  <c r="F991" i="2"/>
  <c r="F990" i="2"/>
  <c r="F989" i="2"/>
  <c r="F988" i="2"/>
  <c r="F987" i="2"/>
  <c r="F986" i="2"/>
  <c r="F985" i="2"/>
  <c r="F982" i="2"/>
  <c r="F981" i="2"/>
  <c r="F980" i="2"/>
  <c r="F979" i="2"/>
  <c r="F978" i="2"/>
  <c r="F977" i="2"/>
  <c r="F976" i="2"/>
  <c r="F975" i="2"/>
  <c r="F974" i="2"/>
  <c r="F973" i="2"/>
  <c r="F972" i="2"/>
  <c r="F971" i="2"/>
  <c r="F970" i="2"/>
  <c r="F969" i="2"/>
  <c r="F962" i="2"/>
  <c r="F961" i="2"/>
  <c r="F959" i="2"/>
  <c r="F958" i="2"/>
  <c r="F957" i="2"/>
  <c r="F956" i="2"/>
  <c r="F954" i="2"/>
  <c r="F953" i="2"/>
  <c r="F952" i="2"/>
  <c r="F951" i="2"/>
  <c r="F950" i="2"/>
  <c r="F949" i="2"/>
  <c r="F948" i="2"/>
  <c r="F947" i="2"/>
  <c r="F946" i="2"/>
  <c r="F945" i="2"/>
  <c r="F944" i="2"/>
  <c r="F943" i="2"/>
  <c r="F941" i="2"/>
  <c r="F940" i="2"/>
  <c r="F939" i="2"/>
  <c r="F938" i="2"/>
  <c r="F937" i="2"/>
  <c r="F936" i="2"/>
  <c r="F935" i="2"/>
  <c r="F934" i="2"/>
  <c r="F933" i="2"/>
  <c r="F932" i="2"/>
  <c r="F931" i="2"/>
  <c r="F930" i="2"/>
  <c r="F929" i="2"/>
  <c r="F928" i="2"/>
  <c r="F927" i="2"/>
  <c r="F926" i="2"/>
  <c r="F925" i="2"/>
  <c r="F923" i="2"/>
  <c r="F918" i="2"/>
  <c r="F917" i="2"/>
  <c r="F916" i="2"/>
  <c r="F915" i="2"/>
  <c r="F913" i="2"/>
  <c r="F912" i="2"/>
  <c r="F911" i="2"/>
  <c r="F909" i="2"/>
  <c r="F908" i="2"/>
  <c r="F907" i="2"/>
  <c r="F906" i="2"/>
  <c r="F905" i="2"/>
  <c r="F904" i="2"/>
  <c r="F903" i="2"/>
  <c r="F902" i="2"/>
  <c r="F901" i="2"/>
  <c r="F896" i="2"/>
  <c r="F894" i="2"/>
  <c r="F893" i="2"/>
  <c r="F892" i="2"/>
  <c r="F889" i="2"/>
  <c r="F888" i="2"/>
  <c r="F887" i="2"/>
  <c r="F886" i="2"/>
  <c r="F884" i="2"/>
  <c r="F881" i="2"/>
  <c r="F880" i="2"/>
  <c r="F879" i="2"/>
  <c r="F876" i="2"/>
  <c r="F875" i="2"/>
  <c r="F874" i="2"/>
  <c r="F873" i="2"/>
  <c r="F872" i="2"/>
  <c r="F871" i="2"/>
  <c r="F870" i="2"/>
  <c r="F869" i="2"/>
  <c r="F868" i="2"/>
  <c r="F867" i="2"/>
  <c r="F866" i="2"/>
  <c r="F865" i="2"/>
  <c r="F864" i="2"/>
  <c r="F863" i="2"/>
  <c r="F862" i="2"/>
  <c r="F859" i="2"/>
  <c r="F858" i="2"/>
  <c r="F857" i="2"/>
  <c r="F856" i="2"/>
  <c r="F855" i="2"/>
  <c r="F854" i="2"/>
  <c r="F853" i="2"/>
  <c r="F852" i="2"/>
  <c r="F851" i="2"/>
  <c r="F850" i="2"/>
  <c r="F849" i="2"/>
  <c r="F848" i="2"/>
  <c r="F847" i="2"/>
  <c r="F844" i="2"/>
  <c r="F843" i="2"/>
  <c r="F842" i="2"/>
  <c r="F841" i="2"/>
  <c r="F840" i="2"/>
  <c r="F839" i="2"/>
  <c r="F838" i="2"/>
  <c r="F837" i="2"/>
  <c r="F836" i="2"/>
  <c r="F835" i="2"/>
  <c r="F829" i="2"/>
  <c r="F828" i="2"/>
  <c r="F827" i="2"/>
  <c r="F825" i="2"/>
  <c r="F824" i="2"/>
  <c r="F823" i="2"/>
  <c r="F822" i="2"/>
  <c r="F821" i="2"/>
  <c r="F819" i="2"/>
  <c r="F815" i="2"/>
  <c r="F814" i="2"/>
  <c r="F812" i="2"/>
  <c r="F811" i="2"/>
  <c r="F810" i="2"/>
  <c r="F809" i="2"/>
  <c r="F808" i="2"/>
  <c r="F807" i="2"/>
  <c r="F806" i="2"/>
  <c r="F804" i="2"/>
  <c r="F803" i="2"/>
  <c r="F802" i="2"/>
  <c r="F800" i="2"/>
  <c r="F799" i="2"/>
  <c r="F797" i="2"/>
  <c r="F792" i="2"/>
  <c r="F790" i="2"/>
  <c r="F788" i="2"/>
  <c r="F787" i="2"/>
  <c r="F786" i="2"/>
  <c r="F785" i="2"/>
  <c r="F784" i="2"/>
  <c r="F783" i="2"/>
  <c r="F782" i="2"/>
  <c r="F781" i="2"/>
  <c r="F780" i="2"/>
  <c r="F779" i="2"/>
  <c r="F778" i="2"/>
  <c r="F777" i="2"/>
  <c r="F776" i="2"/>
  <c r="F775" i="2"/>
  <c r="F774" i="2"/>
  <c r="F773" i="2"/>
  <c r="F772" i="2"/>
  <c r="F771" i="2"/>
  <c r="F770" i="2"/>
  <c r="F769" i="2"/>
  <c r="F768" i="2"/>
  <c r="F767" i="2"/>
  <c r="F766" i="2"/>
  <c r="F764" i="2"/>
  <c r="F763" i="2"/>
  <c r="F762" i="2"/>
  <c r="F761" i="2"/>
  <c r="F760" i="2"/>
  <c r="F759" i="2"/>
  <c r="F758" i="2"/>
  <c r="F757" i="2"/>
  <c r="F756" i="2"/>
  <c r="F755" i="2"/>
  <c r="F754" i="2"/>
  <c r="F751" i="2"/>
  <c r="F750" i="2"/>
  <c r="F749" i="2"/>
  <c r="F748" i="2"/>
  <c r="F747" i="2"/>
  <c r="F746" i="2"/>
  <c r="F745" i="2"/>
  <c r="F744" i="2"/>
  <c r="F743" i="2"/>
  <c r="F742" i="2"/>
  <c r="F741" i="2"/>
  <c r="F740" i="2"/>
  <c r="F739" i="2"/>
  <c r="F736" i="2"/>
  <c r="F730" i="2"/>
  <c r="F728" i="2"/>
  <c r="F727" i="2"/>
  <c r="F726" i="2"/>
  <c r="F725" i="2"/>
  <c r="F723" i="2"/>
  <c r="F722" i="2"/>
  <c r="F721" i="2"/>
  <c r="F720" i="2"/>
  <c r="F719" i="2"/>
  <c r="F718" i="2"/>
  <c r="F717" i="2"/>
  <c r="F716" i="2"/>
  <c r="F715" i="2"/>
  <c r="F714" i="2"/>
  <c r="F712" i="2"/>
  <c r="F711" i="2"/>
  <c r="F710" i="2"/>
  <c r="F709" i="2"/>
  <c r="F708" i="2"/>
  <c r="F707" i="2"/>
  <c r="F706" i="2"/>
  <c r="F705" i="2"/>
  <c r="F704" i="2"/>
  <c r="F703" i="2"/>
  <c r="F702" i="2"/>
  <c r="F701" i="2"/>
  <c r="F699" i="2"/>
  <c r="F698" i="2"/>
  <c r="F697" i="2"/>
  <c r="F696" i="2"/>
  <c r="F695" i="2"/>
  <c r="F688" i="2"/>
  <c r="F687" i="2"/>
  <c r="F686" i="2"/>
  <c r="F685" i="2"/>
  <c r="F684" i="2"/>
  <c r="F683" i="2"/>
  <c r="F682" i="2"/>
  <c r="P681" i="2"/>
  <c r="F681" i="2"/>
  <c r="P680" i="2"/>
  <c r="F680" i="2"/>
  <c r="P679" i="2"/>
  <c r="F679" i="2"/>
  <c r="F678" i="2"/>
  <c r="P677" i="2"/>
  <c r="F677" i="2"/>
  <c r="P676" i="2"/>
  <c r="F676" i="2"/>
  <c r="P675" i="2"/>
  <c r="P674" i="2"/>
  <c r="P673" i="2"/>
  <c r="F673" i="2"/>
  <c r="P672" i="2"/>
  <c r="F672" i="2"/>
  <c r="P671" i="2"/>
  <c r="F671" i="2"/>
  <c r="F670" i="2"/>
  <c r="F669" i="2"/>
  <c r="F668" i="2"/>
  <c r="F667" i="2"/>
  <c r="F666" i="2"/>
  <c r="F665" i="2"/>
  <c r="F664" i="2"/>
  <c r="F663"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4" i="2"/>
  <c r="F633" i="2"/>
  <c r="F632" i="2"/>
  <c r="F631" i="2"/>
  <c r="F630" i="2"/>
  <c r="F629" i="2"/>
  <c r="F628" i="2"/>
  <c r="F627" i="2"/>
  <c r="F626" i="2"/>
  <c r="F625" i="2"/>
  <c r="F624" i="2"/>
  <c r="F623" i="2"/>
  <c r="F622" i="2"/>
  <c r="F620" i="2"/>
  <c r="F619" i="2"/>
  <c r="F618" i="2"/>
  <c r="F617" i="2"/>
  <c r="F616" i="2"/>
  <c r="F615" i="2"/>
  <c r="F614" i="2"/>
  <c r="F608" i="2"/>
  <c r="F607" i="2"/>
  <c r="F606" i="2"/>
  <c r="A606" i="2"/>
  <c r="A607" i="2" s="1"/>
  <c r="A608" i="2" s="1"/>
  <c r="F603" i="2"/>
  <c r="F602" i="2"/>
  <c r="F601" i="2"/>
  <c r="A601" i="2"/>
  <c r="A602" i="2" s="1"/>
  <c r="A603" i="2" s="1"/>
  <c r="F598" i="2"/>
  <c r="F596" i="2"/>
  <c r="F595" i="2"/>
  <c r="F592" i="2"/>
  <c r="F591" i="2"/>
  <c r="F590" i="2"/>
  <c r="F589" i="2"/>
  <c r="F586" i="2"/>
  <c r="F585" i="2"/>
  <c r="F584" i="2"/>
  <c r="F581" i="2"/>
  <c r="F580" i="2"/>
  <c r="F579" i="2"/>
  <c r="F576" i="2"/>
  <c r="A576" i="2"/>
  <c r="F571" i="2"/>
  <c r="F569" i="2"/>
  <c r="F566" i="2"/>
  <c r="F565" i="2"/>
  <c r="F564" i="2"/>
  <c r="F563" i="2"/>
  <c r="F560" i="2"/>
  <c r="F559" i="2"/>
  <c r="F558" i="2"/>
  <c r="F555" i="2"/>
  <c r="F554" i="2"/>
  <c r="F553" i="2"/>
  <c r="F550" i="2"/>
  <c r="A550" i="2"/>
  <c r="F542" i="2"/>
  <c r="F540" i="2"/>
  <c r="F537" i="2"/>
  <c r="F536" i="2"/>
  <c r="F533" i="2"/>
  <c r="F532" i="2"/>
  <c r="F531" i="2"/>
  <c r="F530" i="2"/>
  <c r="F529" i="2"/>
  <c r="F526" i="2"/>
  <c r="F525" i="2"/>
  <c r="F524" i="2"/>
  <c r="F523" i="2"/>
  <c r="F522" i="2"/>
  <c r="F521" i="2"/>
  <c r="F520" i="2"/>
  <c r="F519" i="2"/>
  <c r="F518" i="2"/>
  <c r="F517" i="2"/>
  <c r="F516" i="2"/>
  <c r="F515" i="2"/>
  <c r="F514" i="2"/>
  <c r="F511" i="2"/>
  <c r="F510" i="2"/>
  <c r="F509" i="2"/>
  <c r="F508" i="2"/>
  <c r="F507" i="2"/>
  <c r="F506" i="2"/>
  <c r="F505" i="2"/>
  <c r="F504" i="2"/>
  <c r="F503" i="2"/>
  <c r="F500" i="2"/>
  <c r="F499" i="2"/>
  <c r="F496" i="2"/>
  <c r="F495" i="2"/>
  <c r="F494" i="2"/>
  <c r="F493" i="2"/>
  <c r="F492" i="2"/>
  <c r="F489" i="2"/>
  <c r="F488" i="2"/>
  <c r="F487" i="2"/>
  <c r="F484" i="2"/>
  <c r="F482" i="2"/>
  <c r="F481" i="2"/>
  <c r="F478" i="2"/>
  <c r="F477" i="2"/>
  <c r="F476" i="2"/>
  <c r="F475" i="2"/>
  <c r="F474" i="2"/>
  <c r="F473" i="2"/>
  <c r="F472" i="2"/>
  <c r="F471" i="2"/>
  <c r="F470" i="2"/>
  <c r="F469" i="2"/>
  <c r="F468" i="2"/>
  <c r="F467" i="2"/>
  <c r="F466" i="2"/>
  <c r="F465" i="2"/>
  <c r="F464" i="2"/>
  <c r="F463" i="2"/>
  <c r="F462" i="2"/>
  <c r="F461" i="2"/>
  <c r="F460" i="2"/>
  <c r="F459" i="2"/>
  <c r="F457" i="2"/>
  <c r="F456" i="2"/>
  <c r="F455" i="2"/>
  <c r="F454" i="2"/>
  <c r="F453" i="2"/>
  <c r="F452" i="2"/>
  <c r="F451" i="2"/>
  <c r="F450" i="2"/>
  <c r="F449" i="2"/>
  <c r="F448" i="2"/>
  <c r="F447" i="2"/>
  <c r="F446" i="2"/>
  <c r="F445" i="2"/>
  <c r="F444" i="2"/>
  <c r="F442" i="2"/>
  <c r="F439" i="2"/>
  <c r="F437" i="2"/>
  <c r="F436" i="2"/>
  <c r="F435" i="2"/>
  <c r="F434" i="2"/>
  <c r="F433" i="2"/>
  <c r="F432" i="2"/>
  <c r="F431" i="2"/>
  <c r="F430" i="2"/>
  <c r="F429" i="2"/>
  <c r="F428" i="2"/>
  <c r="F427" i="2"/>
  <c r="F424" i="2"/>
  <c r="F423" i="2"/>
  <c r="F422" i="2"/>
  <c r="F421" i="2"/>
  <c r="F420" i="2"/>
  <c r="F419" i="2"/>
  <c r="F418" i="2"/>
  <c r="F415" i="2"/>
  <c r="F414" i="2"/>
  <c r="F413" i="2"/>
  <c r="F412" i="2"/>
  <c r="F411" i="2"/>
  <c r="F410" i="2"/>
  <c r="F409" i="2"/>
  <c r="F408" i="2"/>
  <c r="F407" i="2"/>
  <c r="F406" i="2"/>
  <c r="F405" i="2"/>
  <c r="F404" i="2"/>
  <c r="F403" i="2"/>
  <c r="F400" i="2"/>
  <c r="F399" i="2"/>
  <c r="F398" i="2"/>
  <c r="F397" i="2"/>
  <c r="F396" i="2"/>
  <c r="F395" i="2"/>
  <c r="F392" i="2"/>
  <c r="F391" i="2"/>
  <c r="F390" i="2"/>
  <c r="F389" i="2"/>
  <c r="F388" i="2"/>
  <c r="F387" i="2"/>
  <c r="F386" i="2"/>
  <c r="F385" i="2"/>
  <c r="F384" i="2"/>
  <c r="F383" i="2"/>
  <c r="F382" i="2"/>
  <c r="F381" i="2"/>
  <c r="F380" i="2"/>
  <c r="F377" i="2"/>
  <c r="F374" i="2"/>
  <c r="F373" i="2"/>
  <c r="F372" i="2"/>
  <c r="F371" i="2"/>
  <c r="F370" i="2"/>
  <c r="F367" i="2"/>
  <c r="F366" i="2"/>
  <c r="F364" i="2"/>
  <c r="F361" i="2"/>
  <c r="F359"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1" i="2"/>
  <c r="F270" i="2"/>
  <c r="F269" i="2"/>
  <c r="F268" i="2"/>
  <c r="F267" i="2"/>
  <c r="F266" i="2"/>
  <c r="F265" i="2"/>
  <c r="F264" i="2"/>
  <c r="F263" i="2"/>
  <c r="F262" i="2"/>
  <c r="F261" i="2"/>
  <c r="F260" i="2"/>
  <c r="F259" i="2"/>
  <c r="F257" i="2"/>
  <c r="F256" i="2"/>
  <c r="F255"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A223" i="2"/>
  <c r="A224" i="2" s="1"/>
  <c r="A225" i="2" s="1"/>
  <c r="A226" i="2" s="1"/>
  <c r="A227" i="2" s="1"/>
  <c r="A228" i="2" s="1"/>
  <c r="A229" i="2" s="1"/>
  <c r="F222" i="2"/>
  <c r="F221" i="2"/>
  <c r="F220" i="2"/>
  <c r="F219" i="2"/>
  <c r="F218" i="2"/>
  <c r="F217" i="2"/>
  <c r="F216" i="2"/>
  <c r="F215"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2" i="2"/>
  <c r="F181" i="2"/>
  <c r="F180" i="2"/>
  <c r="F179" i="2"/>
  <c r="F178" i="2"/>
  <c r="F177" i="2"/>
  <c r="F176" i="2"/>
  <c r="F175" i="2"/>
  <c r="F174" i="2"/>
  <c r="F173" i="2"/>
  <c r="F171" i="2"/>
  <c r="F170" i="2"/>
  <c r="F168" i="2"/>
  <c r="F167"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M139" i="2"/>
  <c r="F139" i="2"/>
  <c r="F138" i="2"/>
  <c r="F137" i="2"/>
  <c r="F136" i="2"/>
  <c r="F135" i="2"/>
  <c r="F133" i="2"/>
  <c r="F132" i="2"/>
  <c r="F131" i="2"/>
  <c r="F130" i="2"/>
  <c r="F129" i="2"/>
  <c r="F128" i="2"/>
  <c r="F127" i="2"/>
  <c r="F126" i="2"/>
  <c r="F125" i="2"/>
  <c r="F123" i="2"/>
  <c r="F122" i="2"/>
  <c r="F121" i="2"/>
  <c r="F120" i="2"/>
  <c r="F119" i="2"/>
  <c r="F118" i="2"/>
  <c r="F117" i="2"/>
  <c r="F116" i="2"/>
  <c r="F114" i="2"/>
  <c r="F113" i="2"/>
  <c r="F112" i="2"/>
  <c r="F111" i="2"/>
  <c r="F109" i="2"/>
  <c r="F107" i="2"/>
  <c r="F106" i="2"/>
  <c r="F105" i="2"/>
  <c r="F104" i="2"/>
  <c r="F103" i="2"/>
  <c r="F102" i="2"/>
  <c r="F100" i="2"/>
  <c r="F99" i="2"/>
  <c r="N98" i="2"/>
  <c r="N99" i="2" s="1"/>
  <c r="N100" i="2" s="1"/>
  <c r="F98" i="2"/>
  <c r="F97" i="2"/>
  <c r="F96" i="2"/>
  <c r="F95" i="2"/>
  <c r="F94" i="2"/>
  <c r="F93" i="2"/>
  <c r="F92" i="2"/>
  <c r="F91" i="2"/>
  <c r="F90" i="2"/>
  <c r="F89" i="2"/>
  <c r="F88" i="2"/>
  <c r="F87" i="2"/>
  <c r="F86" i="2"/>
  <c r="F85" i="2"/>
  <c r="F84" i="2"/>
  <c r="F83" i="2"/>
  <c r="F82" i="2"/>
  <c r="F81" i="2"/>
  <c r="F80" i="2"/>
  <c r="F79" i="2"/>
  <c r="A79" i="2"/>
  <c r="A80" i="2" s="1"/>
  <c r="A81" i="2" s="1"/>
  <c r="A82" i="2" s="1"/>
  <c r="A83" i="2" s="1"/>
  <c r="A84" i="2" s="1"/>
  <c r="A85" i="2" s="1"/>
  <c r="A86" i="2" s="1"/>
  <c r="F78" i="2"/>
  <c r="F76" i="2"/>
  <c r="F75" i="2"/>
  <c r="F74" i="2"/>
  <c r="F73" i="2"/>
  <c r="F72" i="2"/>
  <c r="A71" i="2"/>
  <c r="F69" i="2"/>
  <c r="F68" i="2"/>
  <c r="F67" i="2"/>
  <c r="F65" i="2"/>
  <c r="F60" i="2"/>
  <c r="F58" i="2"/>
  <c r="F57" i="2"/>
  <c r="F56" i="2"/>
  <c r="F55" i="2"/>
  <c r="F53" i="2"/>
  <c r="F52" i="2"/>
  <c r="F51" i="2"/>
  <c r="F50" i="2"/>
  <c r="F49" i="2"/>
  <c r="F48" i="2"/>
  <c r="F46" i="2"/>
  <c r="F44" i="2"/>
  <c r="F43" i="2"/>
  <c r="F40" i="2"/>
  <c r="F39" i="2"/>
  <c r="F38" i="2"/>
  <c r="F37" i="2"/>
  <c r="F35" i="2"/>
  <c r="F34" i="2"/>
  <c r="F33" i="2"/>
  <c r="F32" i="2"/>
  <c r="F31" i="2"/>
  <c r="F30" i="2"/>
  <c r="F29" i="2"/>
  <c r="F28" i="2"/>
  <c r="F27" i="2"/>
  <c r="F26" i="2"/>
  <c r="F25" i="2"/>
  <c r="F24" i="2"/>
  <c r="F22" i="2"/>
  <c r="F21" i="2"/>
  <c r="F18" i="2"/>
  <c r="F17" i="2"/>
  <c r="F16" i="2"/>
  <c r="F973" i="1"/>
  <c r="F972" i="1"/>
  <c r="F963" i="1"/>
  <c r="C961" i="1"/>
  <c r="F961" i="1" s="1"/>
  <c r="E960" i="1"/>
  <c r="F960" i="1" s="1"/>
  <c r="E959" i="1"/>
  <c r="F959" i="1" s="1"/>
  <c r="F958" i="1"/>
  <c r="F957" i="1"/>
  <c r="F955" i="1"/>
  <c r="F954" i="1"/>
  <c r="F952" i="1"/>
  <c r="F951" i="1"/>
  <c r="F950" i="1"/>
  <c r="F948" i="1"/>
  <c r="F946" i="1"/>
  <c r="F945" i="1"/>
  <c r="F943" i="1"/>
  <c r="F942" i="1"/>
  <c r="F935" i="1"/>
  <c r="C933" i="1"/>
  <c r="C966" i="1" s="1"/>
  <c r="C922" i="1"/>
  <c r="F922" i="1" s="1"/>
  <c r="C921" i="1"/>
  <c r="F921" i="1" s="1"/>
  <c r="C920" i="1"/>
  <c r="F920" i="1" s="1"/>
  <c r="F919" i="1"/>
  <c r="F917" i="1"/>
  <c r="F916" i="1"/>
  <c r="C915" i="1"/>
  <c r="F915" i="1" s="1"/>
  <c r="F914" i="1"/>
  <c r="F913" i="1"/>
  <c r="F912" i="1"/>
  <c r="F911" i="1"/>
  <c r="F910" i="1"/>
  <c r="F909" i="1"/>
  <c r="F908" i="1"/>
  <c r="F907" i="1"/>
  <c r="F906" i="1"/>
  <c r="C905" i="1"/>
  <c r="F905" i="1" s="1"/>
  <c r="F904" i="1"/>
  <c r="F901" i="1"/>
  <c r="F900" i="1"/>
  <c r="C899" i="1"/>
  <c r="F899" i="1" s="1"/>
  <c r="F898" i="1"/>
  <c r="F897" i="1"/>
  <c r="F896" i="1"/>
  <c r="F895" i="1"/>
  <c r="F894" i="1"/>
  <c r="F893" i="1"/>
  <c r="F892" i="1"/>
  <c r="F891" i="1"/>
  <c r="C890" i="1"/>
  <c r="F890" i="1" s="1"/>
  <c r="F889" i="1"/>
  <c r="C885" i="1"/>
  <c r="F885" i="1" s="1"/>
  <c r="F884" i="1"/>
  <c r="F883" i="1"/>
  <c r="F882" i="1"/>
  <c r="F880" i="1"/>
  <c r="F879" i="1"/>
  <c r="F878" i="1"/>
  <c r="F877" i="1"/>
  <c r="F876" i="1"/>
  <c r="F874" i="1"/>
  <c r="F873" i="1"/>
  <c r="F872" i="1"/>
  <c r="F871" i="1"/>
  <c r="F870" i="1"/>
  <c r="F869" i="1"/>
  <c r="F868" i="1"/>
  <c r="F867" i="1"/>
  <c r="F866" i="1"/>
  <c r="F865" i="1"/>
  <c r="F864" i="1"/>
  <c r="F863" i="1"/>
  <c r="F862" i="1"/>
  <c r="F860" i="1"/>
  <c r="C859" i="1"/>
  <c r="F859" i="1" s="1"/>
  <c r="C858" i="1"/>
  <c r="F858" i="1" s="1"/>
  <c r="C857" i="1"/>
  <c r="F857" i="1" s="1"/>
  <c r="F856" i="1"/>
  <c r="F855" i="1"/>
  <c r="C854" i="1"/>
  <c r="F854" i="1" s="1"/>
  <c r="C853" i="1"/>
  <c r="F853" i="1" s="1"/>
  <c r="C852" i="1"/>
  <c r="F852" i="1" s="1"/>
  <c r="F851" i="1"/>
  <c r="F850" i="1"/>
  <c r="E849" i="1"/>
  <c r="E848" i="1"/>
  <c r="E847" i="1"/>
  <c r="F842" i="1"/>
  <c r="C840" i="1"/>
  <c r="C924" i="1" s="1"/>
  <c r="C835" i="1"/>
  <c r="F835" i="1" s="1"/>
  <c r="F834" i="1"/>
  <c r="F833" i="1"/>
  <c r="F832" i="1"/>
  <c r="F831" i="1"/>
  <c r="F830" i="1"/>
  <c r="F829" i="1"/>
  <c r="F828" i="1"/>
  <c r="F827" i="1"/>
  <c r="F826" i="1"/>
  <c r="F821" i="1"/>
  <c r="F820" i="1"/>
  <c r="F819" i="1"/>
  <c r="F818" i="1"/>
  <c r="F816" i="1"/>
  <c r="F815" i="1"/>
  <c r="F813" i="1"/>
  <c r="F812" i="1"/>
  <c r="F811" i="1"/>
  <c r="F806" i="1"/>
  <c r="F805" i="1"/>
  <c r="F804" i="1"/>
  <c r="A804" i="1"/>
  <c r="A805" i="1" s="1"/>
  <c r="A806" i="1" s="1"/>
  <c r="F803" i="1"/>
  <c r="F802" i="1"/>
  <c r="F798" i="1"/>
  <c r="F797" i="1"/>
  <c r="F796" i="1"/>
  <c r="F793" i="1"/>
  <c r="F792" i="1"/>
  <c r="F791" i="1"/>
  <c r="F790" i="1"/>
  <c r="F789" i="1"/>
  <c r="F788" i="1"/>
  <c r="F787" i="1"/>
  <c r="F786" i="1"/>
  <c r="F785" i="1"/>
  <c r="F784" i="1"/>
  <c r="F783" i="1"/>
  <c r="F782" i="1"/>
  <c r="F781" i="1"/>
  <c r="F780" i="1"/>
  <c r="F779" i="1"/>
  <c r="F776" i="1"/>
  <c r="F775" i="1"/>
  <c r="F774" i="1"/>
  <c r="F773" i="1"/>
  <c r="F772" i="1"/>
  <c r="F771" i="1"/>
  <c r="F770" i="1"/>
  <c r="F769" i="1"/>
  <c r="F768" i="1"/>
  <c r="F767" i="1"/>
  <c r="F766" i="1"/>
  <c r="F765" i="1"/>
  <c r="F764" i="1"/>
  <c r="F761" i="1"/>
  <c r="F760" i="1"/>
  <c r="F759" i="1"/>
  <c r="F758" i="1"/>
  <c r="F757" i="1"/>
  <c r="F756" i="1"/>
  <c r="F755" i="1"/>
  <c r="F754" i="1"/>
  <c r="F753" i="1"/>
  <c r="F752" i="1"/>
  <c r="F747" i="1"/>
  <c r="F746" i="1"/>
  <c r="F745" i="1"/>
  <c r="F743" i="1"/>
  <c r="F742" i="1"/>
  <c r="F741" i="1"/>
  <c r="F740" i="1"/>
  <c r="F739" i="1"/>
  <c r="F737" i="1"/>
  <c r="F733" i="1"/>
  <c r="F731" i="1"/>
  <c r="F730" i="1"/>
  <c r="F729" i="1"/>
  <c r="F727" i="1"/>
  <c r="F726" i="1"/>
  <c r="F725" i="1"/>
  <c r="F724" i="1"/>
  <c r="F723" i="1"/>
  <c r="F722" i="1"/>
  <c r="F721" i="1"/>
  <c r="F719" i="1"/>
  <c r="F718" i="1"/>
  <c r="F717" i="1"/>
  <c r="F715" i="1"/>
  <c r="F714" i="1"/>
  <c r="F712" i="1"/>
  <c r="F707" i="1"/>
  <c r="F705" i="1"/>
  <c r="F703" i="1"/>
  <c r="F702" i="1"/>
  <c r="F701" i="1"/>
  <c r="F700" i="1"/>
  <c r="F699" i="1"/>
  <c r="F698" i="1"/>
  <c r="F697" i="1"/>
  <c r="F696" i="1"/>
  <c r="F695" i="1"/>
  <c r="F694" i="1"/>
  <c r="F693" i="1"/>
  <c r="F692" i="1"/>
  <c r="F691" i="1"/>
  <c r="F690" i="1"/>
  <c r="F689" i="1"/>
  <c r="F688" i="1"/>
  <c r="F687" i="1"/>
  <c r="F686" i="1"/>
  <c r="F685" i="1"/>
  <c r="F684" i="1"/>
  <c r="F683" i="1"/>
  <c r="F682" i="1"/>
  <c r="F680" i="1"/>
  <c r="F679" i="1"/>
  <c r="F678" i="1"/>
  <c r="F677" i="1"/>
  <c r="F676" i="1"/>
  <c r="F675" i="1"/>
  <c r="F674" i="1"/>
  <c r="F673" i="1"/>
  <c r="F672" i="1"/>
  <c r="F671" i="1"/>
  <c r="F670" i="1"/>
  <c r="F669" i="1"/>
  <c r="F666" i="1"/>
  <c r="F665" i="1"/>
  <c r="F664" i="1"/>
  <c r="F663" i="1"/>
  <c r="F662" i="1"/>
  <c r="F661" i="1"/>
  <c r="F660" i="1"/>
  <c r="F659" i="1"/>
  <c r="F658" i="1"/>
  <c r="F657" i="1"/>
  <c r="F656" i="1"/>
  <c r="F655" i="1"/>
  <c r="F654" i="1"/>
  <c r="F651" i="1"/>
  <c r="C643" i="1"/>
  <c r="C645" i="1" s="1"/>
  <c r="F645" i="1" s="1"/>
  <c r="F642" i="1"/>
  <c r="C641" i="1"/>
  <c r="F641" i="1" s="1"/>
  <c r="F640" i="1"/>
  <c r="F639" i="1"/>
  <c r="F638" i="1"/>
  <c r="E637" i="1"/>
  <c r="F637" i="1" s="1"/>
  <c r="F636" i="1"/>
  <c r="F635" i="1"/>
  <c r="F634" i="1"/>
  <c r="E633" i="1"/>
  <c r="F633" i="1" s="1"/>
  <c r="C632" i="1"/>
  <c r="F632" i="1" s="1"/>
  <c r="F631" i="1"/>
  <c r="F630" i="1"/>
  <c r="F628" i="1"/>
  <c r="F626" i="1"/>
  <c r="F625" i="1"/>
  <c r="C624" i="1"/>
  <c r="C627" i="1" s="1"/>
  <c r="F627" i="1" s="1"/>
  <c r="F623" i="1"/>
  <c r="F622" i="1"/>
  <c r="C617" i="1"/>
  <c r="F617" i="1" s="1"/>
  <c r="F614" i="1"/>
  <c r="F613" i="1"/>
  <c r="F612" i="1"/>
  <c r="F607" i="1"/>
  <c r="F606" i="1"/>
  <c r="F605" i="1"/>
  <c r="F604" i="1"/>
  <c r="F603" i="1"/>
  <c r="F602" i="1"/>
  <c r="F601" i="1"/>
  <c r="F600" i="1"/>
  <c r="F599" i="1"/>
  <c r="F598" i="1"/>
  <c r="F597" i="1"/>
  <c r="F596" i="1"/>
  <c r="F595" i="1"/>
  <c r="F594" i="1"/>
  <c r="F593"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C513" i="1"/>
  <c r="F513" i="1" s="1"/>
  <c r="F512" i="1"/>
  <c r="F510" i="1"/>
  <c r="F508" i="1"/>
  <c r="E507" i="1"/>
  <c r="F507" i="1" s="1"/>
  <c r="F505" i="1"/>
  <c r="F504" i="1"/>
  <c r="F503" i="1"/>
  <c r="F501" i="1"/>
  <c r="F500" i="1"/>
  <c r="E498" i="1"/>
  <c r="F498" i="1" s="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69" i="1"/>
  <c r="F468" i="1"/>
  <c r="F467" i="1"/>
  <c r="C463" i="1"/>
  <c r="F463" i="1" s="1"/>
  <c r="F462" i="1"/>
  <c r="F459" i="1"/>
  <c r="F458" i="1"/>
  <c r="F457" i="1"/>
  <c r="F455" i="1"/>
  <c r="F454"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C368" i="1"/>
  <c r="C369" i="1" s="1"/>
  <c r="F369" i="1" s="1"/>
  <c r="F363" i="1"/>
  <c r="F362" i="1"/>
  <c r="F359" i="1"/>
  <c r="F358" i="1"/>
  <c r="F350" i="1"/>
  <c r="F349" i="1"/>
  <c r="F348" i="1"/>
  <c r="F347" i="1"/>
  <c r="F346" i="1"/>
  <c r="F345" i="1"/>
  <c r="F344" i="1"/>
  <c r="F343" i="1"/>
  <c r="F342" i="1"/>
  <c r="F341" i="1"/>
  <c r="F340" i="1"/>
  <c r="F339" i="1"/>
  <c r="F338" i="1"/>
  <c r="C337" i="1"/>
  <c r="F337" i="1" s="1"/>
  <c r="F336" i="1"/>
  <c r="F335" i="1"/>
  <c r="F334" i="1"/>
  <c r="F333" i="1"/>
  <c r="C331" i="1"/>
  <c r="C332" i="1" s="1"/>
  <c r="F332" i="1" s="1"/>
  <c r="F329" i="1"/>
  <c r="F327" i="1"/>
  <c r="F326" i="1"/>
  <c r="F325" i="1"/>
  <c r="F324" i="1"/>
  <c r="F323" i="1"/>
  <c r="F322" i="1"/>
  <c r="F321" i="1"/>
  <c r="C318" i="1"/>
  <c r="F317" i="1"/>
  <c r="F316" i="1"/>
  <c r="F315" i="1"/>
  <c r="F314" i="1"/>
  <c r="F313" i="1"/>
  <c r="F312" i="1"/>
  <c r="F311" i="1"/>
  <c r="C310" i="1"/>
  <c r="C309" i="1"/>
  <c r="C308" i="1"/>
  <c r="C307" i="1"/>
  <c r="F306" i="1"/>
  <c r="F305" i="1"/>
  <c r="C303" i="1"/>
  <c r="F302" i="1"/>
  <c r="F301" i="1"/>
  <c r="F300" i="1"/>
  <c r="F299" i="1"/>
  <c r="F298" i="1"/>
  <c r="F297" i="1"/>
  <c r="F295" i="1"/>
  <c r="F294" i="1"/>
  <c r="F293" i="1"/>
  <c r="F289" i="1"/>
  <c r="F288" i="1"/>
  <c r="F285" i="1"/>
  <c r="F284" i="1"/>
  <c r="F283" i="1"/>
  <c r="F279" i="1"/>
  <c r="F278" i="1"/>
  <c r="F276" i="1"/>
  <c r="F275" i="1"/>
  <c r="F274" i="1"/>
  <c r="F271" i="1"/>
  <c r="F270" i="1"/>
  <c r="F268" i="1"/>
  <c r="F267" i="1"/>
  <c r="F266" i="1"/>
  <c r="F263" i="1"/>
  <c r="F262" i="1"/>
  <c r="F260" i="1"/>
  <c r="F259" i="1"/>
  <c r="F258" i="1"/>
  <c r="F257" i="1"/>
  <c r="F256" i="1"/>
  <c r="F255" i="1"/>
  <c r="F254" i="1"/>
  <c r="F253" i="1"/>
  <c r="F252" i="1"/>
  <c r="F251" i="1"/>
  <c r="F250" i="1"/>
  <c r="F249" i="1"/>
  <c r="F248" i="1"/>
  <c r="F247" i="1"/>
  <c r="F246" i="1"/>
  <c r="F245" i="1"/>
  <c r="C243" i="1"/>
  <c r="C244" i="1" s="1"/>
  <c r="F244" i="1" s="1"/>
  <c r="F242" i="1"/>
  <c r="F241" i="1"/>
  <c r="F240" i="1"/>
  <c r="F239" i="1"/>
  <c r="F238" i="1"/>
  <c r="F234" i="1"/>
  <c r="F233" i="1"/>
  <c r="F230" i="1"/>
  <c r="F229" i="1"/>
  <c r="F228" i="1"/>
  <c r="F226" i="1"/>
  <c r="F222" i="1"/>
  <c r="F221" i="1"/>
  <c r="F216" i="1"/>
  <c r="F215" i="1"/>
  <c r="F214" i="1"/>
  <c r="F210" i="1"/>
  <c r="F209" i="1"/>
  <c r="F207" i="1"/>
  <c r="F206" i="1"/>
  <c r="F203" i="1"/>
  <c r="F202" i="1"/>
  <c r="F200" i="1"/>
  <c r="F199" i="1"/>
  <c r="F198" i="1"/>
  <c r="F194" i="1"/>
  <c r="F193" i="1"/>
  <c r="F190" i="1"/>
  <c r="F189" i="1"/>
  <c r="F188" i="1"/>
  <c r="F187" i="1"/>
  <c r="F186" i="1"/>
  <c r="F185" i="1"/>
  <c r="F184" i="1"/>
  <c r="F183" i="1"/>
  <c r="F182" i="1"/>
  <c r="F181" i="1"/>
  <c r="F180" i="1"/>
  <c r="F179" i="1"/>
  <c r="F178" i="1"/>
  <c r="F174" i="1"/>
  <c r="F173" i="1"/>
  <c r="F172" i="1"/>
  <c r="F168" i="1"/>
  <c r="F167" i="1"/>
  <c r="F166" i="1"/>
  <c r="F165" i="1"/>
  <c r="F164" i="1"/>
  <c r="F163" i="1"/>
  <c r="F159" i="1"/>
  <c r="F158" i="1"/>
  <c r="F156" i="1"/>
  <c r="F155" i="1"/>
  <c r="F154" i="1"/>
  <c r="F150" i="1"/>
  <c r="F149" i="1"/>
  <c r="F147" i="1"/>
  <c r="F146" i="1"/>
  <c r="F145" i="1"/>
  <c r="F144" i="1"/>
  <c r="F143" i="1"/>
  <c r="F142" i="1"/>
  <c r="F141" i="1"/>
  <c r="F139" i="1"/>
  <c r="F138" i="1"/>
  <c r="F137" i="1"/>
  <c r="F132" i="1"/>
  <c r="F131" i="1"/>
  <c r="F127" i="1"/>
  <c r="F126" i="1"/>
  <c r="F125" i="1"/>
  <c r="F124" i="1"/>
  <c r="F123" i="1"/>
  <c r="F122" i="1"/>
  <c r="E121" i="1"/>
  <c r="E140" i="1" s="1"/>
  <c r="F120" i="1"/>
  <c r="E119" i="1"/>
  <c r="E136" i="1" s="1"/>
  <c r="C119" i="1"/>
  <c r="E118" i="1"/>
  <c r="E133" i="1" s="1"/>
  <c r="C118" i="1"/>
  <c r="E117" i="1"/>
  <c r="E134" i="1" s="1"/>
  <c r="E116" i="1"/>
  <c r="E135" i="1" s="1"/>
  <c r="F115" i="1"/>
  <c r="F114" i="1"/>
  <c r="F111" i="1"/>
  <c r="F110" i="1"/>
  <c r="F109" i="1"/>
  <c r="F108" i="1"/>
  <c r="F107" i="1"/>
  <c r="F106" i="1"/>
  <c r="F105" i="1"/>
  <c r="F104" i="1"/>
  <c r="E100" i="1"/>
  <c r="C100" i="1"/>
  <c r="E99" i="1"/>
  <c r="C99" i="1"/>
  <c r="E98" i="1"/>
  <c r="F98" i="1" s="1"/>
  <c r="E97" i="1"/>
  <c r="F97" i="1" s="1"/>
  <c r="F96" i="1"/>
  <c r="G94" i="1"/>
  <c r="G93" i="1"/>
  <c r="E93" i="1"/>
  <c r="F93" i="1" s="1"/>
  <c r="G92" i="1"/>
  <c r="E92" i="1"/>
  <c r="F92" i="1" s="1"/>
  <c r="G91" i="1"/>
  <c r="E91" i="1"/>
  <c r="F91" i="1" s="1"/>
  <c r="G90" i="1"/>
  <c r="G89" i="1"/>
  <c r="E89" i="1"/>
  <c r="F89" i="1" s="1"/>
  <c r="G88" i="1"/>
  <c r="E88" i="1"/>
  <c r="F88" i="1" s="1"/>
  <c r="G87" i="1"/>
  <c r="G86" i="1"/>
  <c r="G85" i="1"/>
  <c r="E85" i="1"/>
  <c r="F85" i="1" s="1"/>
  <c r="G84" i="1"/>
  <c r="E84" i="1"/>
  <c r="F84" i="1" s="1"/>
  <c r="C83" i="1"/>
  <c r="G82" i="1"/>
  <c r="G81" i="1"/>
  <c r="G80" i="1"/>
  <c r="E80" i="1"/>
  <c r="F80" i="1" s="1"/>
  <c r="G79" i="1"/>
  <c r="G78" i="1"/>
  <c r="E78" i="1"/>
  <c r="C78" i="1"/>
  <c r="E75" i="1"/>
  <c r="F75" i="1" s="1"/>
  <c r="E74" i="1"/>
  <c r="C74" i="1"/>
  <c r="F70" i="1"/>
  <c r="F69" i="1"/>
  <c r="F68" i="1"/>
  <c r="F67" i="1"/>
  <c r="F66" i="1"/>
  <c r="A66" i="1"/>
  <c r="A67" i="1" s="1"/>
  <c r="A68" i="1" s="1"/>
  <c r="A69" i="1" s="1"/>
  <c r="F65" i="1"/>
  <c r="F64" i="1"/>
  <c r="F63" i="1"/>
  <c r="F61" i="1"/>
  <c r="C54" i="1"/>
  <c r="F54" i="1" s="1"/>
  <c r="F53" i="1"/>
  <c r="C52" i="1"/>
  <c r="F52" i="1" s="1"/>
  <c r="F51" i="1"/>
  <c r="F48" i="1"/>
  <c r="F47" i="1"/>
  <c r="F46" i="1"/>
  <c r="F45" i="1"/>
  <c r="F44" i="1"/>
  <c r="C41" i="1"/>
  <c r="C42" i="1" s="1"/>
  <c r="F42" i="1" s="1"/>
  <c r="E37" i="1"/>
  <c r="E953" i="1" s="1"/>
  <c r="F953" i="1" s="1"/>
  <c r="F36" i="1"/>
  <c r="F35" i="1"/>
  <c r="F34" i="1"/>
  <c r="F33" i="1"/>
  <c r="F31" i="1"/>
  <c r="F29" i="1"/>
  <c r="F28" i="1"/>
  <c r="C27" i="1"/>
  <c r="C30" i="1" s="1"/>
  <c r="F30" i="1" s="1"/>
  <c r="F26" i="1"/>
  <c r="F25" i="1"/>
  <c r="C21" i="1"/>
  <c r="F21" i="1" s="1"/>
  <c r="C20" i="1"/>
  <c r="F20" i="1" s="1"/>
  <c r="F17" i="1"/>
  <c r="F16" i="1"/>
  <c r="F15" i="1"/>
  <c r="O26" i="25" l="1"/>
  <c r="E138" i="20"/>
  <c r="E139" i="20" s="1"/>
  <c r="C24" i="29"/>
  <c r="E569" i="20"/>
  <c r="F67" i="18"/>
  <c r="E414" i="42"/>
  <c r="E415" i="42" s="1"/>
  <c r="E292" i="20"/>
  <c r="L37" i="32"/>
  <c r="F742" i="18"/>
  <c r="E552" i="42"/>
  <c r="E554" i="42" s="1"/>
  <c r="G1281" i="18"/>
  <c r="F16" i="19"/>
  <c r="F1171" i="18"/>
  <c r="F933" i="1"/>
  <c r="F21" i="19"/>
  <c r="E147" i="19" s="1"/>
  <c r="F147" i="19" s="1"/>
  <c r="J12" i="35"/>
  <c r="E530" i="42"/>
  <c r="E534" i="42" s="1"/>
  <c r="F1085" i="2"/>
  <c r="I28" i="28"/>
  <c r="F89" i="18"/>
  <c r="F1147" i="18"/>
  <c r="F556" i="19"/>
  <c r="E145" i="20"/>
  <c r="D406" i="20" s="1"/>
  <c r="E406" i="20" s="1"/>
  <c r="I243" i="24"/>
  <c r="E217" i="42"/>
  <c r="D222" i="42" s="1"/>
  <c r="E222" i="42" s="1"/>
  <c r="F100" i="1"/>
  <c r="F731" i="2"/>
  <c r="F830" i="2"/>
  <c r="F919" i="2"/>
  <c r="F1042" i="2"/>
  <c r="H702" i="18"/>
  <c r="E48" i="20"/>
  <c r="B51" i="20" s="1"/>
  <c r="B57" i="20" s="1"/>
  <c r="E67" i="20"/>
  <c r="E69" i="20" s="1"/>
  <c r="E362" i="42"/>
  <c r="E364" i="42" s="1"/>
  <c r="E485" i="42"/>
  <c r="F78" i="1"/>
  <c r="E113" i="20"/>
  <c r="E117" i="20" s="1"/>
  <c r="D125" i="20" s="1"/>
  <c r="E125" i="20" s="1"/>
  <c r="E311" i="20"/>
  <c r="F440" i="2"/>
  <c r="F480" i="2"/>
  <c r="F1090" i="2"/>
  <c r="F137" i="19"/>
  <c r="F131" i="19"/>
  <c r="F948" i="18"/>
  <c r="F970" i="18"/>
  <c r="F21" i="18"/>
  <c r="E535" i="18" s="1"/>
  <c r="F535" i="18" s="1"/>
  <c r="E209" i="18"/>
  <c r="E215" i="18" s="1"/>
  <c r="F215" i="18" s="1"/>
  <c r="F362" i="2"/>
  <c r="F882" i="2"/>
  <c r="G1288" i="18"/>
  <c r="D104" i="24"/>
  <c r="F836" i="1"/>
  <c r="F228" i="18"/>
  <c r="F1194" i="18"/>
  <c r="F1195" i="18" s="1"/>
  <c r="E22" i="41"/>
  <c r="E197" i="42"/>
  <c r="E325" i="42"/>
  <c r="E327" i="42" s="1"/>
  <c r="G28" i="22"/>
  <c r="H28" i="22" s="1"/>
  <c r="G29" i="22" s="1"/>
  <c r="H29" i="22" s="1"/>
  <c r="H30" i="22" s="1"/>
  <c r="F624" i="1"/>
  <c r="F974" i="1"/>
  <c r="F61" i="2"/>
  <c r="F563" i="19"/>
  <c r="E82" i="20"/>
  <c r="E83" i="20" s="1"/>
  <c r="E104" i="20"/>
  <c r="E105" i="20" s="1"/>
  <c r="D123" i="20" s="1"/>
  <c r="E123" i="20" s="1"/>
  <c r="E126" i="20" s="1"/>
  <c r="E325" i="20"/>
  <c r="F26" i="25"/>
  <c r="I57" i="25" s="1"/>
  <c r="F880" i="18"/>
  <c r="F884" i="18"/>
  <c r="F885" i="18"/>
  <c r="F999" i="18"/>
  <c r="H393" i="19"/>
  <c r="I393" i="19" s="1"/>
  <c r="I394" i="19" s="1"/>
  <c r="E47" i="24"/>
  <c r="F47" i="24" s="1"/>
  <c r="E32" i="41"/>
  <c r="E389" i="42"/>
  <c r="E391" i="42" s="1"/>
  <c r="I214" i="7"/>
  <c r="G37" i="22"/>
  <c r="H37" i="22" s="1"/>
  <c r="G38" i="22" s="1"/>
  <c r="H38" i="22" s="1"/>
  <c r="H39" i="22" s="1"/>
  <c r="F368" i="1"/>
  <c r="F643" i="1"/>
  <c r="C944" i="1"/>
  <c r="C947" i="1" s="1"/>
  <c r="F947" i="1" s="1"/>
  <c r="F214" i="2"/>
  <c r="F524" i="18"/>
  <c r="F530" i="18"/>
  <c r="E616" i="18" s="1"/>
  <c r="F616" i="18" s="1"/>
  <c r="F622" i="18"/>
  <c r="F663" i="18"/>
  <c r="F27" i="1"/>
  <c r="F74" i="1"/>
  <c r="F99" i="1"/>
  <c r="F118" i="1"/>
  <c r="F121" i="1"/>
  <c r="F543" i="2"/>
  <c r="F610" i="2"/>
  <c r="F690" i="2"/>
  <c r="H82" i="7"/>
  <c r="F868" i="18"/>
  <c r="F956" i="18"/>
  <c r="F977" i="18"/>
  <c r="F993" i="18"/>
  <c r="F1021" i="18"/>
  <c r="F1231" i="18"/>
  <c r="F1235" i="18" s="1"/>
  <c r="F1250" i="18"/>
  <c r="F1252" i="18" s="1"/>
  <c r="F1259" i="18" s="1"/>
  <c r="G1287" i="18"/>
  <c r="G1294" i="18"/>
  <c r="F1352" i="18"/>
  <c r="F1353" i="18" s="1"/>
  <c r="F1408" i="18"/>
  <c r="F71" i="19"/>
  <c r="E74" i="19" s="1"/>
  <c r="F74" i="19" s="1"/>
  <c r="F142" i="19"/>
  <c r="E253" i="19" s="1"/>
  <c r="F298" i="19"/>
  <c r="F327" i="19"/>
  <c r="F342" i="19"/>
  <c r="F588" i="19"/>
  <c r="F595" i="19"/>
  <c r="E22" i="20"/>
  <c r="E75" i="20"/>
  <c r="E203" i="20"/>
  <c r="D504" i="20" s="1"/>
  <c r="D527" i="20" s="1"/>
  <c r="E527" i="20" s="1"/>
  <c r="B239" i="20"/>
  <c r="E239" i="20" s="1"/>
  <c r="B304" i="20"/>
  <c r="E304" i="20" s="1"/>
  <c r="F138" i="24"/>
  <c r="F28" i="28"/>
  <c r="I61" i="28" s="1"/>
  <c r="I249" i="24"/>
  <c r="F249" i="24"/>
  <c r="I9" i="27"/>
  <c r="O9" i="27"/>
  <c r="O26" i="27" s="1"/>
  <c r="C24" i="27"/>
  <c r="L28" i="28"/>
  <c r="I8" i="29"/>
  <c r="F9" i="29"/>
  <c r="C37" i="29"/>
  <c r="F37" i="29" s="1"/>
  <c r="E14" i="39"/>
  <c r="E16" i="39" s="1"/>
  <c r="E7" i="41"/>
  <c r="E11" i="41"/>
  <c r="E16" i="41"/>
  <c r="E60" i="42"/>
  <c r="E62" i="42" s="1"/>
  <c r="D65" i="42" s="1"/>
  <c r="E65" i="42" s="1"/>
  <c r="D43" i="42"/>
  <c r="E43" i="42" s="1"/>
  <c r="E376" i="42"/>
  <c r="E379" i="42" s="1"/>
  <c r="F57" i="24"/>
  <c r="E66" i="24"/>
  <c r="F66" i="24" s="1"/>
  <c r="F70" i="24" s="1"/>
  <c r="F71" i="24" s="1"/>
  <c r="L26" i="25"/>
  <c r="F9" i="27"/>
  <c r="F26" i="27" s="1"/>
  <c r="L9" i="29"/>
  <c r="F21" i="30"/>
  <c r="F22" i="30" s="1"/>
  <c r="C36" i="30"/>
  <c r="E39" i="30"/>
  <c r="I18" i="31"/>
  <c r="I20" i="31" s="1"/>
  <c r="J6" i="33"/>
  <c r="E23" i="42"/>
  <c r="E29" i="42"/>
  <c r="E461" i="42"/>
  <c r="E465" i="42" s="1"/>
  <c r="E577" i="42"/>
  <c r="E578" i="42" s="1"/>
  <c r="E152" i="1"/>
  <c r="F134" i="1"/>
  <c r="E309" i="1"/>
  <c r="F133" i="1"/>
  <c r="E153" i="1"/>
  <c r="F136" i="1"/>
  <c r="E227" i="1"/>
  <c r="F227" i="1" s="1"/>
  <c r="F140" i="1"/>
  <c r="E367" i="1"/>
  <c r="F367" i="1" s="1"/>
  <c r="C926" i="1"/>
  <c r="F926" i="1" s="1"/>
  <c r="F924" i="1"/>
  <c r="F966" i="1"/>
  <c r="C968" i="1"/>
  <c r="F968" i="1" s="1"/>
  <c r="F16" i="18"/>
  <c r="E102" i="1"/>
  <c r="F102" i="1" s="1"/>
  <c r="E70" i="18"/>
  <c r="F70" i="18" s="1"/>
  <c r="E79" i="18"/>
  <c r="F79" i="18" s="1"/>
  <c r="E151" i="1"/>
  <c r="F135" i="1"/>
  <c r="C56" i="1"/>
  <c r="F56" i="1" s="1"/>
  <c r="F243" i="1"/>
  <c r="F318" i="1"/>
  <c r="F331" i="1"/>
  <c r="F800" i="1"/>
  <c r="F822" i="1" s="1"/>
  <c r="F840" i="1"/>
  <c r="C845" i="1"/>
  <c r="F845" i="1" s="1"/>
  <c r="C964" i="1"/>
  <c r="F964" i="1" s="1"/>
  <c r="H85" i="7"/>
  <c r="E537" i="18"/>
  <c r="F537" i="18" s="1"/>
  <c r="E1077" i="18"/>
  <c r="F1077" i="18" s="1"/>
  <c r="E578" i="18"/>
  <c r="F578" i="18" s="1"/>
  <c r="E251" i="18"/>
  <c r="E30" i="18"/>
  <c r="E31" i="18"/>
  <c r="E52" i="18"/>
  <c r="F52" i="18" s="1"/>
  <c r="E53" i="18"/>
  <c r="F53" i="18" s="1"/>
  <c r="F62" i="18"/>
  <c r="E81" i="18"/>
  <c r="F81" i="18" s="1"/>
  <c r="E100" i="18"/>
  <c r="F100" i="18" s="1"/>
  <c r="E112" i="18"/>
  <c r="F112" i="18" s="1"/>
  <c r="E124" i="18"/>
  <c r="F124" i="18" s="1"/>
  <c r="E136" i="18"/>
  <c r="F136" i="18" s="1"/>
  <c r="E148" i="18"/>
  <c r="F148" i="18" s="1"/>
  <c r="E160" i="18"/>
  <c r="F160" i="18" s="1"/>
  <c r="E172" i="18"/>
  <c r="F172" i="18" s="1"/>
  <c r="E627" i="18"/>
  <c r="E309" i="18"/>
  <c r="F296" i="18"/>
  <c r="F299" i="18" s="1"/>
  <c r="E113" i="1" s="1"/>
  <c r="F113" i="1" s="1"/>
  <c r="E620" i="18"/>
  <c r="F620" i="18" s="1"/>
  <c r="F624" i="18" s="1"/>
  <c r="E292" i="18"/>
  <c r="F292" i="18" s="1"/>
  <c r="E621" i="18"/>
  <c r="E597" i="18"/>
  <c r="F597" i="18" s="1"/>
  <c r="F598" i="18" s="1"/>
  <c r="H598" i="18" s="1"/>
  <c r="E903" i="18"/>
  <c r="F903" i="18" s="1"/>
  <c r="F891" i="18"/>
  <c r="E919" i="18"/>
  <c r="F919" i="18" s="1"/>
  <c r="F906" i="18"/>
  <c r="F1009" i="18"/>
  <c r="F1401" i="18"/>
  <c r="E171" i="19"/>
  <c r="F171" i="19" s="1"/>
  <c r="E548" i="19"/>
  <c r="F548" i="19" s="1"/>
  <c r="E483" i="19"/>
  <c r="E500" i="19" s="1"/>
  <c r="E516" i="19" s="1"/>
  <c r="F516" i="19" s="1"/>
  <c r="E237" i="19"/>
  <c r="E159" i="19"/>
  <c r="F159" i="19" s="1"/>
  <c r="E223" i="19"/>
  <c r="F223" i="19" s="1"/>
  <c r="F224" i="19" s="1"/>
  <c r="F37" i="1"/>
  <c r="F116" i="1"/>
  <c r="F117" i="1"/>
  <c r="F119" i="1"/>
  <c r="C319" i="1"/>
  <c r="F319" i="1" s="1"/>
  <c r="E536" i="18"/>
  <c r="F536" i="18" s="1"/>
  <c r="E1078" i="18"/>
  <c r="F1078" i="18" s="1"/>
  <c r="E1391" i="18"/>
  <c r="F1391" i="18" s="1"/>
  <c r="E1379" i="18"/>
  <c r="F1379" i="18" s="1"/>
  <c r="E226" i="18"/>
  <c r="F226" i="18" s="1"/>
  <c r="E214" i="18"/>
  <c r="F214" i="18" s="1"/>
  <c r="E202" i="18"/>
  <c r="F202" i="18" s="1"/>
  <c r="E190" i="18"/>
  <c r="F190" i="18" s="1"/>
  <c r="E1385" i="18"/>
  <c r="F1385" i="18" s="1"/>
  <c r="E610" i="18"/>
  <c r="E220" i="18"/>
  <c r="F220" i="18" s="1"/>
  <c r="E208" i="18"/>
  <c r="F208" i="18" s="1"/>
  <c r="E196" i="18"/>
  <c r="F196" i="18" s="1"/>
  <c r="E1117" i="18"/>
  <c r="F1117" i="18" s="1"/>
  <c r="E1036" i="18"/>
  <c r="F1036" i="18" s="1"/>
  <c r="E838" i="18"/>
  <c r="F838" i="18" s="1"/>
  <c r="E806" i="18"/>
  <c r="F806" i="18" s="1"/>
  <c r="E1336" i="18"/>
  <c r="F1336" i="18" s="1"/>
  <c r="E1324" i="18"/>
  <c r="F1324" i="18" s="1"/>
  <c r="E1317" i="18"/>
  <c r="F1317" i="18" s="1"/>
  <c r="E1305" i="18"/>
  <c r="F1305" i="18" s="1"/>
  <c r="E1041" i="18"/>
  <c r="E812" i="18"/>
  <c r="F812" i="18" s="1"/>
  <c r="E71" i="18"/>
  <c r="F71" i="18" s="1"/>
  <c r="E72" i="18"/>
  <c r="F72" i="18" s="1"/>
  <c r="E87" i="18"/>
  <c r="E93" i="18"/>
  <c r="F93" i="18" s="1"/>
  <c r="E106" i="18"/>
  <c r="F106" i="18" s="1"/>
  <c r="E118" i="18"/>
  <c r="F118" i="18" s="1"/>
  <c r="E130" i="18"/>
  <c r="F130" i="18" s="1"/>
  <c r="E142" i="18"/>
  <c r="F142" i="18" s="1"/>
  <c r="E154" i="18"/>
  <c r="F154" i="18" s="1"/>
  <c r="E166" i="18"/>
  <c r="F166" i="18" s="1"/>
  <c r="E178" i="18"/>
  <c r="F178" i="18" s="1"/>
  <c r="E1181" i="18"/>
  <c r="F1181" i="18" s="1"/>
  <c r="E1174" i="18"/>
  <c r="F1174" i="18" s="1"/>
  <c r="E855" i="18"/>
  <c r="F855" i="18" s="1"/>
  <c r="E849" i="18"/>
  <c r="F849" i="18" s="1"/>
  <c r="E1371" i="18"/>
  <c r="F1371" i="18" s="1"/>
  <c r="E1365" i="18"/>
  <c r="F1365" i="18" s="1"/>
  <c r="E1359" i="18"/>
  <c r="F1359" i="18" s="1"/>
  <c r="E861" i="18"/>
  <c r="F861" i="18" s="1"/>
  <c r="E843" i="18"/>
  <c r="F843" i="18" s="1"/>
  <c r="F752" i="18"/>
  <c r="E760" i="18"/>
  <c r="F760" i="18" s="1"/>
  <c r="E1160" i="18"/>
  <c r="F1149" i="18"/>
  <c r="E893" i="18"/>
  <c r="F881" i="18"/>
  <c r="E904" i="18"/>
  <c r="F904" i="18" s="1"/>
  <c r="F892" i="18"/>
  <c r="F896" i="18"/>
  <c r="E908" i="18"/>
  <c r="F897" i="18"/>
  <c r="E909" i="18"/>
  <c r="F1233" i="18"/>
  <c r="E146" i="19"/>
  <c r="F146" i="19" s="1"/>
  <c r="E51" i="19"/>
  <c r="F51" i="19" s="1"/>
  <c r="E33" i="19"/>
  <c r="E60" i="19"/>
  <c r="F60" i="19" s="1"/>
  <c r="E24" i="19"/>
  <c r="F24" i="19" s="1"/>
  <c r="E242" i="19"/>
  <c r="F242" i="19" s="1"/>
  <c r="F291" i="18"/>
  <c r="F293" i="18" s="1"/>
  <c r="E112" i="1" s="1"/>
  <c r="F112" i="1" s="1"/>
  <c r="F629" i="18"/>
  <c r="F656" i="18"/>
  <c r="F682" i="18"/>
  <c r="F699" i="18"/>
  <c r="F700" i="18"/>
  <c r="F735" i="18"/>
  <c r="F738" i="18" s="1"/>
  <c r="F870" i="18"/>
  <c r="E879" i="18"/>
  <c r="F879" i="18" s="1"/>
  <c r="F894" i="18"/>
  <c r="F932" i="18"/>
  <c r="F933" i="18" s="1"/>
  <c r="E1013" i="18"/>
  <c r="F1013" i="18" s="1"/>
  <c r="E1016" i="18"/>
  <c r="F1016" i="18" s="1"/>
  <c r="E1200" i="18"/>
  <c r="F1200" i="18" s="1"/>
  <c r="F1201" i="18" s="1"/>
  <c r="E1209" i="18"/>
  <c r="F1209" i="18" s="1"/>
  <c r="E1216" i="18"/>
  <c r="F1216" i="18" s="1"/>
  <c r="F1217" i="18" s="1"/>
  <c r="F1219" i="18" s="1"/>
  <c r="G1289" i="18"/>
  <c r="E26" i="19"/>
  <c r="F26" i="19" s="1"/>
  <c r="E27" i="19"/>
  <c r="F27" i="19" s="1"/>
  <c r="E62" i="19"/>
  <c r="F62" i="19" s="1"/>
  <c r="E63" i="19"/>
  <c r="F63" i="19" s="1"/>
  <c r="E84" i="19"/>
  <c r="F84" i="19" s="1"/>
  <c r="E85" i="19"/>
  <c r="F85" i="19" s="1"/>
  <c r="C255" i="19"/>
  <c r="F255" i="19" s="1"/>
  <c r="C262" i="19"/>
  <c r="F262" i="19" s="1"/>
  <c r="C306" i="19"/>
  <c r="F306" i="19" s="1"/>
  <c r="C319" i="19"/>
  <c r="F319" i="19" s="1"/>
  <c r="E409" i="19"/>
  <c r="F409" i="19" s="1"/>
  <c r="E410" i="19"/>
  <c r="F410" i="19" s="1"/>
  <c r="E532" i="19"/>
  <c r="F532" i="19" s="1"/>
  <c r="E534" i="19"/>
  <c r="F534" i="19" s="1"/>
  <c r="E582" i="19"/>
  <c r="F582" i="19" s="1"/>
  <c r="F583" i="19" s="1"/>
  <c r="F596" i="19"/>
  <c r="F601" i="19"/>
  <c r="D337" i="20"/>
  <c r="E185" i="20"/>
  <c r="E186" i="20" s="1"/>
  <c r="E187" i="20" s="1"/>
  <c r="D447" i="20"/>
  <c r="D419" i="20"/>
  <c r="E419" i="20" s="1"/>
  <c r="D317" i="20"/>
  <c r="E317" i="20" s="1"/>
  <c r="E297" i="20"/>
  <c r="G19" i="22"/>
  <c r="H19" i="22" s="1"/>
  <c r="G103" i="22"/>
  <c r="H103" i="22" s="1"/>
  <c r="F1275" i="18"/>
  <c r="G1275" i="18" s="1"/>
  <c r="G1276" i="18" s="1"/>
  <c r="G1286" i="18"/>
  <c r="E35" i="19"/>
  <c r="E36" i="19"/>
  <c r="E53" i="19"/>
  <c r="F53" i="19" s="1"/>
  <c r="E54" i="19"/>
  <c r="F54" i="19" s="1"/>
  <c r="E75" i="19"/>
  <c r="F75" i="19" s="1"/>
  <c r="E76" i="19"/>
  <c r="F76" i="19" s="1"/>
  <c r="E101" i="19"/>
  <c r="E149" i="19"/>
  <c r="F149" i="19" s="1"/>
  <c r="E217" i="19"/>
  <c r="F217" i="19" s="1"/>
  <c r="F218" i="19" s="1"/>
  <c r="F426" i="19"/>
  <c r="E489" i="19"/>
  <c r="F489" i="19" s="1"/>
  <c r="F490" i="19" s="1"/>
  <c r="F492" i="19" s="1"/>
  <c r="E506" i="19"/>
  <c r="F506" i="19" s="1"/>
  <c r="F507" i="19" s="1"/>
  <c r="E522" i="19"/>
  <c r="F522" i="19" s="1"/>
  <c r="F523" i="19" s="1"/>
  <c r="F525" i="19" s="1"/>
  <c r="E594" i="19"/>
  <c r="F594" i="19" s="1"/>
  <c r="F593" i="19"/>
  <c r="E16" i="20"/>
  <c r="E167" i="20"/>
  <c r="E168" i="20" s="1"/>
  <c r="E504" i="20"/>
  <c r="E326" i="20"/>
  <c r="E333" i="20"/>
  <c r="E547" i="20"/>
  <c r="G54" i="22"/>
  <c r="H54" i="22" s="1"/>
  <c r="G71" i="22"/>
  <c r="H71" i="22" s="1"/>
  <c r="G87" i="22"/>
  <c r="H87" i="22" s="1"/>
  <c r="G119" i="22"/>
  <c r="H119" i="22" s="1"/>
  <c r="G135" i="22"/>
  <c r="H135" i="22" s="1"/>
  <c r="G153" i="22"/>
  <c r="H153" i="22" s="1"/>
  <c r="E90" i="20"/>
  <c r="E91" i="20" s="1"/>
  <c r="D173" i="20"/>
  <c r="E173" i="20" s="1"/>
  <c r="D174" i="20"/>
  <c r="E174" i="20" s="1"/>
  <c r="D175" i="20"/>
  <c r="E175" i="20" s="1"/>
  <c r="E312" i="20"/>
  <c r="E327" i="20"/>
  <c r="D394" i="20"/>
  <c r="E394" i="20" s="1"/>
  <c r="E395" i="20" s="1"/>
  <c r="D466" i="20" s="1"/>
  <c r="E466" i="20" s="1"/>
  <c r="D400" i="20"/>
  <c r="E400" i="20" s="1"/>
  <c r="E401" i="20" s="1"/>
  <c r="D467" i="20" s="1"/>
  <c r="B552" i="20"/>
  <c r="E552" i="20" s="1"/>
  <c r="E568" i="20"/>
  <c r="D26" i="21"/>
  <c r="E26" i="21" s="1"/>
  <c r="E27" i="21" s="1"/>
  <c r="G7" i="22"/>
  <c r="H7" i="22" s="1"/>
  <c r="G45" i="22"/>
  <c r="H45" i="22" s="1"/>
  <c r="G62" i="22"/>
  <c r="H62" i="22" s="1"/>
  <c r="G79" i="22"/>
  <c r="H79" i="22" s="1"/>
  <c r="G95" i="22"/>
  <c r="H95" i="22" s="1"/>
  <c r="G111" i="22"/>
  <c r="H111" i="22" s="1"/>
  <c r="G127" i="22"/>
  <c r="H127" i="22" s="1"/>
  <c r="G143" i="22"/>
  <c r="H143" i="22" s="1"/>
  <c r="D95" i="20"/>
  <c r="E95" i="20" s="1"/>
  <c r="E96" i="20" s="1"/>
  <c r="E97" i="20" s="1"/>
  <c r="E285" i="20"/>
  <c r="D291" i="20"/>
  <c r="E291" i="20" s="1"/>
  <c r="D12" i="21"/>
  <c r="E12" i="21" s="1"/>
  <c r="E13" i="21" s="1"/>
  <c r="D36" i="21"/>
  <c r="E36" i="21" s="1"/>
  <c r="E37" i="21" s="1"/>
  <c r="D41" i="21"/>
  <c r="E41" i="21" s="1"/>
  <c r="E42" i="21" s="1"/>
  <c r="D46" i="21"/>
  <c r="E46" i="21" s="1"/>
  <c r="E47" i="21" s="1"/>
  <c r="D57" i="21"/>
  <c r="E57" i="21" s="1"/>
  <c r="E58" i="21" s="1"/>
  <c r="E29" i="24"/>
  <c r="F29" i="24" s="1"/>
  <c r="E46" i="24"/>
  <c r="F46" i="24" s="1"/>
  <c r="E231" i="24"/>
  <c r="F231" i="24" s="1"/>
  <c r="E219" i="24"/>
  <c r="F219" i="24" s="1"/>
  <c r="E207" i="24"/>
  <c r="F207" i="24" s="1"/>
  <c r="E195" i="24"/>
  <c r="F195" i="24" s="1"/>
  <c r="E183" i="24"/>
  <c r="F183" i="24" s="1"/>
  <c r="E171" i="24"/>
  <c r="F171" i="24" s="1"/>
  <c r="E158" i="24"/>
  <c r="F158" i="24" s="1"/>
  <c r="E247" i="24"/>
  <c r="F247" i="24" s="1"/>
  <c r="E241" i="24"/>
  <c r="F241" i="24" s="1"/>
  <c r="E225" i="24"/>
  <c r="F225" i="24" s="1"/>
  <c r="E213" i="24"/>
  <c r="F213" i="24" s="1"/>
  <c r="E201" i="24"/>
  <c r="F201" i="24" s="1"/>
  <c r="E189" i="24"/>
  <c r="F189" i="24" s="1"/>
  <c r="E177" i="24"/>
  <c r="F177" i="24" s="1"/>
  <c r="E164" i="24"/>
  <c r="F164" i="24" s="1"/>
  <c r="E152" i="24"/>
  <c r="F152" i="24" s="1"/>
  <c r="F78" i="24"/>
  <c r="F79" i="24" s="1"/>
  <c r="F123" i="24"/>
  <c r="E28" i="24"/>
  <c r="F28" i="24" s="1"/>
  <c r="E45" i="24"/>
  <c r="F45" i="24" s="1"/>
  <c r="E232" i="24"/>
  <c r="F232" i="24" s="1"/>
  <c r="E220" i="24"/>
  <c r="F220" i="24" s="1"/>
  <c r="E208" i="24"/>
  <c r="F208" i="24" s="1"/>
  <c r="E196" i="24"/>
  <c r="F196" i="24" s="1"/>
  <c r="E184" i="24"/>
  <c r="F184" i="24" s="1"/>
  <c r="E172" i="24"/>
  <c r="F172" i="24" s="1"/>
  <c r="E159" i="24"/>
  <c r="F159" i="24" s="1"/>
  <c r="E226" i="24"/>
  <c r="F226" i="24" s="1"/>
  <c r="E214" i="24"/>
  <c r="F214" i="24" s="1"/>
  <c r="E202" i="24"/>
  <c r="F202" i="24" s="1"/>
  <c r="E190" i="24"/>
  <c r="F190" i="24" s="1"/>
  <c r="E178" i="24"/>
  <c r="F178" i="24" s="1"/>
  <c r="E165" i="24"/>
  <c r="F165" i="24" s="1"/>
  <c r="E153" i="24"/>
  <c r="E130" i="24"/>
  <c r="F130" i="24" s="1"/>
  <c r="E122" i="24"/>
  <c r="F122" i="24" s="1"/>
  <c r="F131" i="24"/>
  <c r="I59" i="25"/>
  <c r="I56" i="25"/>
  <c r="I28" i="25"/>
  <c r="C23" i="1" s="1"/>
  <c r="F23" i="1" s="1"/>
  <c r="F28" i="26"/>
  <c r="I59" i="26" s="1"/>
  <c r="I26" i="27"/>
  <c r="C618" i="1" s="1"/>
  <c r="F618" i="1" s="1"/>
  <c r="E48" i="24"/>
  <c r="F48" i="24" s="1"/>
  <c r="I28" i="26"/>
  <c r="O28" i="26"/>
  <c r="L12" i="35"/>
  <c r="D32" i="39"/>
  <c r="E26" i="39"/>
  <c r="E28" i="39" s="1"/>
  <c r="D149" i="42"/>
  <c r="E149" i="42" s="1"/>
  <c r="E152" i="42" s="1"/>
  <c r="E143" i="42"/>
  <c r="E146" i="42" s="1"/>
  <c r="D278" i="42" s="1"/>
  <c r="E278" i="42" s="1"/>
  <c r="E87" i="24"/>
  <c r="F87" i="24" s="1"/>
  <c r="F141" i="24"/>
  <c r="F143" i="24" s="1"/>
  <c r="L28" i="26"/>
  <c r="L9" i="27"/>
  <c r="L26" i="27" s="1"/>
  <c r="I12" i="37"/>
  <c r="J12" i="37" s="1"/>
  <c r="E33" i="37"/>
  <c r="E10" i="39"/>
  <c r="D45" i="41"/>
  <c r="E45" i="41" s="1"/>
  <c r="E47" i="41" s="1"/>
  <c r="E33" i="41"/>
  <c r="E35" i="41" s="1"/>
  <c r="D74" i="42"/>
  <c r="E74" i="42" s="1"/>
  <c r="D32" i="42"/>
  <c r="E32" i="42" s="1"/>
  <c r="D157" i="42"/>
  <c r="E157" i="42" s="1"/>
  <c r="D41" i="42"/>
  <c r="E41" i="42" s="1"/>
  <c r="D156" i="42"/>
  <c r="E156" i="42" s="1"/>
  <c r="D33" i="42"/>
  <c r="E33" i="42" s="1"/>
  <c r="D42" i="42"/>
  <c r="E42" i="42" s="1"/>
  <c r="F8" i="29"/>
  <c r="F26" i="29" s="1"/>
  <c r="O8" i="29"/>
  <c r="O26" i="29" s="1"/>
  <c r="H9" i="29"/>
  <c r="I9" i="29" s="1"/>
  <c r="H10" i="29"/>
  <c r="I10" i="29" s="1"/>
  <c r="C36" i="29"/>
  <c r="F36" i="29" s="1"/>
  <c r="E26" i="30"/>
  <c r="F26" i="30" s="1"/>
  <c r="D38" i="41"/>
  <c r="E38" i="41" s="1"/>
  <c r="E41" i="41" s="1"/>
  <c r="D44" i="42"/>
  <c r="E44" i="42" s="1"/>
  <c r="D53" i="42"/>
  <c r="E53" i="42" s="1"/>
  <c r="E55" i="42" s="1"/>
  <c r="D67" i="42"/>
  <c r="E67" i="42" s="1"/>
  <c r="D114" i="42"/>
  <c r="E218" i="42"/>
  <c r="E425" i="42"/>
  <c r="E426" i="42" s="1"/>
  <c r="D253" i="42" s="1"/>
  <c r="E253" i="42" s="1"/>
  <c r="E421" i="42"/>
  <c r="E424" i="42" s="1"/>
  <c r="L8" i="29"/>
  <c r="E20" i="39"/>
  <c r="E22" i="39" s="1"/>
  <c r="E26" i="41"/>
  <c r="E28" i="41" s="1"/>
  <c r="D107" i="42"/>
  <c r="E107" i="42" s="1"/>
  <c r="D159" i="42"/>
  <c r="E159" i="42" s="1"/>
  <c r="E161" i="42" s="1"/>
  <c r="D34" i="42"/>
  <c r="E34" i="42" s="1"/>
  <c r="D35" i="42"/>
  <c r="E35" i="42" s="1"/>
  <c r="D75" i="42"/>
  <c r="E75" i="42" s="1"/>
  <c r="D76" i="42"/>
  <c r="E76" i="42" s="1"/>
  <c r="D99" i="42"/>
  <c r="E99" i="42" s="1"/>
  <c r="E305" i="42"/>
  <c r="E307" i="42" s="1"/>
  <c r="D332" i="42"/>
  <c r="E332" i="42" s="1"/>
  <c r="E333" i="42" s="1"/>
  <c r="E334" i="42" s="1"/>
  <c r="D339" i="42" s="1"/>
  <c r="E339" i="42" s="1"/>
  <c r="E340" i="42" s="1"/>
  <c r="E515" i="42"/>
  <c r="E517" i="42" s="1"/>
  <c r="E587" i="42"/>
  <c r="E588" i="42" s="1"/>
  <c r="D178" i="42"/>
  <c r="E178" i="42" s="1"/>
  <c r="E179" i="42" s="1"/>
  <c r="D185" i="42"/>
  <c r="E185" i="42" s="1"/>
  <c r="E186" i="42" s="1"/>
  <c r="D225" i="42" s="1"/>
  <c r="E225" i="42" s="1"/>
  <c r="D206" i="42"/>
  <c r="E206" i="42" s="1"/>
  <c r="E207" i="42" s="1"/>
  <c r="E208" i="42" s="1"/>
  <c r="D286" i="42"/>
  <c r="E286" i="42" s="1"/>
  <c r="E287" i="42" s="1"/>
  <c r="D191" i="42"/>
  <c r="E191" i="42" s="1"/>
  <c r="E192" i="42" s="1"/>
  <c r="D224" i="42" s="1"/>
  <c r="E224" i="42" s="1"/>
  <c r="D348" i="42"/>
  <c r="E348" i="42" s="1"/>
  <c r="E349" i="42" s="1"/>
  <c r="E351" i="42" s="1"/>
  <c r="E131" i="7"/>
  <c r="D143" i="7" s="1"/>
  <c r="D3" i="7"/>
  <c r="H28" i="7"/>
  <c r="I26" i="7" s="1"/>
  <c r="H83" i="7"/>
  <c r="D205" i="7"/>
  <c r="H205" i="7" s="1"/>
  <c r="J119" i="7"/>
  <c r="I14" i="7"/>
  <c r="H204" i="7"/>
  <c r="I34" i="7"/>
  <c r="H7" i="7"/>
  <c r="I3" i="7" s="1"/>
  <c r="I42" i="7"/>
  <c r="E591" i="18"/>
  <c r="F591" i="18" s="1"/>
  <c r="F592" i="18" s="1"/>
  <c r="G135" i="5"/>
  <c r="E1159" i="18" l="1"/>
  <c r="E260" i="19"/>
  <c r="E628" i="18"/>
  <c r="I60" i="28"/>
  <c r="F209" i="18"/>
  <c r="E557" i="42"/>
  <c r="D564" i="42" s="1"/>
  <c r="E564" i="42" s="1"/>
  <c r="E567" i="42" s="1"/>
  <c r="I58" i="28"/>
  <c r="I30" i="28"/>
  <c r="I32" i="28" s="1"/>
  <c r="D153" i="20"/>
  <c r="E153" i="20" s="1"/>
  <c r="E158" i="20" s="1"/>
  <c r="E159" i="20" s="1"/>
  <c r="D231" i="20" s="1"/>
  <c r="I59" i="28"/>
  <c r="E29" i="18"/>
  <c r="E38" i="18" s="1"/>
  <c r="F38" i="18" s="1"/>
  <c r="L26" i="29"/>
  <c r="F944" i="1"/>
  <c r="F692" i="2"/>
  <c r="F1092" i="2" s="1"/>
  <c r="F1093" i="2" s="1"/>
  <c r="F1100" i="2" s="1"/>
  <c r="E83" i="19"/>
  <c r="F83" i="19" s="1"/>
  <c r="E589" i="42"/>
  <c r="I81" i="7"/>
  <c r="I58" i="25"/>
  <c r="I60" i="25" s="1"/>
  <c r="E24" i="20"/>
  <c r="E27" i="20" s="1"/>
  <c r="D31" i="20" s="1"/>
  <c r="E31" i="20" s="1"/>
  <c r="E32" i="20" s="1"/>
  <c r="E34" i="20" s="1"/>
  <c r="E25" i="19"/>
  <c r="F25" i="19" s="1"/>
  <c r="E51" i="18"/>
  <c r="F51" i="18" s="1"/>
  <c r="F604" i="19"/>
  <c r="E61" i="19"/>
  <c r="F61" i="19" s="1"/>
  <c r="F65" i="19" s="1"/>
  <c r="F66" i="19" s="1"/>
  <c r="E202" i="19" s="1"/>
  <c r="F202" i="19" s="1"/>
  <c r="F205" i="19" s="1"/>
  <c r="E1076" i="18"/>
  <c r="F1076" i="18" s="1"/>
  <c r="E34" i="19"/>
  <c r="E43" i="19" s="1"/>
  <c r="F43" i="19" s="1"/>
  <c r="E52" i="19"/>
  <c r="F52" i="19" s="1"/>
  <c r="G1297" i="18"/>
  <c r="F483" i="19"/>
  <c r="F537" i="19"/>
  <c r="F539" i="19" s="1"/>
  <c r="C846" i="1"/>
  <c r="F846" i="1" s="1"/>
  <c r="C938" i="1"/>
  <c r="F938" i="1" s="1"/>
  <c r="I30" i="26"/>
  <c r="I32" i="26" s="1"/>
  <c r="C120" i="7"/>
  <c r="I58" i="26"/>
  <c r="I61" i="26"/>
  <c r="I60" i="26"/>
  <c r="F132" i="24"/>
  <c r="C18" i="1"/>
  <c r="F18" i="1" s="1"/>
  <c r="C19" i="1"/>
  <c r="I26" i="29"/>
  <c r="E176" i="20"/>
  <c r="F875" i="18"/>
  <c r="F876" i="18" s="1"/>
  <c r="F500" i="19"/>
  <c r="E226" i="42"/>
  <c r="E227" i="42" s="1"/>
  <c r="G144" i="22"/>
  <c r="H144" i="22" s="1"/>
  <c r="H145" i="22" s="1"/>
  <c r="G112" i="22"/>
  <c r="H112" i="22" s="1"/>
  <c r="H113" i="22" s="1"/>
  <c r="G80" i="22"/>
  <c r="H80" i="22" s="1"/>
  <c r="H81" i="22" s="1"/>
  <c r="G46" i="22"/>
  <c r="H46" i="22" s="1"/>
  <c r="H47" i="22" s="1"/>
  <c r="G136" i="22"/>
  <c r="H136" i="22" s="1"/>
  <c r="H137" i="22" s="1"/>
  <c r="G72" i="22"/>
  <c r="H72" i="22" s="1"/>
  <c r="H73" i="22" s="1"/>
  <c r="D284" i="20"/>
  <c r="D214" i="20"/>
  <c r="E573" i="19"/>
  <c r="F573" i="19" s="1"/>
  <c r="F509" i="19"/>
  <c r="E575" i="19" s="1"/>
  <c r="F575" i="19" s="1"/>
  <c r="D503" i="20"/>
  <c r="D446" i="20"/>
  <c r="E446" i="20" s="1"/>
  <c r="F1106" i="2"/>
  <c r="F1104" i="2"/>
  <c r="F1096" i="2"/>
  <c r="I59" i="29"/>
  <c r="I57" i="29"/>
  <c r="I58" i="29"/>
  <c r="I56" i="29"/>
  <c r="E82" i="24"/>
  <c r="F82" i="24" s="1"/>
  <c r="F88" i="24" s="1"/>
  <c r="E91" i="24"/>
  <c r="F91" i="24" s="1"/>
  <c r="F95" i="24" s="1"/>
  <c r="G128" i="22"/>
  <c r="H128" i="22" s="1"/>
  <c r="H129" i="22" s="1"/>
  <c r="G96" i="22"/>
  <c r="H96" i="22" s="1"/>
  <c r="H97" i="22" s="1"/>
  <c r="G63" i="22"/>
  <c r="H63" i="22" s="1"/>
  <c r="H64" i="22" s="1"/>
  <c r="G8" i="22"/>
  <c r="H8" i="22" s="1"/>
  <c r="H9" i="22" s="1"/>
  <c r="D471" i="20"/>
  <c r="E467" i="20"/>
  <c r="G154" i="22"/>
  <c r="H154" i="22" s="1"/>
  <c r="H155" i="22" s="1"/>
  <c r="G120" i="22"/>
  <c r="H120" i="22" s="1"/>
  <c r="H121" i="22" s="1"/>
  <c r="G88" i="22"/>
  <c r="H88" i="22" s="1"/>
  <c r="H89" i="22" s="1"/>
  <c r="F1203" i="18"/>
  <c r="F1268" i="18" s="1"/>
  <c r="G1268" i="18" s="1"/>
  <c r="F1266" i="18"/>
  <c r="G1266" i="18" s="1"/>
  <c r="E114" i="42"/>
  <c r="D122" i="42"/>
  <c r="E56" i="42"/>
  <c r="E46" i="42"/>
  <c r="E47" i="42" s="1"/>
  <c r="D277" i="42" s="1"/>
  <c r="E277" i="42" s="1"/>
  <c r="E280" i="42" s="1"/>
  <c r="E281" i="42" s="1"/>
  <c r="E289" i="42" s="1"/>
  <c r="E296" i="42" s="1"/>
  <c r="E37" i="42"/>
  <c r="E38" i="42" s="1"/>
  <c r="D233" i="42"/>
  <c r="E233" i="42" s="1"/>
  <c r="D169" i="42"/>
  <c r="E169" i="42" s="1"/>
  <c r="D238" i="42"/>
  <c r="E238" i="42" s="1"/>
  <c r="E32" i="39"/>
  <c r="E34" i="39" s="1"/>
  <c r="D38" i="39"/>
  <c r="C940" i="1"/>
  <c r="F940" i="1" s="1"/>
  <c r="C848" i="1"/>
  <c r="F848" i="1" s="1"/>
  <c r="C936" i="1"/>
  <c r="F936" i="1" s="1"/>
  <c r="C843" i="1"/>
  <c r="F843" i="1" s="1"/>
  <c r="I30" i="25"/>
  <c r="C24" i="1" s="1"/>
  <c r="F24" i="1" s="1"/>
  <c r="E248" i="24"/>
  <c r="F248" i="24" s="1"/>
  <c r="E242" i="24"/>
  <c r="F242" i="24" s="1"/>
  <c r="F244" i="24" s="1"/>
  <c r="F153" i="24"/>
  <c r="F155" i="24" s="1"/>
  <c r="F50" i="24"/>
  <c r="F51" i="24" s="1"/>
  <c r="F167" i="24"/>
  <c r="F192" i="24"/>
  <c r="F216" i="24"/>
  <c r="F161" i="24"/>
  <c r="F186" i="24"/>
  <c r="F210" i="24"/>
  <c r="F234" i="24"/>
  <c r="E60" i="21"/>
  <c r="G55" i="22"/>
  <c r="H55" i="22" s="1"/>
  <c r="H56" i="22" s="1"/>
  <c r="E112" i="19"/>
  <c r="F112" i="19" s="1"/>
  <c r="F101" i="19"/>
  <c r="F79" i="19"/>
  <c r="F80" i="19" s="1"/>
  <c r="E44" i="19"/>
  <c r="F44" i="19" s="1"/>
  <c r="F35" i="19"/>
  <c r="G104" i="22"/>
  <c r="H104" i="22" s="1"/>
  <c r="H105" i="22" s="1"/>
  <c r="G20" i="22"/>
  <c r="H20" i="22" s="1"/>
  <c r="H21" i="22" s="1"/>
  <c r="D513" i="20"/>
  <c r="E513" i="20" s="1"/>
  <c r="E447" i="20"/>
  <c r="E177" i="20"/>
  <c r="D553" i="20" s="1"/>
  <c r="F541" i="19"/>
  <c r="F429" i="19"/>
  <c r="F887" i="18"/>
  <c r="F888" i="18" s="1"/>
  <c r="E297" i="19"/>
  <c r="F253" i="19"/>
  <c r="F87" i="19"/>
  <c r="F88" i="19" s="1"/>
  <c r="F29" i="19"/>
  <c r="F30" i="19" s="1"/>
  <c r="E42" i="19"/>
  <c r="F42" i="19" s="1"/>
  <c r="F33" i="19"/>
  <c r="F151" i="19"/>
  <c r="F152" i="19" s="1"/>
  <c r="E905" i="18"/>
  <c r="F893" i="18"/>
  <c r="F899" i="18" s="1"/>
  <c r="F900" i="18" s="1"/>
  <c r="E1161" i="18"/>
  <c r="F1161" i="18" s="1"/>
  <c r="F1160" i="18"/>
  <c r="E654" i="18"/>
  <c r="F87" i="18"/>
  <c r="F75" i="18"/>
  <c r="E1047" i="18"/>
  <c r="F1041" i="18"/>
  <c r="F211" i="18"/>
  <c r="E642" i="18"/>
  <c r="E615" i="18"/>
  <c r="F615" i="18" s="1"/>
  <c r="F617" i="18" s="1"/>
  <c r="F610" i="18"/>
  <c r="F217" i="18"/>
  <c r="E275" i="19"/>
  <c r="E247" i="19"/>
  <c r="L238" i="19"/>
  <c r="F237" i="19"/>
  <c r="E267" i="19"/>
  <c r="F34" i="19"/>
  <c r="E655" i="18"/>
  <c r="F621" i="18"/>
  <c r="E314" i="18"/>
  <c r="F309" i="18"/>
  <c r="F311" i="18" s="1"/>
  <c r="E128" i="1" s="1"/>
  <c r="F128" i="1" s="1"/>
  <c r="E40" i="18"/>
  <c r="F40" i="18" s="1"/>
  <c r="F31" i="18"/>
  <c r="F251" i="18"/>
  <c r="E237" i="18"/>
  <c r="F237" i="18" s="1"/>
  <c r="C320" i="1"/>
  <c r="F320" i="1" s="1"/>
  <c r="E160" i="1"/>
  <c r="F151" i="1"/>
  <c r="F83" i="18"/>
  <c r="F84" i="18" s="1"/>
  <c r="E162" i="42"/>
  <c r="D168" i="42" s="1"/>
  <c r="E168" i="42" s="1"/>
  <c r="E78" i="42"/>
  <c r="E79" i="42" s="1"/>
  <c r="E70" i="42"/>
  <c r="E71" i="42" s="1"/>
  <c r="I62" i="28"/>
  <c r="C937" i="1"/>
  <c r="C844" i="1"/>
  <c r="I58" i="27"/>
  <c r="I56" i="27"/>
  <c r="I28" i="27"/>
  <c r="C620" i="1" s="1"/>
  <c r="F620" i="1" s="1"/>
  <c r="I57" i="27"/>
  <c r="C615" i="1" s="1"/>
  <c r="F615" i="1" s="1"/>
  <c r="I59" i="27"/>
  <c r="F33" i="24"/>
  <c r="F34" i="24" s="1"/>
  <c r="F180" i="24"/>
  <c r="F204" i="24"/>
  <c r="F228" i="24"/>
  <c r="F250" i="24"/>
  <c r="F174" i="24"/>
  <c r="F198" i="24"/>
  <c r="F222" i="24"/>
  <c r="E45" i="19"/>
  <c r="F45" i="19" s="1"/>
  <c r="F36" i="19"/>
  <c r="E337" i="20"/>
  <c r="D346" i="20"/>
  <c r="E346" i="20" s="1"/>
  <c r="E411" i="20"/>
  <c r="E412" i="20" s="1"/>
  <c r="D418" i="20" s="1"/>
  <c r="E418" i="20" s="1"/>
  <c r="F260" i="19"/>
  <c r="E467" i="19"/>
  <c r="F467" i="19" s="1"/>
  <c r="F470" i="19" s="1"/>
  <c r="E317" i="19"/>
  <c r="F56" i="19"/>
  <c r="F57" i="19" s="1"/>
  <c r="E922" i="18"/>
  <c r="F922" i="18" s="1"/>
  <c r="F909" i="18"/>
  <c r="E921" i="18"/>
  <c r="F921" i="18" s="1"/>
  <c r="F908" i="18"/>
  <c r="E497" i="1"/>
  <c r="F497" i="1" s="1"/>
  <c r="E776" i="18"/>
  <c r="F776" i="18" s="1"/>
  <c r="F779" i="18" s="1"/>
  <c r="E681" i="18"/>
  <c r="F681" i="18" s="1"/>
  <c r="F628" i="18"/>
  <c r="E634" i="18"/>
  <c r="F634" i="18" s="1"/>
  <c r="F637" i="18" s="1"/>
  <c r="F627" i="18"/>
  <c r="F631" i="18" s="1"/>
  <c r="E1392" i="18"/>
  <c r="F1392" i="18" s="1"/>
  <c r="F1394" i="18" s="1"/>
  <c r="E1380" i="18"/>
  <c r="F1380" i="18" s="1"/>
  <c r="F1382" i="18" s="1"/>
  <c r="E1242" i="18"/>
  <c r="F1242" i="18" s="1"/>
  <c r="E1183" i="18"/>
  <c r="F1183" i="18" s="1"/>
  <c r="F1187" i="18" s="1"/>
  <c r="E1175" i="18"/>
  <c r="E1118" i="18"/>
  <c r="F1118" i="18" s="1"/>
  <c r="E1088" i="18"/>
  <c r="F1088" i="18" s="1"/>
  <c r="E1037" i="18"/>
  <c r="E1026" i="18"/>
  <c r="F1026" i="18" s="1"/>
  <c r="E856" i="18"/>
  <c r="F856" i="18" s="1"/>
  <c r="F858" i="18" s="1"/>
  <c r="E850" i="18"/>
  <c r="F850" i="18" s="1"/>
  <c r="F852" i="18" s="1"/>
  <c r="E839" i="18"/>
  <c r="F839" i="18" s="1"/>
  <c r="F840" i="18" s="1"/>
  <c r="E807" i="18"/>
  <c r="F807" i="18" s="1"/>
  <c r="F809" i="18" s="1"/>
  <c r="E796" i="18"/>
  <c r="F796" i="18" s="1"/>
  <c r="E559" i="18"/>
  <c r="F559" i="18" s="1"/>
  <c r="E227" i="18"/>
  <c r="F227" i="18" s="1"/>
  <c r="F229" i="18" s="1"/>
  <c r="E203" i="18"/>
  <c r="E191" i="18"/>
  <c r="F191" i="18" s="1"/>
  <c r="F193" i="18" s="1"/>
  <c r="E1386" i="18"/>
  <c r="F1386" i="18" s="1"/>
  <c r="F1388" i="18" s="1"/>
  <c r="E1372" i="18"/>
  <c r="F1372" i="18" s="1"/>
  <c r="F1373" i="18" s="1"/>
  <c r="E1366" i="18"/>
  <c r="F1366" i="18" s="1"/>
  <c r="F1368" i="18" s="1"/>
  <c r="F1369" i="18" s="1"/>
  <c r="E1360" i="18"/>
  <c r="F1360" i="18" s="1"/>
  <c r="F1362" i="18" s="1"/>
  <c r="F1363" i="18" s="1"/>
  <c r="E1337" i="18"/>
  <c r="F1337" i="18" s="1"/>
  <c r="F1339" i="18" s="1"/>
  <c r="E1325" i="18"/>
  <c r="F1325" i="18" s="1"/>
  <c r="F1326" i="18" s="1"/>
  <c r="C1328" i="18" s="1"/>
  <c r="E1318" i="18"/>
  <c r="F1318" i="18" s="1"/>
  <c r="F1320" i="18" s="1"/>
  <c r="C1322" i="18" s="1"/>
  <c r="E1306" i="18"/>
  <c r="F1306" i="18" s="1"/>
  <c r="F1308" i="18" s="1"/>
  <c r="E1310" i="18" s="1"/>
  <c r="F1310" i="18" s="1"/>
  <c r="F1313" i="18" s="1"/>
  <c r="E862" i="18"/>
  <c r="F862" i="18" s="1"/>
  <c r="F864" i="18" s="1"/>
  <c r="E844" i="18"/>
  <c r="F844" i="18" s="1"/>
  <c r="F846" i="18" s="1"/>
  <c r="E813" i="18"/>
  <c r="F813" i="18" s="1"/>
  <c r="F815" i="18" s="1"/>
  <c r="E801" i="18"/>
  <c r="F801" i="18" s="1"/>
  <c r="E791" i="18"/>
  <c r="F791" i="18" s="1"/>
  <c r="E1150" i="18" s="1"/>
  <c r="F1150" i="18" s="1"/>
  <c r="E611" i="18"/>
  <c r="E547" i="18"/>
  <c r="F547" i="18" s="1"/>
  <c r="E197" i="18"/>
  <c r="F197" i="18" s="1"/>
  <c r="F199" i="18" s="1"/>
  <c r="E179" i="18"/>
  <c r="F179" i="18" s="1"/>
  <c r="F181" i="18" s="1"/>
  <c r="E167" i="18"/>
  <c r="F167" i="18" s="1"/>
  <c r="F169" i="18" s="1"/>
  <c r="E155" i="18"/>
  <c r="F155" i="18" s="1"/>
  <c r="F157" i="18" s="1"/>
  <c r="E143" i="18"/>
  <c r="F143" i="18" s="1"/>
  <c r="F145" i="18" s="1"/>
  <c r="E131" i="18"/>
  <c r="F131" i="18" s="1"/>
  <c r="F133" i="18" s="1"/>
  <c r="E119" i="18"/>
  <c r="F119" i="18" s="1"/>
  <c r="F121" i="18" s="1"/>
  <c r="E107" i="18"/>
  <c r="F107" i="18" s="1"/>
  <c r="F109" i="18" s="1"/>
  <c r="E94" i="18"/>
  <c r="F94" i="18" s="1"/>
  <c r="F96" i="18" s="1"/>
  <c r="E88" i="18"/>
  <c r="F88" i="18" s="1"/>
  <c r="E185" i="18"/>
  <c r="F185" i="18" s="1"/>
  <c r="F187" i="18" s="1"/>
  <c r="E173" i="18"/>
  <c r="F173" i="18" s="1"/>
  <c r="F175" i="18" s="1"/>
  <c r="E161" i="18"/>
  <c r="F161" i="18" s="1"/>
  <c r="F163" i="18" s="1"/>
  <c r="E149" i="18"/>
  <c r="F149" i="18" s="1"/>
  <c r="F151" i="18" s="1"/>
  <c r="E137" i="18"/>
  <c r="F137" i="18" s="1"/>
  <c r="F139" i="18" s="1"/>
  <c r="E125" i="18"/>
  <c r="F125" i="18" s="1"/>
  <c r="F127" i="18" s="1"/>
  <c r="E113" i="18"/>
  <c r="F113" i="18" s="1"/>
  <c r="F115" i="18" s="1"/>
  <c r="E101" i="18"/>
  <c r="F101" i="18" s="1"/>
  <c r="E73" i="1" s="1"/>
  <c r="F73" i="1" s="1"/>
  <c r="E39" i="18"/>
  <c r="F39" i="18" s="1"/>
  <c r="F30" i="18"/>
  <c r="F29" i="18"/>
  <c r="F76" i="18"/>
  <c r="E534" i="18"/>
  <c r="F534" i="18" s="1"/>
  <c r="E1075" i="18"/>
  <c r="F1075" i="18" s="1"/>
  <c r="E50" i="18"/>
  <c r="F50" i="18" s="1"/>
  <c r="E28" i="18"/>
  <c r="E162" i="1"/>
  <c r="F153" i="1"/>
  <c r="E328" i="1"/>
  <c r="F309" i="1"/>
  <c r="E161" i="1"/>
  <c r="F152" i="1"/>
  <c r="I203" i="7"/>
  <c r="I28" i="29" l="1"/>
  <c r="I30" i="29" s="1"/>
  <c r="F1102" i="2"/>
  <c r="F1097" i="2"/>
  <c r="F1099" i="2"/>
  <c r="F1101" i="2"/>
  <c r="F1105" i="2"/>
  <c r="F1107" i="2"/>
  <c r="F1098" i="2"/>
  <c r="I30" i="27"/>
  <c r="I62" i="26"/>
  <c r="F19" i="1"/>
  <c r="C22" i="1"/>
  <c r="F22" i="1" s="1"/>
  <c r="F103" i="18"/>
  <c r="E1329" i="18"/>
  <c r="F1329" i="18" s="1"/>
  <c r="F1333" i="18" s="1"/>
  <c r="F1334" i="18" s="1"/>
  <c r="D167" i="42"/>
  <c r="E167" i="42" s="1"/>
  <c r="E173" i="42" s="1"/>
  <c r="E174" i="42" s="1"/>
  <c r="D130" i="42"/>
  <c r="E130" i="42" s="1"/>
  <c r="D113" i="42"/>
  <c r="E113" i="42" s="1"/>
  <c r="E118" i="42" s="1"/>
  <c r="D121" i="42"/>
  <c r="E121" i="42" s="1"/>
  <c r="E169" i="19"/>
  <c r="F169" i="19" s="1"/>
  <c r="E116" i="19"/>
  <c r="F116" i="19" s="1"/>
  <c r="F120" i="19" s="1"/>
  <c r="E157" i="19"/>
  <c r="F157" i="19" s="1"/>
  <c r="E107" i="19"/>
  <c r="F107" i="19" s="1"/>
  <c r="F113" i="19" s="1"/>
  <c r="D96" i="42"/>
  <c r="E96" i="42" s="1"/>
  <c r="E101" i="42" s="1"/>
  <c r="D262" i="42" s="1"/>
  <c r="E262" i="42" s="1"/>
  <c r="D137" i="42"/>
  <c r="E137" i="42" s="1"/>
  <c r="D104" i="42"/>
  <c r="E104" i="42" s="1"/>
  <c r="E110" i="42" s="1"/>
  <c r="D89" i="42"/>
  <c r="E89" i="42" s="1"/>
  <c r="E93" i="42" s="1"/>
  <c r="D444" i="42" s="1"/>
  <c r="E444" i="42" s="1"/>
  <c r="D82" i="42"/>
  <c r="E82" i="42" s="1"/>
  <c r="E86" i="42" s="1"/>
  <c r="D443" i="42" s="1"/>
  <c r="E443" i="42" s="1"/>
  <c r="E482" i="19"/>
  <c r="E236" i="19"/>
  <c r="D237" i="20"/>
  <c r="E231" i="20"/>
  <c r="E234" i="20" s="1"/>
  <c r="H158" i="22"/>
  <c r="E37" i="18"/>
  <c r="F37" i="18" s="1"/>
  <c r="F28" i="18"/>
  <c r="F1080" i="18"/>
  <c r="F1081" i="18" s="1"/>
  <c r="E820" i="18"/>
  <c r="F820" i="18" s="1"/>
  <c r="F822" i="18" s="1"/>
  <c r="E456" i="1" s="1"/>
  <c r="F456" i="1" s="1"/>
  <c r="E601" i="18"/>
  <c r="F601" i="18" s="1"/>
  <c r="F604" i="18" s="1"/>
  <c r="E371" i="1" s="1"/>
  <c r="F371" i="1" s="1"/>
  <c r="E568" i="18"/>
  <c r="F568" i="18" s="1"/>
  <c r="F570" i="18" s="1"/>
  <c r="E574" i="18"/>
  <c r="F574" i="18" s="1"/>
  <c r="E264" i="18"/>
  <c r="F264" i="18" s="1"/>
  <c r="F267" i="18" s="1"/>
  <c r="E257" i="18"/>
  <c r="F257" i="18" s="1"/>
  <c r="E248" i="18"/>
  <c r="F248" i="18" s="1"/>
  <c r="E643" i="18"/>
  <c r="F611" i="18"/>
  <c r="F612" i="18" s="1"/>
  <c r="E635" i="18"/>
  <c r="E297" i="18"/>
  <c r="E1042" i="18"/>
  <c r="F1037" i="18"/>
  <c r="F1038" i="18" s="1"/>
  <c r="E453" i="1"/>
  <c r="F453" i="1" s="1"/>
  <c r="E379" i="19"/>
  <c r="E186" i="19"/>
  <c r="F186" i="19" s="1"/>
  <c r="E326" i="19"/>
  <c r="F326" i="19" s="1"/>
  <c r="F317" i="19"/>
  <c r="E342" i="20"/>
  <c r="E343" i="20" s="1"/>
  <c r="I60" i="27"/>
  <c r="C616" i="1"/>
  <c r="F844" i="1"/>
  <c r="C849" i="1"/>
  <c r="F849" i="1" s="1"/>
  <c r="C847" i="1"/>
  <c r="F847" i="1" s="1"/>
  <c r="E175" i="1"/>
  <c r="F160" i="1"/>
  <c r="E79" i="1"/>
  <c r="F79" i="1" s="1"/>
  <c r="F608" i="1" s="1"/>
  <c r="E83" i="1"/>
  <c r="F83" i="1" s="1"/>
  <c r="E474" i="19"/>
  <c r="F474" i="19" s="1"/>
  <c r="F476" i="19" s="1"/>
  <c r="E311" i="19"/>
  <c r="E286" i="19"/>
  <c r="F286" i="19" s="1"/>
  <c r="F267" i="19"/>
  <c r="L250" i="19"/>
  <c r="M238" i="19"/>
  <c r="E281" i="19"/>
  <c r="F281" i="19" s="1"/>
  <c r="F275" i="19"/>
  <c r="E648" i="18"/>
  <c r="F648" i="18" s="1"/>
  <c r="F642" i="18"/>
  <c r="E1053" i="18"/>
  <c r="F1047" i="18"/>
  <c r="F90" i="18"/>
  <c r="F38" i="19"/>
  <c r="F39" i="19" s="1"/>
  <c r="D570" i="20"/>
  <c r="E570" i="20" s="1"/>
  <c r="D555" i="20"/>
  <c r="E553" i="20"/>
  <c r="D395" i="42"/>
  <c r="E395" i="42" s="1"/>
  <c r="E397" i="42" s="1"/>
  <c r="E398" i="42" s="1"/>
  <c r="D232" i="42"/>
  <c r="E232" i="42" s="1"/>
  <c r="E234" i="42" s="1"/>
  <c r="D237" i="42"/>
  <c r="E237" i="42" s="1"/>
  <c r="E240" i="42" s="1"/>
  <c r="F1103" i="2"/>
  <c r="F1108" i="2" s="1"/>
  <c r="F1110" i="2" s="1"/>
  <c r="E448" i="20"/>
  <c r="D454" i="20" s="1"/>
  <c r="E454" i="20" s="1"/>
  <c r="D220" i="20"/>
  <c r="E214" i="20"/>
  <c r="E217" i="20" s="1"/>
  <c r="E176" i="1"/>
  <c r="F161" i="1"/>
  <c r="F328" i="1"/>
  <c r="E364" i="1"/>
  <c r="E177" i="1"/>
  <c r="F162" i="1"/>
  <c r="F55" i="18"/>
  <c r="F56" i="18" s="1"/>
  <c r="E582" i="18" s="1"/>
  <c r="F582" i="18" s="1"/>
  <c r="F585" i="18" s="1"/>
  <c r="F539" i="18"/>
  <c r="F540" i="18" s="1"/>
  <c r="E221" i="18"/>
  <c r="F221" i="18" s="1"/>
  <c r="F223" i="18" s="1"/>
  <c r="F203" i="18"/>
  <c r="F205" i="18" s="1"/>
  <c r="E1210" i="18"/>
  <c r="F1210" i="18" s="1"/>
  <c r="F1211" i="18" s="1"/>
  <c r="F1175" i="18"/>
  <c r="F1177" i="18" s="1"/>
  <c r="E1162" i="18" s="1"/>
  <c r="F1162" i="18" s="1"/>
  <c r="E227" i="19"/>
  <c r="F227" i="19" s="1"/>
  <c r="F230" i="19" s="1"/>
  <c r="E194" i="19"/>
  <c r="F194" i="19" s="1"/>
  <c r="E180" i="19"/>
  <c r="F180" i="19" s="1"/>
  <c r="F182" i="19" s="1"/>
  <c r="E123" i="19"/>
  <c r="F123" i="19" s="1"/>
  <c r="F126" i="19" s="1"/>
  <c r="E98" i="19"/>
  <c r="F98" i="19" s="1"/>
  <c r="F103" i="19" s="1"/>
  <c r="D104" i="19" s="1"/>
  <c r="E91" i="19"/>
  <c r="F91" i="19" s="1"/>
  <c r="F95" i="19" s="1"/>
  <c r="E350" i="20"/>
  <c r="E351" i="20" s="1"/>
  <c r="C941" i="1"/>
  <c r="F941" i="1" s="1"/>
  <c r="C939" i="1"/>
  <c r="F939" i="1" s="1"/>
  <c r="F937" i="1"/>
  <c r="E1086" i="18"/>
  <c r="F1086" i="18" s="1"/>
  <c r="E557" i="18"/>
  <c r="F557" i="18" s="1"/>
  <c r="E232" i="18"/>
  <c r="F232" i="18" s="1"/>
  <c r="F238" i="18" s="1"/>
  <c r="E545" i="18"/>
  <c r="F545" i="18" s="1"/>
  <c r="E241" i="18"/>
  <c r="F241" i="18" s="1"/>
  <c r="F245" i="18" s="1"/>
  <c r="E320" i="18"/>
  <c r="F314" i="18"/>
  <c r="F317" i="18" s="1"/>
  <c r="E129" i="1" s="1"/>
  <c r="F129" i="1" s="1"/>
  <c r="E662" i="18"/>
  <c r="F662" i="18" s="1"/>
  <c r="F655" i="18"/>
  <c r="E291" i="19"/>
  <c r="F247" i="19"/>
  <c r="E661" i="18"/>
  <c r="F654" i="18"/>
  <c r="E918" i="18"/>
  <c r="F918" i="18" s="1"/>
  <c r="F905" i="18"/>
  <c r="E193" i="19"/>
  <c r="F193" i="19" s="1"/>
  <c r="E170" i="19"/>
  <c r="F170" i="19" s="1"/>
  <c r="E158" i="19"/>
  <c r="F158" i="19" s="1"/>
  <c r="F47" i="19"/>
  <c r="F48" i="19" s="1"/>
  <c r="E547" i="19" s="1"/>
  <c r="F547" i="19" s="1"/>
  <c r="F549" i="19" s="1"/>
  <c r="F550" i="19" s="1"/>
  <c r="F558" i="19" s="1"/>
  <c r="F566" i="19" s="1"/>
  <c r="E41" i="1" s="1"/>
  <c r="F41" i="1" s="1"/>
  <c r="E304" i="19"/>
  <c r="F304" i="19" s="1"/>
  <c r="F297" i="19"/>
  <c r="D44" i="39"/>
  <c r="E44" i="39" s="1"/>
  <c r="E46" i="39" s="1"/>
  <c r="E38" i="39"/>
  <c r="E40" i="39" s="1"/>
  <c r="D131" i="42"/>
  <c r="E122" i="42"/>
  <c r="G1269" i="18"/>
  <c r="G1270" i="18" s="1"/>
  <c r="G1299" i="18" s="1"/>
  <c r="D495" i="20"/>
  <c r="E471" i="20"/>
  <c r="I60" i="29"/>
  <c r="D517" i="20"/>
  <c r="E517" i="20" s="1"/>
  <c r="D512" i="20"/>
  <c r="E503" i="20"/>
  <c r="E507" i="20" s="1"/>
  <c r="B509" i="20" s="1"/>
  <c r="F576" i="19"/>
  <c r="F577" i="19" s="1"/>
  <c r="F606" i="19" s="1"/>
  <c r="D290" i="20"/>
  <c r="E290" i="20" s="1"/>
  <c r="E293" i="20" s="1"/>
  <c r="E284" i="20"/>
  <c r="E287" i="20" s="1"/>
  <c r="F57" i="1" l="1"/>
  <c r="F658" i="18"/>
  <c r="F969" i="1"/>
  <c r="D379" i="20"/>
  <c r="E379" i="20" s="1"/>
  <c r="E383" i="20" s="1"/>
  <c r="D557" i="20" s="1"/>
  <c r="D370" i="20"/>
  <c r="E370" i="20" s="1"/>
  <c r="E375" i="20" s="1"/>
  <c r="E558" i="18"/>
  <c r="F558" i="18" s="1"/>
  <c r="F563" i="18" s="1"/>
  <c r="E573" i="18"/>
  <c r="F573" i="18" s="1"/>
  <c r="E546" i="18"/>
  <c r="F546" i="18" s="1"/>
  <c r="F551" i="18" s="1"/>
  <c r="D386" i="20"/>
  <c r="E386" i="20" s="1"/>
  <c r="E389" i="20" s="1"/>
  <c r="D361" i="20"/>
  <c r="E361" i="20" s="1"/>
  <c r="E366" i="20" s="1"/>
  <c r="E367" i="20" s="1"/>
  <c r="D558" i="20" s="1"/>
  <c r="D354" i="20"/>
  <c r="E354" i="20" s="1"/>
  <c r="E358" i="20" s="1"/>
  <c r="D417" i="20"/>
  <c r="E417" i="20" s="1"/>
  <c r="E423" i="20" s="1"/>
  <c r="E1087" i="18"/>
  <c r="F1087" i="18" s="1"/>
  <c r="E1133" i="18"/>
  <c r="F1133" i="18" s="1"/>
  <c r="E1101" i="18"/>
  <c r="F1101" i="18" s="1"/>
  <c r="D526" i="20"/>
  <c r="E512" i="20"/>
  <c r="E514" i="20" s="1"/>
  <c r="B516" i="20" s="1"/>
  <c r="D520" i="20"/>
  <c r="E520" i="20" s="1"/>
  <c r="E495" i="20"/>
  <c r="E498" i="20" s="1"/>
  <c r="F911" i="18"/>
  <c r="F912" i="18" s="1"/>
  <c r="E341" i="19"/>
  <c r="F291" i="19"/>
  <c r="E328" i="18"/>
  <c r="F320" i="18"/>
  <c r="F323" i="18" s="1"/>
  <c r="E130" i="1" s="1"/>
  <c r="F130" i="1" s="1"/>
  <c r="F364" i="1"/>
  <c r="E460" i="1"/>
  <c r="D226" i="20"/>
  <c r="E226" i="20" s="1"/>
  <c r="E228" i="20" s="1"/>
  <c r="E220" i="20"/>
  <c r="E223" i="20" s="1"/>
  <c r="D439" i="42"/>
  <c r="E439" i="42" s="1"/>
  <c r="D258" i="42"/>
  <c r="E258" i="42" s="1"/>
  <c r="D245" i="42"/>
  <c r="E245" i="42" s="1"/>
  <c r="L265" i="19"/>
  <c r="M265" i="19" s="1"/>
  <c r="M266" i="19" s="1"/>
  <c r="M250" i="19"/>
  <c r="M258" i="19" s="1"/>
  <c r="E195" i="1"/>
  <c r="F175" i="1"/>
  <c r="F616" i="1"/>
  <c r="C621" i="1"/>
  <c r="F621" i="1" s="1"/>
  <c r="C619" i="1"/>
  <c r="F619" i="1" s="1"/>
  <c r="E669" i="18"/>
  <c r="F669" i="18" s="1"/>
  <c r="E310" i="18"/>
  <c r="F310" i="18" s="1"/>
  <c r="F297" i="18"/>
  <c r="E315" i="18"/>
  <c r="F253" i="18"/>
  <c r="E81" i="1"/>
  <c r="F81" i="1" s="1"/>
  <c r="E82" i="1"/>
  <c r="F82" i="1" s="1"/>
  <c r="E830" i="18"/>
  <c r="F830" i="18" s="1"/>
  <c r="E272" i="18"/>
  <c r="F272" i="18" s="1"/>
  <c r="E767" i="18"/>
  <c r="F767" i="18" s="1"/>
  <c r="E577" i="18"/>
  <c r="F577" i="18" s="1"/>
  <c r="E280" i="18"/>
  <c r="F280" i="18" s="1"/>
  <c r="F42" i="18"/>
  <c r="F43" i="18" s="1"/>
  <c r="E274" i="19"/>
  <c r="E246" i="19"/>
  <c r="F236" i="19"/>
  <c r="F238" i="19" s="1"/>
  <c r="E241" i="19"/>
  <c r="F241" i="19" s="1"/>
  <c r="F243" i="19" s="1"/>
  <c r="L237" i="19"/>
  <c r="M237" i="19" s="1"/>
  <c r="M239" i="19" s="1"/>
  <c r="F163" i="19"/>
  <c r="F175" i="19"/>
  <c r="D441" i="42"/>
  <c r="E441" i="42" s="1"/>
  <c r="D260" i="42"/>
  <c r="E260" i="42" s="1"/>
  <c r="D138" i="42"/>
  <c r="E138" i="42" s="1"/>
  <c r="E131" i="42"/>
  <c r="F924" i="18"/>
  <c r="F925" i="18" s="1"/>
  <c r="E668" i="18"/>
  <c r="F661" i="18"/>
  <c r="F665" i="18" s="1"/>
  <c r="E461" i="1"/>
  <c r="E365" i="1"/>
  <c r="F365" i="1" s="1"/>
  <c r="F1092" i="18"/>
  <c r="F1093" i="18" s="1"/>
  <c r="F1094" i="18" s="1"/>
  <c r="E398" i="19"/>
  <c r="E209" i="19"/>
  <c r="F209" i="19" s="1"/>
  <c r="E458" i="19"/>
  <c r="F458" i="19" s="1"/>
  <c r="E210" i="19"/>
  <c r="F210" i="19" s="1"/>
  <c r="E197" i="19"/>
  <c r="F197" i="19" s="1"/>
  <c r="F199" i="19" s="1"/>
  <c r="E189" i="19"/>
  <c r="F189" i="19" s="1"/>
  <c r="F190" i="19" s="1"/>
  <c r="F191" i="19" s="1"/>
  <c r="E197" i="1"/>
  <c r="F177" i="1"/>
  <c r="E196" i="1"/>
  <c r="F176" i="1"/>
  <c r="D438" i="42"/>
  <c r="E438" i="42" s="1"/>
  <c r="D257" i="42"/>
  <c r="E257" i="42" s="1"/>
  <c r="D244" i="42"/>
  <c r="E244" i="42" s="1"/>
  <c r="E248" i="42" s="1"/>
  <c r="D572" i="20"/>
  <c r="E572" i="20" s="1"/>
  <c r="E555" i="20"/>
  <c r="E1059" i="18"/>
  <c r="F1053" i="18"/>
  <c r="E380" i="19"/>
  <c r="E333" i="19"/>
  <c r="F333" i="19" s="1"/>
  <c r="F311" i="19"/>
  <c r="F927" i="1"/>
  <c r="E433" i="19"/>
  <c r="F379" i="19"/>
  <c r="E1048" i="18"/>
  <c r="F1042" i="18"/>
  <c r="F1044" i="18" s="1"/>
  <c r="F635" i="18"/>
  <c r="E783" i="18"/>
  <c r="F783" i="18" s="1"/>
  <c r="F785" i="18" s="1"/>
  <c r="E675" i="18"/>
  <c r="E649" i="18"/>
  <c r="F649" i="18" s="1"/>
  <c r="F650" i="18" s="1"/>
  <c r="F643" i="18"/>
  <c r="F644" i="18" s="1"/>
  <c r="F261" i="18"/>
  <c r="E90" i="1"/>
  <c r="F90" i="1" s="1"/>
  <c r="F33" i="18"/>
  <c r="F34" i="18" s="1"/>
  <c r="D244" i="20"/>
  <c r="E237" i="20"/>
  <c r="E241" i="20" s="1"/>
  <c r="E499" i="19"/>
  <c r="F482" i="19"/>
  <c r="F484" i="19" s="1"/>
  <c r="E140" i="42"/>
  <c r="E127" i="42"/>
  <c r="E134" i="42"/>
  <c r="E277" i="18" l="1"/>
  <c r="F277" i="18" s="1"/>
  <c r="F281" i="18" s="1"/>
  <c r="F282" i="18" s="1"/>
  <c r="E330" i="1" s="1"/>
  <c r="F330" i="1" s="1"/>
  <c r="E827" i="18"/>
  <c r="F827" i="18" s="1"/>
  <c r="F831" i="18" s="1"/>
  <c r="F832" i="18" s="1"/>
  <c r="E470" i="1" s="1"/>
  <c r="F470" i="1" s="1"/>
  <c r="E790" i="18"/>
  <c r="D446" i="42"/>
  <c r="E446" i="42" s="1"/>
  <c r="D264" i="42"/>
  <c r="E264" i="42" s="1"/>
  <c r="E515" i="19"/>
  <c r="F515" i="19" s="1"/>
  <c r="F517" i="19" s="1"/>
  <c r="F499" i="19"/>
  <c r="F501" i="19" s="1"/>
  <c r="D309" i="20"/>
  <c r="D258" i="20"/>
  <c r="D251" i="20"/>
  <c r="E251" i="20" s="1"/>
  <c r="E255" i="20" s="1"/>
  <c r="E244" i="20"/>
  <c r="E248" i="20" s="1"/>
  <c r="E689" i="18"/>
  <c r="F675" i="18"/>
  <c r="E1054" i="18"/>
  <c r="F1048" i="18"/>
  <c r="F1050" i="18" s="1"/>
  <c r="E499" i="1" s="1"/>
  <c r="F499" i="1" s="1"/>
  <c r="E443" i="19"/>
  <c r="F433" i="19"/>
  <c r="E434" i="19"/>
  <c r="F380" i="19"/>
  <c r="F381" i="19" s="1"/>
  <c r="E387" i="19" s="1"/>
  <c r="F387" i="19" s="1"/>
  <c r="E212" i="1"/>
  <c r="E205" i="1"/>
  <c r="F205" i="1" s="1"/>
  <c r="F196" i="1"/>
  <c r="E213" i="1"/>
  <c r="F197" i="1"/>
  <c r="E457" i="19"/>
  <c r="F457" i="19" s="1"/>
  <c r="F398" i="19"/>
  <c r="E388" i="19"/>
  <c r="F388" i="19" s="1"/>
  <c r="E208" i="19"/>
  <c r="F208" i="19" s="1"/>
  <c r="F211" i="19" s="1"/>
  <c r="F164" i="19"/>
  <c r="E259" i="19"/>
  <c r="E252" i="19"/>
  <c r="F252" i="19" s="1"/>
  <c r="F256" i="19" s="1"/>
  <c r="F246" i="19"/>
  <c r="F249" i="19" s="1"/>
  <c r="E321" i="18"/>
  <c r="F315" i="18"/>
  <c r="E360" i="1"/>
  <c r="F360" i="1" s="1"/>
  <c r="D537" i="20"/>
  <c r="E537" i="20" s="1"/>
  <c r="E526" i="20"/>
  <c r="E530" i="20" s="1"/>
  <c r="B532" i="20" s="1"/>
  <c r="D455" i="20"/>
  <c r="E455" i="20" s="1"/>
  <c r="B424" i="20"/>
  <c r="D554" i="20" s="1"/>
  <c r="D575" i="20"/>
  <c r="E575" i="20" s="1"/>
  <c r="E558" i="20"/>
  <c r="D574" i="20"/>
  <c r="E574" i="20" s="1"/>
  <c r="E557" i="20"/>
  <c r="D445" i="42"/>
  <c r="E445" i="42" s="1"/>
  <c r="D263" i="42"/>
  <c r="E263" i="42" s="1"/>
  <c r="E271" i="18"/>
  <c r="F271" i="18" s="1"/>
  <c r="E707" i="18"/>
  <c r="E94" i="1"/>
  <c r="F94" i="1" s="1"/>
  <c r="E1064" i="18"/>
  <c r="F1064" i="18" s="1"/>
  <c r="F1059" i="18"/>
  <c r="F461" i="1"/>
  <c r="E509" i="1"/>
  <c r="F509" i="1" s="1"/>
  <c r="E674" i="18"/>
  <c r="F668" i="18"/>
  <c r="F671" i="18" s="1"/>
  <c r="E280" i="19"/>
  <c r="F274" i="19"/>
  <c r="F276" i="19" s="1"/>
  <c r="F254" i="18"/>
  <c r="E87" i="1" s="1"/>
  <c r="F87" i="1" s="1"/>
  <c r="D254" i="18"/>
  <c r="E1027" i="18" s="1"/>
  <c r="F1027" i="18" s="1"/>
  <c r="E86" i="1"/>
  <c r="F86" i="1" s="1"/>
  <c r="F646" i="1"/>
  <c r="F976" i="1" s="1"/>
  <c r="F977" i="1" s="1"/>
  <c r="E211" i="1"/>
  <c r="E204" i="1"/>
  <c r="F204" i="1" s="1"/>
  <c r="F195" i="1"/>
  <c r="E506" i="1"/>
  <c r="F506" i="1" s="1"/>
  <c r="F460" i="1"/>
  <c r="E697" i="18"/>
  <c r="F697" i="18" s="1"/>
  <c r="F552" i="18"/>
  <c r="E335" i="18"/>
  <c r="F328" i="18"/>
  <c r="F330" i="18" s="1"/>
  <c r="E148" i="1" s="1"/>
  <c r="F148" i="1" s="1"/>
  <c r="E347" i="19"/>
  <c r="F341" i="19"/>
  <c r="D559" i="20"/>
  <c r="D518" i="20"/>
  <c r="E518" i="20" s="1"/>
  <c r="D465" i="20"/>
  <c r="E465" i="20" s="1"/>
  <c r="D519" i="20"/>
  <c r="D560" i="20"/>
  <c r="F579" i="18"/>
  <c r="D556" i="20"/>
  <c r="E376" i="20"/>
  <c r="F404" i="19" l="1"/>
  <c r="F405" i="19" s="1"/>
  <c r="E271" i="42"/>
  <c r="E449" i="42"/>
  <c r="E452" i="42" s="1"/>
  <c r="D573" i="20"/>
  <c r="E573" i="20" s="1"/>
  <c r="E556" i="20"/>
  <c r="D577" i="20"/>
  <c r="E577" i="20" s="1"/>
  <c r="E560" i="20"/>
  <c r="D576" i="20"/>
  <c r="E576" i="20" s="1"/>
  <c r="E559" i="20"/>
  <c r="E352" i="19"/>
  <c r="F347" i="19"/>
  <c r="E359" i="18"/>
  <c r="F359" i="18" s="1"/>
  <c r="F361" i="18" s="1"/>
  <c r="E342" i="18"/>
  <c r="F335" i="18"/>
  <c r="F337" i="18" s="1"/>
  <c r="E157" i="1" s="1"/>
  <c r="F157" i="1" s="1"/>
  <c r="F988" i="1"/>
  <c r="F986" i="1"/>
  <c r="F984" i="1"/>
  <c r="F982" i="1"/>
  <c r="F980" i="1"/>
  <c r="F987" i="1"/>
  <c r="F983" i="1"/>
  <c r="F981" i="1"/>
  <c r="F979" i="1"/>
  <c r="E1134" i="18"/>
  <c r="F1134" i="18" s="1"/>
  <c r="E1102" i="18"/>
  <c r="F1102" i="18" s="1"/>
  <c r="E472" i="20"/>
  <c r="E473" i="20" s="1"/>
  <c r="E266" i="19"/>
  <c r="F266" i="19" s="1"/>
  <c r="F269" i="19" s="1"/>
  <c r="F259" i="19"/>
  <c r="F263" i="19" s="1"/>
  <c r="E224" i="1"/>
  <c r="F212" i="1"/>
  <c r="E444" i="19"/>
  <c r="F434" i="19"/>
  <c r="F436" i="19" s="1"/>
  <c r="E438" i="19" s="1"/>
  <c r="F438" i="19" s="1"/>
  <c r="F439" i="19" s="1"/>
  <c r="E451" i="19"/>
  <c r="F451" i="19" s="1"/>
  <c r="F443" i="19"/>
  <c r="E1060" i="18"/>
  <c r="F1054" i="18"/>
  <c r="F1056" i="18" s="1"/>
  <c r="E743" i="18"/>
  <c r="F689" i="18"/>
  <c r="F690" i="18" s="1"/>
  <c r="E696" i="18" s="1"/>
  <c r="F696" i="18" s="1"/>
  <c r="D324" i="20"/>
  <c r="D316" i="20"/>
  <c r="E316" i="20" s="1"/>
  <c r="E319" i="20" s="1"/>
  <c r="E309" i="20"/>
  <c r="E313" i="20" s="1"/>
  <c r="D302" i="20"/>
  <c r="E302" i="20" s="1"/>
  <c r="E306" i="20" s="1"/>
  <c r="D540" i="20"/>
  <c r="E540" i="20" s="1"/>
  <c r="E541" i="20" s="1"/>
  <c r="E519" i="20"/>
  <c r="E521" i="20" s="1"/>
  <c r="D522" i="20" s="1"/>
  <c r="E270" i="18"/>
  <c r="F270" i="18" s="1"/>
  <c r="F273" i="18" s="1"/>
  <c r="F1025" i="18"/>
  <c r="F1031" i="18" s="1"/>
  <c r="E361" i="1"/>
  <c r="E223" i="1"/>
  <c r="F211" i="1"/>
  <c r="E285" i="19"/>
  <c r="F280" i="19"/>
  <c r="F282" i="19" s="1"/>
  <c r="E680" i="18"/>
  <c r="F680" i="18" s="1"/>
  <c r="F684" i="18" s="1"/>
  <c r="F674" i="18"/>
  <c r="F677" i="18" s="1"/>
  <c r="F707" i="18"/>
  <c r="E766" i="18"/>
  <c r="F766" i="18" s="1"/>
  <c r="D571" i="20"/>
  <c r="E571" i="20" s="1"/>
  <c r="E554" i="20"/>
  <c r="E329" i="18"/>
  <c r="F321" i="18"/>
  <c r="E225" i="1"/>
  <c r="F213" i="1"/>
  <c r="D279" i="20"/>
  <c r="D270" i="20"/>
  <c r="E270" i="20" s="1"/>
  <c r="E273" i="20" s="1"/>
  <c r="E274" i="20" s="1"/>
  <c r="D264" i="20"/>
  <c r="E264" i="20" s="1"/>
  <c r="E267" i="20" s="1"/>
  <c r="E258" i="20"/>
  <c r="E261" i="20" s="1"/>
  <c r="E795" i="18"/>
  <c r="F790" i="18"/>
  <c r="F792" i="18" s="1"/>
  <c r="E451" i="42" l="1"/>
  <c r="E800" i="18"/>
  <c r="F800" i="18" s="1"/>
  <c r="F803" i="18" s="1"/>
  <c r="F795" i="18"/>
  <c r="F797" i="18" s="1"/>
  <c r="D296" i="20"/>
  <c r="E296" i="20" s="1"/>
  <c r="E299" i="20" s="1"/>
  <c r="E279" i="20"/>
  <c r="E281" i="20" s="1"/>
  <c r="E336" i="18"/>
  <c r="F329" i="18"/>
  <c r="D331" i="20"/>
  <c r="E331" i="20" s="1"/>
  <c r="E334" i="20" s="1"/>
  <c r="E324" i="20"/>
  <c r="E328" i="20" s="1"/>
  <c r="F743" i="18"/>
  <c r="F745" i="18" s="1"/>
  <c r="E747" i="18" s="1"/>
  <c r="F747" i="18" s="1"/>
  <c r="F748" i="18" s="1"/>
  <c r="E753" i="18"/>
  <c r="E1065" i="18"/>
  <c r="F1065" i="18" s="1"/>
  <c r="F1067" i="18" s="1"/>
  <c r="F1068" i="18" s="1"/>
  <c r="E511" i="1" s="1"/>
  <c r="F511" i="1" s="1"/>
  <c r="F1060" i="18"/>
  <c r="F1061" i="18" s="1"/>
  <c r="E452" i="19"/>
  <c r="F452" i="19" s="1"/>
  <c r="F453" i="19" s="1"/>
  <c r="C455" i="19" s="1"/>
  <c r="F444" i="19"/>
  <c r="F446" i="19" s="1"/>
  <c r="C448" i="19" s="1"/>
  <c r="F224" i="1"/>
  <c r="E236" i="1"/>
  <c r="F990" i="1"/>
  <c r="F992" i="1" s="1"/>
  <c r="F994" i="1" s="1"/>
  <c r="F985" i="1"/>
  <c r="E347" i="18"/>
  <c r="F342" i="18"/>
  <c r="F344" i="18" s="1"/>
  <c r="E169" i="1" s="1"/>
  <c r="F169" i="1" s="1"/>
  <c r="E366" i="18"/>
  <c r="E564" i="20"/>
  <c r="E451" i="1"/>
  <c r="F451" i="1" s="1"/>
  <c r="F225" i="1"/>
  <c r="E237" i="1"/>
  <c r="E296" i="19"/>
  <c r="F285" i="19"/>
  <c r="F287" i="19" s="1"/>
  <c r="F223" i="1"/>
  <c r="E235" i="1"/>
  <c r="F361" i="1"/>
  <c r="E502" i="1"/>
  <c r="F502" i="1" s="1"/>
  <c r="E370" i="1"/>
  <c r="F713" i="18"/>
  <c r="E360" i="19"/>
  <c r="F360" i="19" s="1"/>
  <c r="F352" i="19"/>
  <c r="E581" i="20"/>
  <c r="E466" i="1" l="1"/>
  <c r="F466" i="1" s="1"/>
  <c r="F370" i="1"/>
  <c r="E264" i="1"/>
  <c r="F235" i="1"/>
  <c r="E282" i="1"/>
  <c r="F237" i="1"/>
  <c r="E265" i="1"/>
  <c r="F236" i="1"/>
  <c r="E456" i="19"/>
  <c r="F456" i="19" s="1"/>
  <c r="F460" i="19" s="1"/>
  <c r="E461" i="19" s="1"/>
  <c r="E360" i="18"/>
  <c r="F360" i="18" s="1"/>
  <c r="E343" i="18"/>
  <c r="F336" i="18"/>
  <c r="E1132" i="18"/>
  <c r="F1132" i="18" s="1"/>
  <c r="F1138" i="18" s="1"/>
  <c r="E1100" i="18"/>
  <c r="F714" i="18"/>
  <c r="E303" i="19"/>
  <c r="F296" i="19"/>
  <c r="F300" i="19" s="1"/>
  <c r="E371" i="18"/>
  <c r="F371" i="18" s="1"/>
  <c r="F374" i="18" s="1"/>
  <c r="E192" i="1" s="1"/>
  <c r="F192" i="1" s="1"/>
  <c r="F366" i="18"/>
  <c r="F368" i="18" s="1"/>
  <c r="E191" i="1" s="1"/>
  <c r="F191" i="1" s="1"/>
  <c r="E379" i="18"/>
  <c r="E353" i="18"/>
  <c r="F353" i="18" s="1"/>
  <c r="F356" i="18" s="1"/>
  <c r="E171" i="1" s="1"/>
  <c r="F171" i="1" s="1"/>
  <c r="F347" i="18"/>
  <c r="F350" i="18" s="1"/>
  <c r="E170" i="1" s="1"/>
  <c r="F170" i="1" s="1"/>
  <c r="F753" i="18"/>
  <c r="F755" i="18" s="1"/>
  <c r="C757" i="18" s="1"/>
  <c r="E761" i="18"/>
  <c r="F761" i="18" s="1"/>
  <c r="F762" i="18" s="1"/>
  <c r="C764" i="18" s="1"/>
  <c r="E452" i="1"/>
  <c r="F452" i="1" s="1"/>
  <c r="E765" i="18" l="1"/>
  <c r="F765" i="18" s="1"/>
  <c r="F769" i="18" s="1"/>
  <c r="E770" i="18" s="1"/>
  <c r="E386" i="18"/>
  <c r="F379" i="18"/>
  <c r="F381" i="18" s="1"/>
  <c r="E201" i="1" s="1"/>
  <c r="F201" i="1" s="1"/>
  <c r="F303" i="19"/>
  <c r="F307" i="19" s="1"/>
  <c r="E290" i="19"/>
  <c r="E1116" i="18"/>
  <c r="F1116" i="18" s="1"/>
  <c r="F1122" i="18" s="1"/>
  <c r="F1100" i="18"/>
  <c r="F1106" i="18" s="1"/>
  <c r="F1107" i="18" s="1"/>
  <c r="E348" i="18"/>
  <c r="F343" i="18"/>
  <c r="E367" i="18"/>
  <c r="E281" i="1"/>
  <c r="E273" i="1"/>
  <c r="F273" i="1" s="1"/>
  <c r="F265" i="1"/>
  <c r="E292" i="1"/>
  <c r="F282" i="1"/>
  <c r="E280" i="1"/>
  <c r="E272" i="1"/>
  <c r="F272" i="1" s="1"/>
  <c r="F264" i="1"/>
  <c r="E290" i="1" l="1"/>
  <c r="F280" i="1"/>
  <c r="F292" i="1"/>
  <c r="E310" i="1"/>
  <c r="E372" i="18"/>
  <c r="F372" i="18" s="1"/>
  <c r="F367" i="18"/>
  <c r="E380" i="18"/>
  <c r="E354" i="18"/>
  <c r="F354" i="18" s="1"/>
  <c r="F348" i="18"/>
  <c r="F1123" i="18"/>
  <c r="F1126" i="18"/>
  <c r="F1127" i="18" s="1"/>
  <c r="F1124" i="18"/>
  <c r="F1125" i="18" s="1"/>
  <c r="E291" i="1"/>
  <c r="F281" i="1"/>
  <c r="E1155" i="18"/>
  <c r="F1155" i="18" s="1"/>
  <c r="E1154" i="18"/>
  <c r="F1154" i="18" s="1"/>
  <c r="E1153" i="18"/>
  <c r="F1153" i="18" s="1"/>
  <c r="F1108" i="18"/>
  <c r="E340" i="19"/>
  <c r="E310" i="19"/>
  <c r="F290" i="19"/>
  <c r="F293" i="19" s="1"/>
  <c r="E393" i="18"/>
  <c r="F386" i="18"/>
  <c r="F388" i="18" s="1"/>
  <c r="E208" i="1" s="1"/>
  <c r="F208" i="1" s="1"/>
  <c r="F1164" i="18" l="1"/>
  <c r="E332" i="19"/>
  <c r="F332" i="19" s="1"/>
  <c r="F335" i="19" s="1"/>
  <c r="E316" i="19"/>
  <c r="F310" i="19"/>
  <c r="F313" i="19" s="1"/>
  <c r="E465" i="1"/>
  <c r="F465" i="1" s="1"/>
  <c r="F310" i="1"/>
  <c r="E366" i="1"/>
  <c r="F366" i="1" s="1"/>
  <c r="E398" i="18"/>
  <c r="F393" i="18"/>
  <c r="F395" i="18" s="1"/>
  <c r="E217" i="1" s="1"/>
  <c r="F217" i="1" s="1"/>
  <c r="E346" i="19"/>
  <c r="F340" i="19"/>
  <c r="F343" i="19" s="1"/>
  <c r="F291" i="1"/>
  <c r="E308" i="1"/>
  <c r="F308" i="1" s="1"/>
  <c r="E387" i="18"/>
  <c r="F380" i="18"/>
  <c r="E307" i="1"/>
  <c r="F307" i="1" s="1"/>
  <c r="F290" i="1"/>
  <c r="E325" i="19" l="1"/>
  <c r="F325" i="19" s="1"/>
  <c r="F329" i="19" s="1"/>
  <c r="F316" i="19"/>
  <c r="F320" i="19" s="1"/>
  <c r="E394" i="18"/>
  <c r="F387" i="18"/>
  <c r="E351" i="19"/>
  <c r="F346" i="19"/>
  <c r="E404" i="18"/>
  <c r="F398" i="18"/>
  <c r="F401" i="18" s="1"/>
  <c r="E218" i="1" s="1"/>
  <c r="F218" i="1" s="1"/>
  <c r="E410" i="18" l="1"/>
  <c r="F404" i="18"/>
  <c r="F407" i="18" s="1"/>
  <c r="E219" i="1" s="1"/>
  <c r="F219" i="1" s="1"/>
  <c r="E359" i="19"/>
  <c r="F359" i="19" s="1"/>
  <c r="F361" i="19" s="1"/>
  <c r="F351" i="19"/>
  <c r="F354" i="19" s="1"/>
  <c r="E399" i="18"/>
  <c r="F394" i="18"/>
  <c r="F348" i="19"/>
  <c r="E405" i="18" l="1"/>
  <c r="F399" i="18"/>
  <c r="E418" i="18"/>
  <c r="F410" i="18"/>
  <c r="F413" i="18" s="1"/>
  <c r="E220" i="1" s="1"/>
  <c r="F220" i="1" s="1"/>
  <c r="E423" i="18" l="1"/>
  <c r="F418" i="18"/>
  <c r="F420" i="18" s="1"/>
  <c r="E231" i="1" s="1"/>
  <c r="F231" i="1" s="1"/>
  <c r="E411" i="18"/>
  <c r="F405" i="18"/>
  <c r="E419" i="18" l="1"/>
  <c r="F411" i="18"/>
  <c r="E431" i="18"/>
  <c r="F423" i="18"/>
  <c r="F426" i="18" s="1"/>
  <c r="E232" i="1" s="1"/>
  <c r="F232" i="1" s="1"/>
  <c r="E438" i="18" l="1"/>
  <c r="F431" i="18"/>
  <c r="F433" i="18" s="1"/>
  <c r="E261" i="1" s="1"/>
  <c r="F261" i="1" s="1"/>
  <c r="E424" i="18"/>
  <c r="F419" i="18"/>
  <c r="E432" i="18" l="1"/>
  <c r="F424" i="18"/>
  <c r="E446" i="18"/>
  <c r="F438" i="18"/>
  <c r="F440" i="18" s="1"/>
  <c r="E269" i="1" s="1"/>
  <c r="F269" i="1" s="1"/>
  <c r="E453" i="18" l="1"/>
  <c r="F446" i="18"/>
  <c r="F448" i="18" s="1"/>
  <c r="E277" i="1" s="1"/>
  <c r="F277" i="1" s="1"/>
  <c r="E439" i="18"/>
  <c r="F432" i="18"/>
  <c r="E447" i="18" l="1"/>
  <c r="F439" i="18"/>
  <c r="E458" i="18"/>
  <c r="F453" i="18"/>
  <c r="F455" i="18" s="1"/>
  <c r="E286" i="1" s="1"/>
  <c r="F286" i="1" s="1"/>
  <c r="E466" i="18" l="1"/>
  <c r="F458" i="18"/>
  <c r="F461" i="18" s="1"/>
  <c r="E287" i="1" s="1"/>
  <c r="F287" i="1" s="1"/>
  <c r="E454" i="18"/>
  <c r="F447" i="18"/>
  <c r="E459" i="18" l="1"/>
  <c r="F454" i="18"/>
  <c r="E473" i="18"/>
  <c r="F466" i="18"/>
  <c r="F468" i="18" s="1"/>
  <c r="E296" i="1" s="1"/>
  <c r="F296" i="1" s="1"/>
  <c r="E478" i="18" l="1"/>
  <c r="F473" i="18"/>
  <c r="F475" i="18" s="1"/>
  <c r="E303" i="1" s="1"/>
  <c r="F303" i="1" s="1"/>
  <c r="E464" i="1"/>
  <c r="F464" i="1" s="1"/>
  <c r="E467" i="18"/>
  <c r="F459" i="18"/>
  <c r="E474" i="18" l="1"/>
  <c r="F467" i="18"/>
  <c r="E486" i="18"/>
  <c r="F478" i="18"/>
  <c r="F481" i="18" s="1"/>
  <c r="E304" i="1" s="1"/>
  <c r="F304" i="1" s="1"/>
  <c r="E491" i="18" l="1"/>
  <c r="F491" i="18" s="1"/>
  <c r="F493" i="18" s="1"/>
  <c r="F486" i="18"/>
  <c r="F488" i="18" s="1"/>
  <c r="E351" i="1" s="1"/>
  <c r="F351" i="1" s="1"/>
  <c r="E497" i="18"/>
  <c r="E479" i="18"/>
  <c r="F479" i="18" s="1"/>
  <c r="F474" i="18"/>
  <c r="E487" i="18"/>
  <c r="E492" i="18" l="1"/>
  <c r="F492" i="18" s="1"/>
  <c r="F487" i="18"/>
  <c r="E498" i="18"/>
  <c r="E503" i="18"/>
  <c r="F497" i="18"/>
  <c r="F500" i="18" s="1"/>
  <c r="E353" i="1" s="1"/>
  <c r="F353" i="1" s="1"/>
  <c r="F503" i="18" l="1"/>
  <c r="F506" i="18" s="1"/>
  <c r="E354" i="1" s="1"/>
  <c r="F354" i="1" s="1"/>
  <c r="E285" i="18"/>
  <c r="E504" i="18"/>
  <c r="F498" i="18"/>
  <c r="F504" i="18" l="1"/>
  <c r="E286" i="18"/>
  <c r="F285" i="18"/>
  <c r="F288" i="18" s="1"/>
  <c r="E355" i="1" s="1"/>
  <c r="F355" i="1" s="1"/>
  <c r="E510" i="18"/>
  <c r="E516" i="18" l="1"/>
  <c r="F516" i="18" s="1"/>
  <c r="F519" i="18" s="1"/>
  <c r="E357" i="1" s="1"/>
  <c r="F357" i="1" s="1"/>
  <c r="F510" i="18"/>
  <c r="F513" i="18" s="1"/>
  <c r="E356" i="1" s="1"/>
  <c r="F356" i="1" s="1"/>
  <c r="F286" i="18"/>
  <c r="E511" i="18"/>
  <c r="E517" i="18" l="1"/>
  <c r="F517" i="18" s="1"/>
  <c r="F511" i="18"/>
</calcChain>
</file>

<file path=xl/comments1.xml><?xml version="1.0" encoding="utf-8"?>
<comments xmlns="http://schemas.openxmlformats.org/spreadsheetml/2006/main">
  <authors>
    <author>Arturo Emilio Ramírez Pérez</author>
  </authors>
  <commentList>
    <comment ref="E33" authorId="0" shapeId="0">
      <text>
        <r>
          <rPr>
            <b/>
            <sz val="9"/>
            <color indexed="81"/>
            <rFont val="Tahoma"/>
            <family val="2"/>
          </rPr>
          <t>Arturo Emilio Ramírez Pérez:</t>
        </r>
        <r>
          <rPr>
            <sz val="9"/>
            <color indexed="81"/>
            <rFont val="Tahoma"/>
            <family val="2"/>
          </rPr>
          <t xml:space="preserve">
Aumentado en un 15%</t>
        </r>
      </text>
    </comment>
    <comment ref="C48" authorId="0" shapeId="0">
      <text>
        <r>
          <rPr>
            <b/>
            <sz val="9"/>
            <color indexed="81"/>
            <rFont val="Tahoma"/>
            <family val="2"/>
          </rPr>
          <t>Arturo Emilio Ramírez Pérez:</t>
        </r>
        <r>
          <rPr>
            <sz val="9"/>
            <color indexed="81"/>
            <rFont val="Tahoma"/>
            <family val="2"/>
          </rPr>
          <t xml:space="preserve">
Las válvulas de desagüe</t>
        </r>
      </text>
    </comment>
    <comment ref="A786" authorId="0" shapeId="0">
      <text>
        <r>
          <rPr>
            <b/>
            <sz val="9"/>
            <color indexed="81"/>
            <rFont val="Tahoma"/>
            <family val="2"/>
          </rPr>
          <t>Arturo Emilio Ramírez Pérez:</t>
        </r>
        <r>
          <rPr>
            <sz val="9"/>
            <color indexed="81"/>
            <rFont val="Tahoma"/>
            <family val="2"/>
          </rPr>
          <t xml:space="preserve">
EL PRECIO ES PARA UNA DE 300 PSI</t>
        </r>
      </text>
    </comment>
    <comment ref="E787" authorId="0" shapeId="0">
      <text>
        <r>
          <rPr>
            <b/>
            <sz val="9"/>
            <color indexed="81"/>
            <rFont val="Tahoma"/>
            <family val="2"/>
          </rPr>
          <t>Arturo Emilio Ramírez Pérez:</t>
        </r>
        <r>
          <rPr>
            <sz val="9"/>
            <color indexed="81"/>
            <rFont val="Tahoma"/>
            <family val="2"/>
          </rPr>
          <t xml:space="preserve">
Se colocó el monto de 3"</t>
        </r>
      </text>
    </comment>
    <comment ref="E792" authorId="0"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10.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11.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2.xml><?xml version="1.0" encoding="utf-8"?>
<comments xmlns="http://schemas.openxmlformats.org/spreadsheetml/2006/main">
  <authors>
    <author>COSTOS</author>
    <author>Arturo Emilio Ramírez Pérez</author>
    <author>Leibnitz Gerardo Antonio Domínguez Dalmasi</author>
  </authors>
  <commentList>
    <comment ref="F9" authorId="0" shapeId="0">
      <text>
        <r>
          <rPr>
            <b/>
            <sz val="8"/>
            <color indexed="81"/>
            <rFont val="Tahoma"/>
            <family val="2"/>
          </rPr>
          <t>Depto. De Eval. De Costos de Obras 
Digitado por:
CLAUDIA DE LEON</t>
        </r>
      </text>
    </comment>
    <comment ref="C52" authorId="1" shapeId="0">
      <text>
        <r>
          <rPr>
            <b/>
            <sz val="9"/>
            <color indexed="81"/>
            <rFont val="Tahoma"/>
            <family val="2"/>
          </rPr>
          <t>Arturo Emilio Ramírez Pérez:</t>
        </r>
        <r>
          <rPr>
            <sz val="9"/>
            <color indexed="81"/>
            <rFont val="Tahoma"/>
            <family val="2"/>
          </rPr>
          <t xml:space="preserve">
Las válvulas de desagüe</t>
        </r>
      </text>
    </comment>
    <comment ref="C53" authorId="1" shapeId="0">
      <text>
        <r>
          <rPr>
            <b/>
            <sz val="9"/>
            <color indexed="81"/>
            <rFont val="Tahoma"/>
            <family val="2"/>
          </rPr>
          <t>Arturo Emilio Ramírez Pérez:</t>
        </r>
        <r>
          <rPr>
            <sz val="9"/>
            <color indexed="81"/>
            <rFont val="Tahoma"/>
            <family val="2"/>
          </rPr>
          <t xml:space="preserve">
Las válvulas de desagüe</t>
        </r>
      </text>
    </comment>
    <comment ref="C71" authorId="1" shapeId="0">
      <text>
        <r>
          <rPr>
            <b/>
            <sz val="9"/>
            <color indexed="81"/>
            <rFont val="Tahoma"/>
            <family val="2"/>
          </rPr>
          <t>Arturo Emilio Ramírez Pérez:</t>
        </r>
        <r>
          <rPr>
            <sz val="9"/>
            <color indexed="81"/>
            <rFont val="Tahoma"/>
            <family val="2"/>
          </rPr>
          <t xml:space="preserve">
Francisco Arturo Fabian debe darme ese dato
</t>
        </r>
      </text>
    </comment>
    <comment ref="C100" authorId="2" shapeId="0">
      <text>
        <r>
          <rPr>
            <b/>
            <sz val="9"/>
            <color indexed="81"/>
            <rFont val="Tahoma"/>
            <family val="2"/>
          </rPr>
          <t>VERIFICAR EN PLANO ANTERIOR</t>
        </r>
      </text>
    </comment>
    <comment ref="E126" authorId="1" shapeId="0">
      <text>
        <r>
          <rPr>
            <b/>
            <sz val="9"/>
            <color indexed="81"/>
            <rFont val="Tahoma"/>
            <family val="2"/>
          </rPr>
          <t>Arturo Emilio Ramírez Pérez:</t>
        </r>
        <r>
          <rPr>
            <sz val="9"/>
            <color indexed="81"/>
            <rFont val="Tahoma"/>
            <family val="2"/>
          </rPr>
          <t xml:space="preserve">
Debe ser mas cara. Corresponde a una 050X0.60 PP EL seybp</t>
        </r>
      </text>
    </comment>
    <comment ref="E144" authorId="1" shapeId="0">
      <text>
        <r>
          <rPr>
            <b/>
            <sz val="9"/>
            <color indexed="81"/>
            <rFont val="Tahoma"/>
            <family val="2"/>
          </rPr>
          <t>Arturo Emilio Ramírez Pérez:</t>
        </r>
        <r>
          <rPr>
            <sz val="9"/>
            <color indexed="81"/>
            <rFont val="Tahoma"/>
            <family val="2"/>
          </rPr>
          <t xml:space="preserve">
P. U. Sabana Grande de Boya</t>
        </r>
      </text>
    </comment>
    <comment ref="E155" authorId="1" shapeId="0">
      <text>
        <r>
          <rPr>
            <b/>
            <sz val="9"/>
            <color indexed="81"/>
            <rFont val="Tahoma"/>
            <family val="2"/>
          </rPr>
          <t>Arturo Emilio Ramírez Pérez:</t>
        </r>
        <r>
          <rPr>
            <sz val="9"/>
            <color indexed="81"/>
            <rFont val="Tahoma"/>
            <family val="2"/>
          </rPr>
          <t xml:space="preserve">
Rehabilitaciòn planta potabilizadora San Juan
</t>
        </r>
      </text>
    </comment>
    <comment ref="E156" authorId="1" shapeId="0">
      <text>
        <r>
          <rPr>
            <b/>
            <sz val="9"/>
            <color indexed="81"/>
            <rFont val="Tahoma"/>
            <family val="2"/>
          </rPr>
          <t>Arturo Emilio Ramírez Pérez:</t>
        </r>
        <r>
          <rPr>
            <sz val="9"/>
            <color indexed="81"/>
            <rFont val="Tahoma"/>
            <family val="2"/>
          </rPr>
          <t xml:space="preserve">
Igual comentario RPPT San Juan</t>
        </r>
      </text>
    </comment>
    <comment ref="E163" authorId="1" shapeId="0">
      <text>
        <r>
          <rPr>
            <b/>
            <sz val="9"/>
            <color indexed="81"/>
            <rFont val="Tahoma"/>
            <family val="2"/>
          </rPr>
          <t>Arturo Emilio Ramírez Pérez:</t>
        </r>
        <r>
          <rPr>
            <sz val="9"/>
            <color indexed="81"/>
            <rFont val="Tahoma"/>
            <family val="2"/>
          </rPr>
          <t xml:space="preserve">
P. U. Sabana Grande de Boya</t>
        </r>
      </text>
    </comment>
    <comment ref="E250" authorId="1" shapeId="0">
      <text>
        <r>
          <rPr>
            <b/>
            <sz val="9"/>
            <color indexed="81"/>
            <rFont val="Tahoma"/>
            <family val="2"/>
          </rPr>
          <t>Arturo Emilio Ramírez Pérez:</t>
        </r>
        <r>
          <rPr>
            <sz val="9"/>
            <color indexed="81"/>
            <rFont val="Tahoma"/>
            <family val="2"/>
          </rPr>
          <t xml:space="preserve">
PU QUE TENIA
</t>
        </r>
      </text>
    </comment>
    <comment ref="E266" authorId="1" shapeId="0">
      <text>
        <r>
          <rPr>
            <b/>
            <sz val="9"/>
            <color indexed="81"/>
            <rFont val="Tahoma"/>
            <family val="2"/>
          </rPr>
          <t>Arturo Emilio Ramírez Pérez:</t>
        </r>
        <r>
          <rPr>
            <sz val="9"/>
            <color indexed="81"/>
            <rFont val="Tahoma"/>
            <family val="2"/>
          </rPr>
          <t xml:space="preserve">
Planta Potabilizadora El Seibo</t>
        </r>
      </text>
    </comment>
    <comment ref="E385" authorId="1" shapeId="0">
      <text>
        <r>
          <rPr>
            <b/>
            <sz val="9"/>
            <color indexed="81"/>
            <rFont val="Tahoma"/>
            <family val="2"/>
          </rPr>
          <t>Arturo Emilio Ramírez Pérez:</t>
        </r>
        <r>
          <rPr>
            <sz val="9"/>
            <color indexed="81"/>
            <rFont val="Tahoma"/>
            <family val="2"/>
          </rPr>
          <t xml:space="preserve">
Hormigon 180 dividido por el espesor de 10cm</t>
        </r>
      </text>
    </comment>
    <comment ref="E399" authorId="1" shapeId="0">
      <text>
        <r>
          <rPr>
            <b/>
            <sz val="9"/>
            <color indexed="81"/>
            <rFont val="Tahoma"/>
            <family val="2"/>
          </rPr>
          <t>Arturo Emilio Ramírez Pérez:</t>
        </r>
        <r>
          <rPr>
            <sz val="9"/>
            <color indexed="81"/>
            <rFont val="Tahoma"/>
            <family val="2"/>
          </rPr>
          <t xml:space="preserve">
Lampara fluorescente Tecnolite Fe. Americana.</t>
        </r>
      </text>
    </comment>
    <comment ref="E403" authorId="1" shapeId="0">
      <text>
        <r>
          <rPr>
            <b/>
            <sz val="9"/>
            <color indexed="81"/>
            <rFont val="Tahoma"/>
            <family val="2"/>
          </rPr>
          <t>Arturo Emilio Ramírez Pérez:</t>
        </r>
        <r>
          <rPr>
            <sz val="9"/>
            <color indexed="81"/>
            <rFont val="Tahoma"/>
            <family val="2"/>
          </rPr>
          <t xml:space="preserve">
REHABILITACION MAIMON ES DE 0-100
</t>
        </r>
      </text>
    </comment>
    <comment ref="E405" authorId="1" shapeId="0">
      <text>
        <r>
          <rPr>
            <b/>
            <sz val="9"/>
            <color indexed="81"/>
            <rFont val="Tahoma"/>
            <family val="2"/>
          </rPr>
          <t>Arturo Emilio Ramírez Pérez:</t>
        </r>
        <r>
          <rPr>
            <sz val="9"/>
            <color indexed="81"/>
            <rFont val="Tahoma"/>
            <family val="2"/>
          </rPr>
          <t xml:space="preserve">
REHABILITACION MAIMON
</t>
        </r>
      </text>
    </comment>
    <comment ref="E531" authorId="1" shapeId="0">
      <text>
        <r>
          <rPr>
            <b/>
            <sz val="9"/>
            <color indexed="81"/>
            <rFont val="Tahoma"/>
            <family val="2"/>
          </rPr>
          <t>Arturo Emilio Ramírez Pérez:</t>
        </r>
        <r>
          <rPr>
            <sz val="9"/>
            <color indexed="81"/>
            <rFont val="Tahoma"/>
            <family val="2"/>
          </rPr>
          <t xml:space="preserve">
FERRETERIA AMERICANA
</t>
        </r>
      </text>
    </comment>
    <comment ref="C779" authorId="1" shapeId="0">
      <text>
        <r>
          <rPr>
            <b/>
            <sz val="9"/>
            <color indexed="81"/>
            <rFont val="Tahoma"/>
            <family val="2"/>
          </rPr>
          <t>Arturo Emilio Ramírez Pérez:</t>
        </r>
        <r>
          <rPr>
            <sz val="9"/>
            <color indexed="81"/>
            <rFont val="Tahoma"/>
            <family val="2"/>
          </rPr>
          <t xml:space="preserve">
Las válvulas de desagüe</t>
        </r>
      </text>
    </comment>
    <comment ref="A869" authorId="1" shapeId="0">
      <text>
        <r>
          <rPr>
            <b/>
            <sz val="9"/>
            <color indexed="81"/>
            <rFont val="Tahoma"/>
            <family val="2"/>
          </rPr>
          <t>Arturo Emilio Ramírez Pérez:</t>
        </r>
        <r>
          <rPr>
            <sz val="9"/>
            <color indexed="81"/>
            <rFont val="Tahoma"/>
            <family val="2"/>
          </rPr>
          <t xml:space="preserve">
EL PRECIO ES PARA UNA DE 300 PSI</t>
        </r>
      </text>
    </comment>
    <comment ref="E870" authorId="1" shapeId="0">
      <text>
        <r>
          <rPr>
            <b/>
            <sz val="9"/>
            <color indexed="81"/>
            <rFont val="Tahoma"/>
            <family val="2"/>
          </rPr>
          <t>Arturo Emilio Ramírez Pérez:</t>
        </r>
        <r>
          <rPr>
            <sz val="9"/>
            <color indexed="81"/>
            <rFont val="Tahoma"/>
            <family val="2"/>
          </rPr>
          <t xml:space="preserve">
Se colocó el monto de 3"</t>
        </r>
      </text>
    </comment>
    <comment ref="E875" authorId="1"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3.xml><?xml version="1.0" encoding="utf-8"?>
<comments xmlns="http://schemas.openxmlformats.org/spreadsheetml/2006/main">
  <authors>
    <author>francis.heredia</author>
  </authors>
  <commentList>
    <comment ref="A6"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 ref="A83"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List>
</comments>
</file>

<file path=xl/comments4.xml><?xml version="1.0" encoding="utf-8"?>
<comments xmlns="http://schemas.openxmlformats.org/spreadsheetml/2006/main">
  <authors>
    <author>UES-INAPA</author>
  </authors>
  <commentList>
    <comment ref="I41"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5.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6.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7.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8.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9.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sharedStrings.xml><?xml version="1.0" encoding="utf-8"?>
<sst xmlns="http://schemas.openxmlformats.org/spreadsheetml/2006/main" count="17097" uniqueCount="4173">
  <si>
    <t>A</t>
  </si>
  <si>
    <t>M</t>
  </si>
  <si>
    <t>M3</t>
  </si>
  <si>
    <t>U</t>
  </si>
  <si>
    <t>ASIENTO DE ARENA</t>
  </si>
  <si>
    <t>INSTITUTO NACIONAL DE AGUAS POTABLES Y ALCANTARILLADOS</t>
  </si>
  <si>
    <t>***INAPA***</t>
  </si>
  <si>
    <t>DIRECCION DE INGENIERIA</t>
  </si>
  <si>
    <t>TRANSPORTE</t>
  </si>
  <si>
    <t>B</t>
  </si>
  <si>
    <t>C</t>
  </si>
  <si>
    <t>M2</t>
  </si>
  <si>
    <t>H</t>
  </si>
  <si>
    <t>ML</t>
  </si>
  <si>
    <t>MOVIMIENTO DE TIERRA:</t>
  </si>
  <si>
    <t>SUB-TOTAL GENERAL</t>
  </si>
  <si>
    <t>GASTOS INDIRECTOS</t>
  </si>
  <si>
    <t>HONORARIOS PROFESIONALES</t>
  </si>
  <si>
    <t>SEGUROS,POLIZA Y FINANZA</t>
  </si>
  <si>
    <t>GASTOS  ADMINISTRATIVOS</t>
  </si>
  <si>
    <t>SUPERVISION DE LA OBRA</t>
  </si>
  <si>
    <t>LEY 3-86</t>
  </si>
  <si>
    <t>ITBIS 07-2007</t>
  </si>
  <si>
    <t>TOTAL GASTOS INDIRECTOS</t>
  </si>
  <si>
    <t>IMPREVISTOS</t>
  </si>
  <si>
    <t>SUMINISTRO DE TUBERIA:</t>
  </si>
  <si>
    <t>COLOCACION TUBERIA:</t>
  </si>
  <si>
    <t>Ubicación : PROVINCIA SAN JUAN DE LA MAGUANA</t>
  </si>
  <si>
    <t>Partida</t>
  </si>
  <si>
    <t xml:space="preserve">Descripcion </t>
  </si>
  <si>
    <t>Cantidad</t>
  </si>
  <si>
    <t>ZONA: II</t>
  </si>
  <si>
    <t>Z</t>
  </si>
  <si>
    <t>VARIOS</t>
  </si>
  <si>
    <t>SUB-TOTAL FASE Z</t>
  </si>
  <si>
    <t>BOTE DE MATERIAL CON CAMION (DIST.=5.0KM)</t>
  </si>
  <si>
    <t>TRANSPORTE DE EQUIPO (IDA Y VUELTA)</t>
  </si>
  <si>
    <t>REPLANTEO</t>
  </si>
  <si>
    <t>MOVIMIENTO DE TIERRA</t>
  </si>
  <si>
    <t xml:space="preserve">SUMINISTRO Y COLOCACION DE VALVULAS </t>
  </si>
  <si>
    <t>ANCLAJE DE H.S.</t>
  </si>
  <si>
    <t>MANO DE OBRA</t>
  </si>
  <si>
    <t>PA</t>
  </si>
  <si>
    <t xml:space="preserve"> </t>
  </si>
  <si>
    <t>P.U. RD$</t>
  </si>
  <si>
    <t>MONTO RD$</t>
  </si>
  <si>
    <t>%</t>
  </si>
  <si>
    <t>HR</t>
  </si>
  <si>
    <t>COLLARIN EN POLIETILENO DE Ø 3" ( ABRAZADERA)</t>
  </si>
  <si>
    <t>ADATADOR MACHO Ø 1/2" ROSCADO A MANGUERA</t>
  </si>
  <si>
    <t xml:space="preserve">CEMENTO SOLVENTE Y TEFLON </t>
  </si>
  <si>
    <t>EXCAVACION Y TAPADO</t>
  </si>
  <si>
    <t xml:space="preserve">MANO DE OBRA PLOMERIA </t>
  </si>
  <si>
    <t>TUBERIA DE POLIETILENO ALTA DENSIDAD, Ø 1/2" INTERNO L= 6.00 M ( PROMEDIO)</t>
  </si>
  <si>
    <t>ADATADOR HEMBRA Ø 1/2" ROSCADO A MANGUERA</t>
  </si>
  <si>
    <t>LLAVE DE PASO Ø1/2" PVC</t>
  </si>
  <si>
    <t>CAJA DE ACOMETIDA PLASTICA EN POLIETILENO 10"</t>
  </si>
  <si>
    <t>TUBERIA 1/2" SCH-40 PVC LONG. PROMEDIO</t>
  </si>
  <si>
    <t>TAPON HEMBRA Ø1/2" PVC</t>
  </si>
  <si>
    <t>PRUEBAS HIDROSTATICA</t>
  </si>
  <si>
    <t>DEPARTAMENTO DE COSTOS Y PRESUPUESTOS</t>
  </si>
  <si>
    <t>P.A.</t>
  </si>
  <si>
    <t>USO BOMBA DE ACHIQUE</t>
  </si>
  <si>
    <t xml:space="preserve">MANO DE OBRA </t>
  </si>
  <si>
    <t>MANTENIMIENTO Y OPERACION SISTEMA</t>
  </si>
  <si>
    <t>EXCACION.</t>
  </si>
  <si>
    <t>ASIENTO ARENA</t>
  </si>
  <si>
    <t>VOL TUBO</t>
  </si>
  <si>
    <t>CEMENTO S</t>
  </si>
  <si>
    <t>LONG. MTL</t>
  </si>
  <si>
    <t>FC.</t>
  </si>
  <si>
    <t>VOL. M3</t>
  </si>
  <si>
    <t>VOL. KG</t>
  </si>
  <si>
    <t>2"</t>
  </si>
  <si>
    <t>3"</t>
  </si>
  <si>
    <t>4"</t>
  </si>
  <si>
    <t>6"</t>
  </si>
  <si>
    <t>8"</t>
  </si>
  <si>
    <t>10"</t>
  </si>
  <si>
    <t>12"</t>
  </si>
  <si>
    <t>14"</t>
  </si>
  <si>
    <t>16"</t>
  </si>
  <si>
    <t>18"</t>
  </si>
  <si>
    <t>20"</t>
  </si>
  <si>
    <t>24"</t>
  </si>
  <si>
    <t>30"</t>
  </si>
  <si>
    <t>36"</t>
  </si>
  <si>
    <t>38"</t>
  </si>
  <si>
    <t>40"</t>
  </si>
  <si>
    <t>42"</t>
  </si>
  <si>
    <t xml:space="preserve">  REPL.</t>
  </si>
  <si>
    <t>TOTALES</t>
  </si>
  <si>
    <t>EXC.</t>
  </si>
  <si>
    <t>AA</t>
  </si>
  <si>
    <t>VOL T</t>
  </si>
  <si>
    <t>CS</t>
  </si>
  <si>
    <t>RELLENO</t>
  </si>
  <si>
    <t>BOTE + ESPONJAMIENTO</t>
  </si>
  <si>
    <t xml:space="preserve">LONGITUD TUBERIA </t>
  </si>
  <si>
    <t>LONG. M</t>
  </si>
  <si>
    <t>% ESPG</t>
  </si>
  <si>
    <t>LONG TOTAL</t>
  </si>
  <si>
    <t>EXCAVACION DE MATERIAL CLASIFICADO</t>
  </si>
  <si>
    <t>TIPO MATERIAL</t>
  </si>
  <si>
    <t>EXCAV.</t>
  </si>
  <si>
    <t>CLASIF. TOSCA DURA</t>
  </si>
  <si>
    <t>CLASIF. TOSCA BLANDA</t>
  </si>
  <si>
    <t>CLASIF. TIERRA SUELTA</t>
  </si>
  <si>
    <t>CLASIFICACION</t>
  </si>
  <si>
    <r>
      <t>OBRA:</t>
    </r>
    <r>
      <rPr>
        <sz val="10"/>
        <rFont val="Arial"/>
        <family val="2"/>
      </rPr>
      <t xml:space="preserve"> </t>
    </r>
    <r>
      <rPr>
        <b/>
        <sz val="10"/>
        <color indexed="10"/>
        <rFont val="Arial"/>
        <family val="2"/>
      </rPr>
      <t>REGISTRO DE  HORMIGON ARMADO</t>
    </r>
  </si>
  <si>
    <r>
      <t>UBICACIÓN:</t>
    </r>
    <r>
      <rPr>
        <sz val="10"/>
        <rFont val="Arial"/>
        <family val="2"/>
      </rPr>
      <t xml:space="preserve"> GENERAL</t>
    </r>
  </si>
  <si>
    <r>
      <t>ZONA:</t>
    </r>
    <r>
      <rPr>
        <sz val="10"/>
        <rFont val="Arial"/>
        <family val="2"/>
      </rPr>
      <t xml:space="preserve"> GENERAL</t>
    </r>
  </si>
  <si>
    <t>D E S C R I P C I O N</t>
  </si>
  <si>
    <t>CANT.</t>
  </si>
  <si>
    <t>UDS</t>
  </si>
  <si>
    <t>VALOR RD$</t>
  </si>
  <si>
    <t>INSUMOS</t>
  </si>
  <si>
    <t>AGUA</t>
  </si>
  <si>
    <t>GL</t>
  </si>
  <si>
    <t>CEMENTO GRIS PUESTO EN OBRA</t>
  </si>
  <si>
    <t>FDA</t>
  </si>
  <si>
    <t>CAL</t>
  </si>
  <si>
    <t>ARENA</t>
  </si>
  <si>
    <t>ARENA PARA PAÑETE</t>
  </si>
  <si>
    <t>GRAVA</t>
  </si>
  <si>
    <t>ACERO PUESTO EN OBRA</t>
  </si>
  <si>
    <t>QQ</t>
  </si>
  <si>
    <t>KM</t>
  </si>
  <si>
    <t xml:space="preserve">DISTANCIA DESDE  </t>
  </si>
  <si>
    <t xml:space="preserve">AGREGADO (ARENA) </t>
  </si>
  <si>
    <t>MATERIALES</t>
  </si>
  <si>
    <t>MANEJO EN OBRA</t>
  </si>
  <si>
    <t>COSTO/M3  R.D$</t>
  </si>
  <si>
    <t xml:space="preserve">AGREGADO (GRAVA) </t>
  </si>
  <si>
    <t>H.S.PARA F'C= 240 KGS/CM2</t>
  </si>
  <si>
    <t>CEMENTO</t>
  </si>
  <si>
    <t>FDAS.</t>
  </si>
  <si>
    <t xml:space="preserve">AGUA </t>
  </si>
  <si>
    <t>GLS</t>
  </si>
  <si>
    <t>LIGADO Y VACIADO</t>
  </si>
  <si>
    <t>DESPERDICIO 2%</t>
  </si>
  <si>
    <t>H.S. PARA F'C= 210 KGS/ CM2</t>
  </si>
  <si>
    <t xml:space="preserve">CEMENTO </t>
  </si>
  <si>
    <t>H.S. PARA F'C= 180 KGS/CM2</t>
  </si>
  <si>
    <t>FDAS</t>
  </si>
  <si>
    <t>COSTO EN PLANTA</t>
  </si>
  <si>
    <t>M0RTERO PARA PAÑETE 1:4</t>
  </si>
  <si>
    <t>LIGADO</t>
  </si>
  <si>
    <t>DIA</t>
  </si>
  <si>
    <t>DESPERDICIO 3%</t>
  </si>
  <si>
    <t>MORTERO PARA FINO 1:3</t>
  </si>
  <si>
    <t xml:space="preserve">ARENA </t>
  </si>
  <si>
    <t>PAÑETE EXTERIOR</t>
  </si>
  <si>
    <t>MORTERO 1:4 +30% DESP.</t>
  </si>
  <si>
    <t>REGLA</t>
  </si>
  <si>
    <t>P2</t>
  </si>
  <si>
    <t>ANDAMIOS</t>
  </si>
  <si>
    <t>COSTO/M2  R.D$</t>
  </si>
  <si>
    <t xml:space="preserve">PAÑETE INTERIOR </t>
  </si>
  <si>
    <t>MORTERO 1:4 + 30% DESP.</t>
  </si>
  <si>
    <t>m³</t>
  </si>
  <si>
    <t>p²</t>
  </si>
  <si>
    <t>MANO DE OBRA PAÑETE Y PULIDO</t>
  </si>
  <si>
    <t>m²</t>
  </si>
  <si>
    <t>COSTO/m²        RD$</t>
  </si>
  <si>
    <t>PAÑETE INTERIOR PULIDO</t>
  </si>
  <si>
    <t>MORTERO 1:4+30 % DESP</t>
  </si>
  <si>
    <t>CEMENTO 2DA CAPA</t>
  </si>
  <si>
    <t>PAÑETE INTERIOR PULIDO C / IMPERMEABILIZANTE</t>
  </si>
  <si>
    <t>IMPERMEABILIZANTE</t>
  </si>
  <si>
    <t>FINO LOSA DE FONDO</t>
  </si>
  <si>
    <t>MORTERO 1:3+ 25%DESP.</t>
  </si>
  <si>
    <t>BAJADA MAT.</t>
  </si>
  <si>
    <t>FINO LOSA DE FONDO C/ IMPERMEABILIZANTE</t>
  </si>
  <si>
    <t>FINO LOSA DE TECHO</t>
  </si>
  <si>
    <t>MORTERO 1:3+DESP.</t>
  </si>
  <si>
    <t>SUBIDA MAT.</t>
  </si>
  <si>
    <t>CANTOS</t>
  </si>
  <si>
    <t>MORTERO 1:4+DESP.</t>
  </si>
  <si>
    <t>COSTO/M.L  R.D$</t>
  </si>
  <si>
    <t>ACERO GENERAL</t>
  </si>
  <si>
    <t xml:space="preserve">SUMINISTRO </t>
  </si>
  <si>
    <t>ALAMBRE NO.24.  2 LIB.XQQ</t>
  </si>
  <si>
    <t>LB</t>
  </si>
  <si>
    <t>COSTO/QQ  R.D$</t>
  </si>
  <si>
    <t>ACERO VIGAS Y COLUMNAS</t>
  </si>
  <si>
    <t>ANALISIS MUROS DE BLOQUES</t>
  </si>
  <si>
    <t>HORMIGON P/CAMARA BLOQUES 1:3:5</t>
  </si>
  <si>
    <t>CEMENTO GRIS</t>
  </si>
  <si>
    <t xml:space="preserve">MANO DE OBRA MEZCLADO </t>
  </si>
  <si>
    <t xml:space="preserve">DESPERDICIO 3%  </t>
  </si>
  <si>
    <t>MURO DE BLOQUES DE 6"</t>
  </si>
  <si>
    <t>SUM.DE BLOQUE 6"</t>
  </si>
  <si>
    <t>COLOCACION BLOQUES 6"</t>
  </si>
  <si>
    <t>MORTERO P/JUNTA+30%DESP.</t>
  </si>
  <si>
    <t>HORM.EN CAMARA +10%DESP.</t>
  </si>
  <si>
    <t>ACERO 3/8"+20%DESP</t>
  </si>
  <si>
    <t>ANDAMIOS P/BLOQUES</t>
  </si>
  <si>
    <t>CONFECCION ANDAMIOS</t>
  </si>
  <si>
    <t xml:space="preserve">LLENADO HUECOS </t>
  </si>
  <si>
    <t>BNP</t>
  </si>
  <si>
    <t>PINTURA ACRILICA SIN ANDAMIOS:</t>
  </si>
  <si>
    <t>PINTURA</t>
  </si>
  <si>
    <t>APLICACION ( DOS MANOS ).</t>
  </si>
  <si>
    <t>DESPERDICIOS Y RETOQUES</t>
  </si>
  <si>
    <t>PINTURA MANTANIMIENTO: ( SIN ANDAMIO )</t>
  </si>
  <si>
    <t>THINNER</t>
  </si>
  <si>
    <t>m2</t>
  </si>
  <si>
    <t>DES[ERDICIOS Y RETOQUES</t>
  </si>
  <si>
    <t>PINTURA OXIDO ROJO ( SIN ANDAMIO )</t>
  </si>
  <si>
    <t>TAPAS DE H.F. 0.80 M</t>
  </si>
  <si>
    <t>SUMINISTRO</t>
  </si>
  <si>
    <t>COLOCACION</t>
  </si>
  <si>
    <t>MOTOSOLDADORA</t>
  </si>
  <si>
    <t>ALQUILER MAQUINA</t>
  </si>
  <si>
    <t>DÍA</t>
  </si>
  <si>
    <t>SOLDADOR</t>
  </si>
  <si>
    <t>AYUDANTES  (2 HOMBRES)</t>
  </si>
  <si>
    <t>COMBUSTIBLE (GASOLINA) (0.06xHpx8)</t>
  </si>
  <si>
    <t xml:space="preserve">LUBRICANTE 20% DEL COMBUSTIBLE) </t>
  </si>
  <si>
    <t>HERRAMIENTAS</t>
  </si>
  <si>
    <t>COSTO TOTAL POR DIA (CD)</t>
  </si>
  <si>
    <t>COSTO TOTAL POR HORA (CH)</t>
  </si>
  <si>
    <t xml:space="preserve">EQUIPO DE CORTE </t>
  </si>
  <si>
    <t>EQUIPO DE CORTE</t>
  </si>
  <si>
    <t>OXIGENO</t>
  </si>
  <si>
    <t>CIL</t>
  </si>
  <si>
    <t>GAS PROPANO</t>
  </si>
  <si>
    <t>HERRERO ( 1 U ) @ RD$ 1,100.00</t>
  </si>
  <si>
    <t>AYUDANTE ( 2 U ) @ RD$ 650.00</t>
  </si>
  <si>
    <t>ESCALEAS H= 1.85 Ø 3/4"</t>
  </si>
  <si>
    <t>SUMINISTRO TUBERIA 3/4" H.G.</t>
  </si>
  <si>
    <t>CORTE</t>
  </si>
  <si>
    <t>SOLDADURA</t>
  </si>
  <si>
    <t>PUNTURA DE OXIDO ROJO</t>
  </si>
  <si>
    <t>PUNTURA DE MANTENIMIETO</t>
  </si>
  <si>
    <t>COSTO /UD RD$</t>
  </si>
  <si>
    <t>COSTO /ML RD$</t>
  </si>
  <si>
    <t xml:space="preserve">REGISTRO PARA VALVULA DE                                                                                                                                                                                                                                                                                                                                                                                                                                                                                                                                                                                                                                                                                                                                                                                                                                                         </t>
  </si>
  <si>
    <t>LOSA DE FONDO 0.15 - 1.87qq/m³</t>
  </si>
  <si>
    <t>H.S  180 kg/cm² + 5% DESP.</t>
  </si>
  <si>
    <t>K. ACERO</t>
  </si>
  <si>
    <t>qq</t>
  </si>
  <si>
    <t>COSTO/m³        RD$</t>
  </si>
  <si>
    <t>LOSA DE TECHO 0,12 - 1.67 qq/m³</t>
  </si>
  <si>
    <t>ENC. Y DESC.</t>
  </si>
  <si>
    <t xml:space="preserve">REGISTRO DE TUBO </t>
  </si>
  <si>
    <t>TUBO Ø36" CONCRETO,</t>
  </si>
  <si>
    <t>LOSA DE FONDO 0.15 - 1.87 qq/m³</t>
  </si>
  <si>
    <t>TAPA DE  POLIPROPILENO (PESADA)</t>
  </si>
  <si>
    <t xml:space="preserve">REGISTROS PARA VALVULA DE Ø3" DE COMPUERTA </t>
  </si>
  <si>
    <t xml:space="preserve">( 1.30 x 1.30 x 1.67 ) M </t>
  </si>
  <si>
    <t>EXCAVACION EN ROCA  C / EQUIPO ( COMPRESOR) INC. EXTRACCION</t>
  </si>
  <si>
    <t>RELLENO COMPACTADO</t>
  </si>
  <si>
    <t xml:space="preserve">BOTE DE MATERIAL </t>
  </si>
  <si>
    <t>HORMIGON ARNADO EN:</t>
  </si>
  <si>
    <t>LOSA DE FONDO 0.15 - 1.00 QQ/M3</t>
  </si>
  <si>
    <t>LOSA DE TECHO 0.12 - 1.50 QQ/M3</t>
  </si>
  <si>
    <t>MURO DE BLOCK 6"</t>
  </si>
  <si>
    <t xml:space="preserve">PAÑETE </t>
  </si>
  <si>
    <t>FINO DE FONDO</t>
  </si>
  <si>
    <t>PINTURA ACRILICA</t>
  </si>
  <si>
    <t>ESCALERA 3/4", L=1.00 M</t>
  </si>
  <si>
    <t>TAPA DE H F</t>
  </si>
  <si>
    <t>SOPORTE MOVIL H = 0.30 M</t>
  </si>
  <si>
    <t>SERPENTINAS Ø 3/8" ( 2U )</t>
  </si>
  <si>
    <t>COSTO/UD        RD$</t>
  </si>
  <si>
    <t xml:space="preserve">ANCLAJE H.A.  </t>
  </si>
  <si>
    <t xml:space="preserve">ANCLAJE H.A. - </t>
  </si>
  <si>
    <t>QQ/M3</t>
  </si>
  <si>
    <t xml:space="preserve">HORMIGON ARMADO </t>
  </si>
  <si>
    <t>H.S. 210 KG/CM2</t>
  </si>
  <si>
    <t xml:space="preserve">K ACERO </t>
  </si>
  <si>
    <t>ADITIVO</t>
  </si>
  <si>
    <t>R.D.$   /M3</t>
  </si>
  <si>
    <t>R.D.$   /UNIDAD</t>
  </si>
  <si>
    <t>MADERA DE ENCOFRADO</t>
  </si>
  <si>
    <t>PLANCHAS DE PLYWOOD (4PLANCHAS / 4 USOS)</t>
  </si>
  <si>
    <t>MADERA (CARGADERA )</t>
  </si>
  <si>
    <t>PT</t>
  </si>
  <si>
    <t>CLAVOS CORRIENTES</t>
  </si>
  <si>
    <t>R.D.$   /UNIDAD (TOTAL)</t>
  </si>
  <si>
    <t>EXVCAVACION  A MANO</t>
  </si>
  <si>
    <t>TOTAL       RD$</t>
  </si>
  <si>
    <t>EXCAVACION MATERIAL Compacto</t>
  </si>
  <si>
    <t>DESCRIPCION</t>
  </si>
  <si>
    <t>CANTIDAD</t>
  </si>
  <si>
    <t>UND.</t>
  </si>
  <si>
    <t>PRECIO</t>
  </si>
  <si>
    <t>TOTAL</t>
  </si>
  <si>
    <t xml:space="preserve">ALQUILER  EXCAVADORA  416K </t>
  </si>
  <si>
    <t>COMBUSTIBLE  (80 HP X 0.04 )  (INCLUYE TRANSPORTE INTERNO)</t>
  </si>
  <si>
    <t>GL/H</t>
  </si>
  <si>
    <t>LUBRICANTE (20% DEL COMBUSTIBLE)</t>
  </si>
  <si>
    <t>pa</t>
  </si>
  <si>
    <t>OPERARIO INCLUYE DIETA Y DORMITORIO</t>
  </si>
  <si>
    <t>Costo total p/hora</t>
  </si>
  <si>
    <t>RENDIMIENTO</t>
  </si>
  <si>
    <t>COSTO POR M3</t>
  </si>
  <si>
    <t>EXCAVACION MATERIAL Compacto con alto grado de humedad</t>
  </si>
  <si>
    <t>RELLENO COMPACTADO CON EQUIPO DE PERCUCION CON MAT. DE LA EXCAVACION</t>
  </si>
  <si>
    <t xml:space="preserve">Alquiler de maquito </t>
  </si>
  <si>
    <t>dia</t>
  </si>
  <si>
    <t xml:space="preserve">Peon </t>
  </si>
  <si>
    <t>Carretillero</t>
  </si>
  <si>
    <t>Herramientas(3 % de a + b+ c)</t>
  </si>
  <si>
    <t>COSTO TOTAL POR DIA</t>
  </si>
  <si>
    <t>COSTO POR  M3</t>
  </si>
  <si>
    <t xml:space="preserve"> ARENA  P/ASIENTO</t>
  </si>
  <si>
    <t>COLOCACION DE ASIENTO DE ARENA</t>
  </si>
  <si>
    <t>HERRAMIENTAS MENORES 3%</t>
  </si>
  <si>
    <t>RENDIMIENTO 6 M3/DIA</t>
  </si>
  <si>
    <t>M3 / DIA</t>
  </si>
  <si>
    <t>COSTO /M3  RD$</t>
  </si>
  <si>
    <t>SUMINISTRO DE ARENA</t>
  </si>
  <si>
    <t>COSTO/M3 DE AGREGADO   R.D$</t>
  </si>
  <si>
    <t>MANO DE OBRA DE COLOCACION</t>
  </si>
  <si>
    <t>SUMINISTRO Y COLOCACION ASIENTO DE ARENA</t>
  </si>
  <si>
    <t>SENALIZACION, MANEJO DE TRANSITO Y SEGURIDAD EN LA VIA</t>
  </si>
  <si>
    <t>PEONES (3U) $650</t>
  </si>
  <si>
    <t>BANDEROLA</t>
  </si>
  <si>
    <t xml:space="preserve">CHALECOS  (INC.USOS </t>
  </si>
  <si>
    <t xml:space="preserve">CASCOS  (INC.USOS </t>
  </si>
  <si>
    <t>SEÑALES</t>
  </si>
  <si>
    <t xml:space="preserve">CONOS </t>
  </si>
  <si>
    <t>LETREROS (*INC. BASE)</t>
  </si>
  <si>
    <t>ANALISIS TRENCHER ( MARCA JEERMER, MOTOR V-8 TURBO)</t>
  </si>
  <si>
    <t xml:space="preserve">EXCAVACION EN ROCA DURA </t>
  </si>
  <si>
    <t>ALQUILER  TRENCHER</t>
  </si>
  <si>
    <t>OPERADOR(INC. DIETA)</t>
  </si>
  <si>
    <t>AYUDANTE</t>
  </si>
  <si>
    <t>COMBUSTIBLE</t>
  </si>
  <si>
    <t>ALQUILER SOLDADORA</t>
  </si>
  <si>
    <t>LUBRICANTES  (20% DEL COMBUSTIBLE)</t>
  </si>
  <si>
    <t xml:space="preserve">GRASAS ( 0.25LB/HR) </t>
  </si>
  <si>
    <t>ALQUILER  LAV. A PRESION.</t>
  </si>
  <si>
    <t xml:space="preserve">COSTO TOTAL / HR   </t>
  </si>
  <si>
    <t>M3/HR</t>
  </si>
  <si>
    <t xml:space="preserve">COSTO/M3 RD$ </t>
  </si>
  <si>
    <t xml:space="preserve">INSTALACION MANOMETRICA </t>
  </si>
  <si>
    <t>UNIDAD</t>
  </si>
  <si>
    <t>NIPLE 1/2"</t>
  </si>
  <si>
    <t>LLAVE DE  BOLA  1/2"</t>
  </si>
  <si>
    <t>TEE 1/2"</t>
  </si>
  <si>
    <t>LLAVE DE  CHORRO  1/2"</t>
  </si>
  <si>
    <t>REDUCCION 1/2" A 1/4"</t>
  </si>
  <si>
    <t xml:space="preserve">MANOMETRO </t>
  </si>
  <si>
    <t>colocacion</t>
  </si>
  <si>
    <t>ANCLAJE PARA PIEZAS</t>
  </si>
  <si>
    <t>LOSA DE FONDO 0.15 - 1.00 qq/m³</t>
  </si>
  <si>
    <t>ANALISIS DE COMPRESOR</t>
  </si>
  <si>
    <t xml:space="preserve">COMPRESOR 2 PISTOLAS </t>
  </si>
  <si>
    <t>REND. 3.0 M3/DIA POR PISTOLA</t>
  </si>
  <si>
    <t>REND. 6.0 M3/DIA LAS 2 PISTOLAS</t>
  </si>
  <si>
    <t>DIA(8 H)</t>
  </si>
  <si>
    <t>HORAS (1 mes)</t>
  </si>
  <si>
    <r>
      <t>COMPRESOR(ALQUILER)</t>
    </r>
    <r>
      <rPr>
        <b/>
        <sz val="10"/>
        <rFont val="Times New Roman"/>
        <family val="1"/>
      </rPr>
      <t xml:space="preserve">RD$ </t>
    </r>
  </si>
  <si>
    <t>A.- EQUIPO</t>
  </si>
  <si>
    <t>ALQUILER DE COMPRESOR</t>
  </si>
  <si>
    <t>GASOIL</t>
  </si>
  <si>
    <t>LUBRICANTES</t>
  </si>
  <si>
    <t>P/ DIA R.D.$</t>
  </si>
  <si>
    <t>P/ HORA R.D.$</t>
  </si>
  <si>
    <t>B.- BRIGADA</t>
  </si>
  <si>
    <t>PISTOLEROS (2 H) 900  + 200.00 DIETA C/U</t>
  </si>
  <si>
    <t>AYUDANTE (2 H) 750 C/U</t>
  </si>
  <si>
    <t xml:space="preserve">  P/ DIA  R.D.$</t>
  </si>
  <si>
    <t xml:space="preserve">  P/ HORA  R.D.$</t>
  </si>
  <si>
    <t>EXCAVACION A COMPRESOR(A+B)</t>
  </si>
  <si>
    <t>P/HORA RD$</t>
  </si>
  <si>
    <t>P/DIA RD$</t>
  </si>
  <si>
    <t>EXCAVACION A COMPRESOR</t>
  </si>
  <si>
    <t>P/M3 RD$</t>
  </si>
  <si>
    <t>REGISTROS PARA VALVULA DE Ø20"</t>
  </si>
  <si>
    <t>EXCAVACION  A MANO</t>
  </si>
  <si>
    <t>LOSA DE FONDO 0.15 - 1.13QQ/M3</t>
  </si>
  <si>
    <t>LOSA DE TECHO 0.12 - 1.41 QQ/M3</t>
  </si>
  <si>
    <t>PAÑETE INTERIOR</t>
  </si>
  <si>
    <t xml:space="preserve"> DENTRO DE LA VIA  </t>
  </si>
  <si>
    <t>TAPA DE H.F.  0.80 M</t>
  </si>
  <si>
    <t xml:space="preserve">FUERA   DE LA VIA </t>
  </si>
  <si>
    <t xml:space="preserve">TAPA </t>
  </si>
  <si>
    <t>CARGUIO DE CALICHE DE MINA CAT-950</t>
  </si>
  <si>
    <t>ALQUILER  CAT-950</t>
  </si>
  <si>
    <t xml:space="preserve">COMBUSTIBLE ( 130 HP X 0.04 ) </t>
  </si>
  <si>
    <t>OPERARIO RD$ 1,300.00 /DIA</t>
  </si>
  <si>
    <t xml:space="preserve">RENDIMIENTO </t>
  </si>
  <si>
    <t>M3/hr</t>
  </si>
  <si>
    <t>COSTO POR M3 CH/R</t>
  </si>
  <si>
    <t>CORTE TRACTOR D-8-K</t>
  </si>
  <si>
    <t xml:space="preserve">Alquiler  Tractor D8 -K </t>
  </si>
  <si>
    <t>Combustible</t>
  </si>
  <si>
    <t>gls</t>
  </si>
  <si>
    <t>Lubricantes( 20% de Combust.)</t>
  </si>
  <si>
    <t>Operador(inc. Dieta)</t>
  </si>
  <si>
    <t>hr</t>
  </si>
  <si>
    <t>Costo/hora</t>
  </si>
  <si>
    <t xml:space="preserve">m3/hr </t>
  </si>
  <si>
    <t>Costo/m3</t>
  </si>
  <si>
    <t>PRECIO TOTAL DE MATERIAL DE MINA (INCLUYE DERECHO A MINA, CORTE, CARGUÍO, ACARREO Y ARRANQUE)</t>
  </si>
  <si>
    <t>Derecho a mina y pago a medio ambiente</t>
  </si>
  <si>
    <t xml:space="preserve"> M3 </t>
  </si>
  <si>
    <t xml:space="preserve">Distancia </t>
  </si>
  <si>
    <t xml:space="preserve"> KM </t>
  </si>
  <si>
    <t>Corte</t>
  </si>
  <si>
    <t>Arranque</t>
  </si>
  <si>
    <t>Carguïo</t>
  </si>
  <si>
    <t>DE Ø3" PVC SRD-26 C/J. G. + 2%  PERDIDA POR CAMP.</t>
  </si>
  <si>
    <t>PEONES (3U)</t>
  </si>
  <si>
    <t>RELLENO DE MATERIAL  COMPACTADO CON COMPACTADOR MECANICO EN CAPAS DE 0.20</t>
  </si>
  <si>
    <t>TEE Ø 3" X 3"  ACERO SCH-80, CON PROTECCION ANTICORROSIVA</t>
  </si>
  <si>
    <t>JUNTA MECANICA TIPO DRESSER Ø 3" H.F 150 PSI</t>
  </si>
  <si>
    <t xml:space="preserve">EMPALME A TUBERIA EXISTENTE </t>
  </si>
  <si>
    <t>MANO DE OBRA PARA EMPALME A TUBERIA EXISTENTE, ( INC. CORTE DE TUBERIA Y MOVIMIENTO DE TIERRA)</t>
  </si>
  <si>
    <t xml:space="preserve">CAJAS TELESCOPICAS SEGÚN DETALLE </t>
  </si>
  <si>
    <t xml:space="preserve">CORTE CON SIERRA EN LATERALES DE ASFALTO: 2" Y 3" </t>
  </si>
  <si>
    <t>ITEMS</t>
  </si>
  <si>
    <t>COSTO</t>
  </si>
  <si>
    <t>CORTADORA  HORIZONTAL DE ASFALTO HONDA, DE  GASOLINA DE 13 HP</t>
  </si>
  <si>
    <t>DISCO 14¨Y PROFUNDIDAD DE CORTE HASTA 3", PESO  EQUIPO 285 LB</t>
  </si>
  <si>
    <t>COSTO ALQUILER (1 DIAS)</t>
  </si>
  <si>
    <t>COMBUSTIBLE=0.04*(13 HP )(PRECIO RD$/GL), Gasolina Reg. RD$225.00 P/GL</t>
  </si>
  <si>
    <t xml:space="preserve">LUBRICANTE =0.20 DE </t>
  </si>
  <si>
    <t>OPERADOR= RD$950/8</t>
  </si>
  <si>
    <t>DESGASTE DE DISCO=20,263.00/750</t>
  </si>
  <si>
    <t>COSTO TOTAL /HORA</t>
  </si>
  <si>
    <t>REND=70 ML/DIA=8.75 ML/HORA</t>
  </si>
  <si>
    <t>COSTO$/Ml</t>
  </si>
  <si>
    <t xml:space="preserve">EXTRACCION DE ASFALTO </t>
  </si>
  <si>
    <t>ALQUILER  DE EQUIPO</t>
  </si>
  <si>
    <t xml:space="preserve">COMBUSTIBLE  (80 HP X 0.04 ) </t>
  </si>
  <si>
    <t>OPERARIO RD$ (1,300 /DIA)</t>
  </si>
  <si>
    <t xml:space="preserve">RENDIMIENTO (ESPESOR DE ASFALTO 4 CM </t>
  </si>
  <si>
    <t>M2/HR</t>
  </si>
  <si>
    <t>COSTO POR M2 CH/R</t>
  </si>
  <si>
    <t>A) MANO DE OBRA PRIMERA APLICACIÓN</t>
  </si>
  <si>
    <t>PERSONAL</t>
  </si>
  <si>
    <t>CAPATAZ (1)</t>
  </si>
  <si>
    <t>PEONES (3)</t>
  </si>
  <si>
    <t>MANTENIMIENTO DE SUPERFICIE (2)</t>
  </si>
  <si>
    <t xml:space="preserve">DÍA </t>
  </si>
  <si>
    <t>NIVELADO (2 AYUDANTES)</t>
  </si>
  <si>
    <t>COSTO TOTAL POR DÍA</t>
  </si>
  <si>
    <t>C) MATERIAL</t>
  </si>
  <si>
    <t>ASFALTO PARA IMPRIMACION (RC-250)</t>
  </si>
  <si>
    <t>SUMINISTRO Y COLOCACIÓN DE RC-2</t>
  </si>
  <si>
    <t>CALENTAMIENTO DE RC-2</t>
  </si>
  <si>
    <t>GRAVILLA DE 3/8"</t>
  </si>
  <si>
    <t>D) EQUIPO</t>
  </si>
  <si>
    <t>CAMION DISTRIBUIDOR</t>
  </si>
  <si>
    <t>BARREDORA</t>
  </si>
  <si>
    <t>RODILLO VIBRADOR  LISO</t>
  </si>
  <si>
    <t>CARGADOR FORNTAL</t>
  </si>
  <si>
    <t>CAMION PARA AGREGADOS</t>
  </si>
  <si>
    <t>COSTO TOTAL/M2</t>
  </si>
  <si>
    <t>ANALISIS PARA  RIEGO DE IMPRIMACION SENCILLA</t>
  </si>
  <si>
    <t>SUB-TOTAL FASE  A</t>
  </si>
  <si>
    <t>VALVULA CHECK DE 1/2" DE BRONCE</t>
  </si>
  <si>
    <t>CAMPAMENTO, ( INC. ALQUILER DE SOLAR CON O SIN CASA , 2 UD DE BAÑOS MOVILES Y CASETA PARA MATERIALES)</t>
  </si>
  <si>
    <t xml:space="preserve">CODIA </t>
  </si>
  <si>
    <t>TOTAL EJECUTAR EN RD$</t>
  </si>
  <si>
    <t xml:space="preserve">TOTAL A CONTRATAR EN RD$ </t>
  </si>
  <si>
    <t xml:space="preserve">LIMPIEZA FINAL Y CONTINUA </t>
  </si>
  <si>
    <t xml:space="preserve">                               PREPARADO POR:</t>
  </si>
  <si>
    <t xml:space="preserve">                      REVISADO POR:</t>
  </si>
  <si>
    <t xml:space="preserve">            ING. DEPTO. DE COSTOS Y PRESUPUESTOS</t>
  </si>
  <si>
    <t>ING. DEPTO. DE COSTOS Y PRESUPUESTOS</t>
  </si>
  <si>
    <t xml:space="preserve">                                  SOMETIDO POR:</t>
  </si>
  <si>
    <t xml:space="preserve">                       VISTO BUENO:</t>
  </si>
  <si>
    <t xml:space="preserve">                           ING. CLAUDIA DE LEON R.</t>
  </si>
  <si>
    <t xml:space="preserve">              ING. LEONARDO PEREZ G.</t>
  </si>
  <si>
    <t xml:space="preserve">            ENC. DEPTO. DE COSTOS Y PRESUPUESTOS</t>
  </si>
  <si>
    <t xml:space="preserve">              DIRECTOR DE INGENIERIA</t>
  </si>
  <si>
    <t>ACOMETIDAS RURALES CON POLIETILENO  DE Ø 3" (30 UD)</t>
  </si>
  <si>
    <t>CODO Ø 1/2" X 90  H.G.</t>
  </si>
  <si>
    <t xml:space="preserve">TUBERIA 1/2" H.G. PARA BASTONE </t>
  </si>
  <si>
    <t>NIPLE DE Ø 1/2" H.G.</t>
  </si>
  <si>
    <t>COUPLING DE Ø 1/2" H.G.</t>
  </si>
  <si>
    <t xml:space="preserve">LLAVE DE PASO DE Ø 1/2"  PLASTICA DE BOLA </t>
  </si>
  <si>
    <t>PEDESTAL DE H.S. ( 0.80 X 0.15)</t>
  </si>
  <si>
    <t xml:space="preserve">USO BOMBA DE ACHIQUE Ø3" </t>
  </si>
  <si>
    <t xml:space="preserve">ACOMETIDAS: </t>
  </si>
  <si>
    <t>I</t>
  </si>
  <si>
    <t xml:space="preserve">SUMINISTRO MATERIAL DE MINA (PREVIA APROBACION DE LA SUPERVISION), CONSIDERAR EL 40 % DEL MATERIAL A RELLENAR </t>
  </si>
  <si>
    <t>ACOMETIDAS URBANAS CON POLIETILENO  DE Ø 3" (30 UD)</t>
  </si>
  <si>
    <t xml:space="preserve">            ING. MARIA ISABEL MORALES </t>
  </si>
  <si>
    <t>SUMINISTRO Y COLOCACION PIEZAS ESPECIALES:</t>
  </si>
  <si>
    <t>ANCLAJE  H.S PARA PIEZAS (SEGUN DETALLE)</t>
  </si>
  <si>
    <t>11.1.1</t>
  </si>
  <si>
    <t>11.1.2</t>
  </si>
  <si>
    <t>11.1.3</t>
  </si>
  <si>
    <t>11.2.1</t>
  </si>
  <si>
    <t>11.2.2</t>
  </si>
  <si>
    <t>8.1.1</t>
  </si>
  <si>
    <t>8.1.2</t>
  </si>
  <si>
    <t>8.1.3</t>
  </si>
  <si>
    <t>8.1.4</t>
  </si>
  <si>
    <t>8.1.5</t>
  </si>
  <si>
    <t>8.1.6</t>
  </si>
  <si>
    <t>8.1.7</t>
  </si>
  <si>
    <t>8.1.8</t>
  </si>
  <si>
    <t>8.1.9</t>
  </si>
  <si>
    <t>8.1.10</t>
  </si>
  <si>
    <t>8.1.11</t>
  </si>
  <si>
    <t>8.1.12</t>
  </si>
  <si>
    <t>8.1.13</t>
  </si>
  <si>
    <t>8.2.1</t>
  </si>
  <si>
    <t>8.2.2</t>
  </si>
  <si>
    <t>8.2.3</t>
  </si>
  <si>
    <t>8.2.4</t>
  </si>
  <si>
    <t>8.2.5</t>
  </si>
  <si>
    <t>8.2.6</t>
  </si>
  <si>
    <t>8.2.7</t>
  </si>
  <si>
    <t>8.2.8</t>
  </si>
  <si>
    <t>8.2.9</t>
  </si>
  <si>
    <t>8.2.10</t>
  </si>
  <si>
    <t>8.2.11</t>
  </si>
  <si>
    <t>8.2.12</t>
  </si>
  <si>
    <t>8.2.13</t>
  </si>
  <si>
    <t>8.2.14</t>
  </si>
  <si>
    <t>SEGURIDAD, SEÑALIZACION Y MANEJO DEL TRANSITO (INCLUYE  4 OBREROS, CONOS, CINTAS, TANQUES, LETREROS, MECHONES Y CONOS)</t>
  </si>
  <si>
    <t>MES</t>
  </si>
  <si>
    <t>REPLANTEO  PARA TUBERIAS P/ACUEDUCTO (C/CAL)</t>
  </si>
  <si>
    <t>ALQUIELER DE CAMIONETA</t>
  </si>
  <si>
    <t>EQUIPO DE TOPOGRAFIA</t>
  </si>
  <si>
    <t>MAESTRO(1 U) @,1500/DIA</t>
  </si>
  <si>
    <t>PEON (4 U) @,659 C/U /DIA</t>
  </si>
  <si>
    <t>BRIGADA TOPOGRAFICA</t>
  </si>
  <si>
    <t>M/DIA</t>
  </si>
  <si>
    <t>COSTO/DIA</t>
  </si>
  <si>
    <t>COSTO / M RD$</t>
  </si>
  <si>
    <t>REPLANTEO TUBERIAS  P/ACUEDUCTO (C/PINTURA)</t>
  </si>
  <si>
    <t>Descripción</t>
  </si>
  <si>
    <t>Unidad</t>
  </si>
  <si>
    <t>P.U. (RD$)</t>
  </si>
  <si>
    <t xml:space="preserve">  SUB-TOTAL</t>
  </si>
  <si>
    <t xml:space="preserve">PINTURA </t>
  </si>
  <si>
    <t>ALQUILER DE CAMIONETA</t>
  </si>
  <si>
    <t>MAESTRO(1 U) @,1977/DIA</t>
  </si>
  <si>
    <t>BRIGADA TOPOGRAFICA INCLUYE EQUIPOS TOPOGRAFIA Y HERRAMIENTAS</t>
  </si>
  <si>
    <t>E</t>
  </si>
  <si>
    <t>9.1.1</t>
  </si>
  <si>
    <t>9.1.2</t>
  </si>
  <si>
    <t>9.2.1</t>
  </si>
  <si>
    <t>9.2.2</t>
  </si>
  <si>
    <t>9.2.3</t>
  </si>
  <si>
    <t>G</t>
  </si>
  <si>
    <t>turbo</t>
  </si>
  <si>
    <t>1</t>
  </si>
  <si>
    <t>2</t>
  </si>
  <si>
    <t>RELLENO COMPACTADO  CON COMPACTADOR MECANICO</t>
  </si>
  <si>
    <t>BOTE DE MATERIAL  C/CAMION</t>
  </si>
  <si>
    <t>3</t>
  </si>
  <si>
    <t>SUMINISTRO DE TUBERIA</t>
  </si>
  <si>
    <t>3.1</t>
  </si>
  <si>
    <t>4</t>
  </si>
  <si>
    <t>COLOCACION  DE TUBERIA</t>
  </si>
  <si>
    <t>4.1</t>
  </si>
  <si>
    <t>5</t>
  </si>
  <si>
    <t>SUMINISTRO Y COLOCACION DE PIEZAS ESPECIALES</t>
  </si>
  <si>
    <t>5.1</t>
  </si>
  <si>
    <t>5.2</t>
  </si>
  <si>
    <t>5.3</t>
  </si>
  <si>
    <t>5.9</t>
  </si>
  <si>
    <t>ANCLAJE PARA  PIEZAS ESPECIALES</t>
  </si>
  <si>
    <t>6</t>
  </si>
  <si>
    <t>SUMINISTRO Y COLOCACION DE VALVULAS</t>
  </si>
  <si>
    <t>CAMINO DE ACCESO A PLANTA DE TRATAMIENTO (L=3,380.00M, A=5.00M)</t>
  </si>
  <si>
    <t xml:space="preserve">INGENIERIA </t>
  </si>
  <si>
    <t xml:space="preserve">DESMONTE </t>
  </si>
  <si>
    <t>HEC</t>
  </si>
  <si>
    <t>CORTE Y EMPUJE C/EQUIPO</t>
  </si>
  <si>
    <t xml:space="preserve">SUMINISTRO DE MATERIAL DE MINA ( CALICHE) + 25 % DE ESPONJAMIENTO </t>
  </si>
  <si>
    <t xml:space="preserve">REGADO, NIVELADO Y PERFILADO </t>
  </si>
  <si>
    <t>COMPACTADO</t>
  </si>
  <si>
    <t xml:space="preserve">CUNETAS </t>
  </si>
  <si>
    <t>PLANTA DE TRATAMIENTO</t>
  </si>
  <si>
    <t>REPLANTEO Y CONTROL TOPOGRAFICO</t>
  </si>
  <si>
    <t>VISITA</t>
  </si>
  <si>
    <t>MOVIMIENTO DE TIERRA PLANTA - TANQUE</t>
  </si>
  <si>
    <t xml:space="preserve">EXPLANACION CON EQUIPO </t>
  </si>
  <si>
    <t>EXCAVACION  CON EQUIPO</t>
  </si>
  <si>
    <t>REGISTRO ENTRADA DE AGUA</t>
  </si>
  <si>
    <t>HORMIGON ARMADO EN:</t>
  </si>
  <si>
    <t>LOSA DE FONDO 0.20 - 1.79QQ/M3</t>
  </si>
  <si>
    <t>MUROS 0.20 - 1.60 QQ/M3</t>
  </si>
  <si>
    <t>TERMINACION DE SUPERFICIE</t>
  </si>
  <si>
    <t>FINO FONDO</t>
  </si>
  <si>
    <t>PANETE EXTERIOR</t>
  </si>
  <si>
    <t>NIPLE 8X3 ACERO</t>
  </si>
  <si>
    <t>MEZCLA RAPIDA</t>
  </si>
  <si>
    <t>HORMIGON ARMADO EN (F1C=210 KG/CM2 INDUSTRIAL)</t>
  </si>
  <si>
    <t>4.1.1</t>
  </si>
  <si>
    <t>ZAPATA MURO ESTRUCTURA SOPORTE</t>
  </si>
  <si>
    <t>4.1.2</t>
  </si>
  <si>
    <t>MURO ESTRUCTURA SOPORTE</t>
  </si>
  <si>
    <t>4.1.3</t>
  </si>
  <si>
    <t>LOSA DE FONDO  0.15 - 0.99 QQ/M3</t>
  </si>
  <si>
    <t>4.1.4</t>
  </si>
  <si>
    <t xml:space="preserve">MUROS  0.15 - 2.50 QQ/M3, </t>
  </si>
  <si>
    <t>TERMINACIÓN DE SUPERFICIE :</t>
  </si>
  <si>
    <t>4.2.1</t>
  </si>
  <si>
    <t>4.2.2</t>
  </si>
  <si>
    <t>4.2.3</t>
  </si>
  <si>
    <t>RELLENO H.SIMPLE  P/CONFORMAR CIMACIO</t>
  </si>
  <si>
    <t>COMPUERTA 0.60X0.40 CON VASTAGO ESTACIONARIO ACERO INOXIDABLE</t>
  </si>
  <si>
    <t>DIFUSOR SULFATO</t>
  </si>
  <si>
    <t>FLOCULADORES</t>
  </si>
  <si>
    <t>5.1.1</t>
  </si>
  <si>
    <t>LOSA DE FONDO  0.30 - 0.99 QQ/M3</t>
  </si>
  <si>
    <t>5.1.2</t>
  </si>
  <si>
    <t xml:space="preserve">MUROS  0.30 - 2.50 QQ/M3, </t>
  </si>
  <si>
    <t>5.1.3</t>
  </si>
  <si>
    <t>MUROS 0.25 -3.06  QQ/M3</t>
  </si>
  <si>
    <t>5.2.1</t>
  </si>
  <si>
    <t>5.2.2</t>
  </si>
  <si>
    <t>FINO LOSA FONDO PULIDO</t>
  </si>
  <si>
    <t>5.2.3</t>
  </si>
  <si>
    <t xml:space="preserve">CANTOS </t>
  </si>
  <si>
    <t>PLACAS DE FIBRO-RESINA 3/4" (INC. MATERIALES P/INSTALACION)</t>
  </si>
  <si>
    <t>RELLENO H.SIMPLE  EN FONDO</t>
  </si>
  <si>
    <t>ACCESORIOS</t>
  </si>
  <si>
    <t>5.5.1</t>
  </si>
  <si>
    <t>COMPUERTA DE ACERO INOXIDABLE 0.60 X 0.40 CON VASTAGO ESTACIONARIO</t>
  </si>
  <si>
    <t>5.5.2</t>
  </si>
  <si>
    <t>NIPLE 8"X3' ACERO</t>
  </si>
  <si>
    <t>CANAL DE  DISTRIBUCION A SEDIMENTADORES</t>
  </si>
  <si>
    <t>HORMIGON ARMADO:</t>
  </si>
  <si>
    <t>6.1.1</t>
  </si>
  <si>
    <t>LOSA DE FONDO 0.15 - 1.42 QQ/M3</t>
  </si>
  <si>
    <t>6.2.1</t>
  </si>
  <si>
    <t>6.2.2</t>
  </si>
  <si>
    <t>6.2.3</t>
  </si>
  <si>
    <t>CANALES DE ENTRADA A SEDIMENTADORES</t>
  </si>
  <si>
    <t>HORMIGON ARMADO EN F'C=210 KG/CM2</t>
  </si>
  <si>
    <t>7.1.1</t>
  </si>
  <si>
    <t>7.2.1</t>
  </si>
  <si>
    <t>7.2.2</t>
  </si>
  <si>
    <t>7.2.3</t>
  </si>
  <si>
    <t>SUMINISTRO Y COLOCACION DE:</t>
  </si>
  <si>
    <t>7.3.1</t>
  </si>
  <si>
    <t>COMPUERTA DE ACERO INOXIDABLE 0.45 X 0.45 (VASTAGO 3.30 M)</t>
  </si>
  <si>
    <t>SEDIMENTADORES</t>
  </si>
  <si>
    <t>LOSA DE FONDO 0.30 - 0.99</t>
  </si>
  <si>
    <t>MURO 0.30 - 2.50 QQ/M3</t>
  </si>
  <si>
    <t>MUROS  0.25 - 2.32 QQ/M3</t>
  </si>
  <si>
    <t>MENSULAS DE APOYO 0.10 X 0.2 - 2.33 QQ/M3</t>
  </si>
  <si>
    <t>TOLVAS  DE LOS SEDIMENTADORES</t>
  </si>
  <si>
    <t>INSTALACIONES EN FONDO P/RECOLECTOR DE LODOS</t>
  </si>
  <si>
    <t>8.4.1</t>
  </si>
  <si>
    <t>TUB. 16' ACERO</t>
  </si>
  <si>
    <t>8.4.2</t>
  </si>
  <si>
    <t>NIPLE 4 X 3</t>
  </si>
  <si>
    <t>8.4.3</t>
  </si>
  <si>
    <t>VALVULA MARIPOSA 16" C/VASTAGO H=5.20 M (EN DESAGUE DE LODO)(CUB. C/FACTURA)</t>
  </si>
  <si>
    <t>8.4.4</t>
  </si>
  <si>
    <t>TUBERIA COLECTORA 6" PVC L=3.40</t>
  </si>
  <si>
    <t>8.4.5</t>
  </si>
  <si>
    <t xml:space="preserve">ORIFICIOS 6" </t>
  </si>
  <si>
    <t>8.4.6</t>
  </si>
  <si>
    <t xml:space="preserve">SISTEMA DE MODULOS DE FILTRADO P/ DECANTACION TUBULAR (LOMELLAN) ACCUPAC-IFR-6024 CONSTRUIDA DE PVC DE ALTA  RESIST.  P/6 DEPOSITOS DE DECANTADORES DE 4 X 2.44ML CUBIERTO C/MODULO DE 2'' C 8' </t>
  </si>
  <si>
    <t>P3</t>
  </si>
  <si>
    <t>CANALETAS PARA RECOLECCION AGUA SEDIMENTADA</t>
  </si>
  <si>
    <t>HORMIGON ARMADO EN :F'C=210 KG/CM2</t>
  </si>
  <si>
    <t>LOSA  0.15 - 1.42 QQ/M3</t>
  </si>
  <si>
    <t>TERMINACION DE SUPERFICIE:</t>
  </si>
  <si>
    <t>CANAL DE DESAGUE DE SEDIMENTADORES</t>
  </si>
  <si>
    <t>10.1.1</t>
  </si>
  <si>
    <t>LOSA DE FONDO 0.30 - 0.99 QQ/M3</t>
  </si>
  <si>
    <t>10.2.1</t>
  </si>
  <si>
    <t>10.2.2</t>
  </si>
  <si>
    <t>CANAL DE ENTRADA A FILTROS</t>
  </si>
  <si>
    <t>11.2.3</t>
  </si>
  <si>
    <t>FILTROS</t>
  </si>
  <si>
    <t>LOSA DE FONDO 0.30 - 0.99QQ/M3</t>
  </si>
  <si>
    <t>MUROS 0.30 - 2.50 QQ/M3</t>
  </si>
  <si>
    <t>MUROS 0.15 - 2.75 QQ/M3</t>
  </si>
  <si>
    <t xml:space="preserve">RELLENO H.S  EN FONDO </t>
  </si>
  <si>
    <t>CANALETA RECOLECCION AGUA RETROLAVADO</t>
  </si>
  <si>
    <t>11.5.1</t>
  </si>
  <si>
    <t>11.5.1.1</t>
  </si>
  <si>
    <t>LOSA DE FONDO 0.10 - 2.08 QQ/M3</t>
  </si>
  <si>
    <t>15.5.1.2</t>
  </si>
  <si>
    <t>MUROS 0.10 - 4.18 QQ/M3</t>
  </si>
  <si>
    <t>11.5.2</t>
  </si>
  <si>
    <t>11.5.2.1</t>
  </si>
  <si>
    <t>11.5.2.2</t>
  </si>
  <si>
    <t>11.5.2.3</t>
  </si>
  <si>
    <t>SISTEMA DE INYECCION DE AIRE PARA LIMPIEZA  (INC. TOBERAS, LOSAS PREFABRICAEDAS)</t>
  </si>
  <si>
    <t>SP</t>
  </si>
  <si>
    <t>MATERIAL FILTRANTE</t>
  </si>
  <si>
    <t>11.7.1</t>
  </si>
  <si>
    <t>ARENA e=0.50 M</t>
  </si>
  <si>
    <t>11.7.2</t>
  </si>
  <si>
    <t xml:space="preserve">ENVASADO </t>
  </si>
  <si>
    <t>11.7.3</t>
  </si>
  <si>
    <t xml:space="preserve">COLOCACION </t>
  </si>
  <si>
    <t>INSTALACIONES</t>
  </si>
  <si>
    <t>11.8.1</t>
  </si>
  <si>
    <t>VALVULA MARIPOSA 4" C/VASTAGO H=3.02 M ENTRADA FILTROS</t>
  </si>
  <si>
    <t>11.8.2</t>
  </si>
  <si>
    <t>VALVULA MARIPOSA 4" C/VASTAGO H=3.30 M RETROLAVADO</t>
  </si>
  <si>
    <t>11.8.3</t>
  </si>
  <si>
    <t>VALVULA MARIPOSA 4" C/VASTAGO H=4.60 M DESAGUE</t>
  </si>
  <si>
    <t>11.8.4</t>
  </si>
  <si>
    <t xml:space="preserve">VALVULA COMPUERTA 4" C/VASTAGO H=2.60 M INTERCONEXION </t>
  </si>
  <si>
    <t>11.8.5</t>
  </si>
  <si>
    <t>VALVULA MARIPOSA 8" C/VASTAGO H=2.70 M SALIDA</t>
  </si>
  <si>
    <t>11.8.6</t>
  </si>
  <si>
    <t>VERTEDOR DE CONTROL 1.00X0.61 (MADERA)</t>
  </si>
  <si>
    <t>FILTRACION DIRECTA</t>
  </si>
  <si>
    <t>SUM. Y COLOC. TUBERIA 8" ACERO</t>
  </si>
  <si>
    <t xml:space="preserve">M </t>
  </si>
  <si>
    <t>SUM. Y COLOC. CODO 8X90 ACERO-ACERO</t>
  </si>
  <si>
    <t>SUM. Y COLOC. TEE 8X8 ACERO (INTERSECCION SEDIMENTADORES)</t>
  </si>
  <si>
    <t>CANAL DE DESAGUE RETROLAVADO DE FILTROS</t>
  </si>
  <si>
    <t>13.1.1</t>
  </si>
  <si>
    <t>13.2.1</t>
  </si>
  <si>
    <t>13.2.2</t>
  </si>
  <si>
    <t>CANAL DE INTERCONEXION FILTROS</t>
  </si>
  <si>
    <t>14.1.1</t>
  </si>
  <si>
    <t>14.2.1</t>
  </si>
  <si>
    <t>14.2.2</t>
  </si>
  <si>
    <t>CANAL DE DESAGUE DE FILTROS</t>
  </si>
  <si>
    <t>15.1.1</t>
  </si>
  <si>
    <t>15.2.1</t>
  </si>
  <si>
    <t>15.2.2</t>
  </si>
  <si>
    <t>15.2.3</t>
  </si>
  <si>
    <t xml:space="preserve">REGISTRO SALIDA AGUA FILTRADA </t>
  </si>
  <si>
    <t>16.1.1</t>
  </si>
  <si>
    <t>LOSA DE FONDO 0.30 - 0.56QQ/M3</t>
  </si>
  <si>
    <t>16.1.2</t>
  </si>
  <si>
    <t>MUROS 0.25 - 2.50 QQ/M3</t>
  </si>
  <si>
    <t>16.2.1</t>
  </si>
  <si>
    <t>16.2.2</t>
  </si>
  <si>
    <t>16.2.3</t>
  </si>
  <si>
    <t>PASARELAS</t>
  </si>
  <si>
    <t>17.1.1</t>
  </si>
  <si>
    <t>LOSA DE TECHO  0.12 - 1.65QQ/M3</t>
  </si>
  <si>
    <t>BARANDA 1/2"H.G H=1.00 ML</t>
  </si>
  <si>
    <t>ESCALERA HORMIGON ARMADO L=4.50 M</t>
  </si>
  <si>
    <t>REGISTRO DE DESAGUE</t>
  </si>
  <si>
    <t>20.1.1</t>
  </si>
  <si>
    <t>20.1.2</t>
  </si>
  <si>
    <t>20.2.1</t>
  </si>
  <si>
    <t>20.2.2</t>
  </si>
  <si>
    <t>20.2.3</t>
  </si>
  <si>
    <t>20.2.4</t>
  </si>
  <si>
    <t xml:space="preserve">INSTALACIONES </t>
  </si>
  <si>
    <t>20.3.1</t>
  </si>
  <si>
    <t>TUBERIA 16" PVC SDR - 26 C/J.G</t>
  </si>
  <si>
    <t>20.3.2</t>
  </si>
  <si>
    <t>JUNTA DRESSER 16" P/PVC</t>
  </si>
  <si>
    <t>20.3.3</t>
  </si>
  <si>
    <t>TAPA 0.80 X 0.80 ALUMINIO</t>
  </si>
  <si>
    <t>MOVIMIENTO DE TIERRA P/TUBERIA</t>
  </si>
  <si>
    <t>20.4.1</t>
  </si>
  <si>
    <t>20.4.2</t>
  </si>
  <si>
    <t>20.4.3</t>
  </si>
  <si>
    <t>BOTE DE MATERIAL IN SITU</t>
  </si>
  <si>
    <t>OTROS</t>
  </si>
  <si>
    <t>TAPA 0.8 X 0.8 ALUMINIO EN TECHO'CANALES DE INTERCONEXION , CONTACTO DE CLORO Y AGUA FILTRADA</t>
  </si>
  <si>
    <t>EQUIPOS Y MATERIALES PTA</t>
  </si>
  <si>
    <t>MANO DE OBRA INSTALACIONES GENERAL</t>
  </si>
  <si>
    <t>TERMINACIÓN EXTERIOR PLANTA</t>
  </si>
  <si>
    <t>CANTOS Y MOCHETAS</t>
  </si>
  <si>
    <t>ACERA PERIMETRAL 0.80 M</t>
  </si>
  <si>
    <t>BASE BLANCA</t>
  </si>
  <si>
    <t>LETRERO Y LOGO DE INAPA</t>
  </si>
  <si>
    <t>APLICACIÓN DE</t>
  </si>
  <si>
    <t>IMPERMEABILIZANTE SX PEL</t>
  </si>
  <si>
    <t>JUNTAS  WATER STOP 9"</t>
  </si>
  <si>
    <t>PUESTA EN MARCHA Y OPERACIÓN DE LA PLANTA</t>
  </si>
  <si>
    <t>CASETA P/MATERIALES</t>
  </si>
  <si>
    <t>II</t>
  </si>
  <si>
    <t xml:space="preserve">CASA DE QUÍMICOS </t>
  </si>
  <si>
    <t>EXCAVACIÓN MATERIAL A MANO</t>
  </si>
  <si>
    <t>ZAPATA DE MURO , ESP.=0.25M - 0.78 QQ/M3</t>
  </si>
  <si>
    <t xml:space="preserve">ZAPATA DE COLUMNA   (1.20 X 1.20), ESP.=0.25M - 1.39 QQ/M3 </t>
  </si>
  <si>
    <t>COLUMNA CA (0.20 X 0.20) - 7.86 QQ/M3</t>
  </si>
  <si>
    <t>VIGA (0.20 X 0.30) - 5.61 QQ/M3</t>
  </si>
  <si>
    <t>DINTEL (0.15 X 0.20) -4.48 QQ/M3</t>
  </si>
  <si>
    <t>LOSA DE ENTREPISO  ESP.=0.12M - 1.35 QQ/M3</t>
  </si>
  <si>
    <t>LOSA DE TECHO  ESP.=0.12M - 1.35 QQ/M3</t>
  </si>
  <si>
    <t>MUROS BLOQUES</t>
  </si>
  <si>
    <t>BLOQUE HORM. 4", 3/8" A 0.20 M SNP(APOYOS MESETA COCINA)</t>
  </si>
  <si>
    <t xml:space="preserve">MURO BLOQUES 6" </t>
  </si>
  <si>
    <t>TERMINACIÓN DE SUPERFICIE</t>
  </si>
  <si>
    <t>PAÑETE INTERIOR, EXTERIOR Y TECHO</t>
  </si>
  <si>
    <t>FINO TECHO</t>
  </si>
  <si>
    <t>PISO DE HORMIGON SIMPLE</t>
  </si>
  <si>
    <t xml:space="preserve">ANTEPECHO </t>
  </si>
  <si>
    <t>ZABALETA</t>
  </si>
  <si>
    <t>PORTAJES</t>
  </si>
  <si>
    <t>PUERTA METÁLICA  ENRROLLABLE( 2.40 X 2.10)M - (INCLUYE PINTURA, LLAVIN Y TRANSPORTE) (1U)</t>
  </si>
  <si>
    <t>VENTANA ALUMINIO (1.00 X 1.10)M - (5U)</t>
  </si>
  <si>
    <t>TARIMA DE MADERA PARA SACOS DE SULFATO  (2.10X1.40X0.20)M</t>
  </si>
  <si>
    <t>EQUIPOS DOSIFICADORES</t>
  </si>
  <si>
    <t>BOMBA DOSIFICADORA DE SULFATO, HIPOCLORITO Y  POLIMERO 50 L/H @ 15' TDH,CAUDAL: 0-100 LT/HR, FRECUENCIA: 60 HZ, POTENCIA MOTOR 1/2 HP, FASE:MONOFASICA, VOLTAJE: 120-240V.</t>
  </si>
  <si>
    <t>TUBERÍA Ø½" PVC PARA CONDUCCIÓN DE SOLUCIÓN</t>
  </si>
  <si>
    <t>PIE</t>
  </si>
  <si>
    <t>PIEZAS ESPECIALES DE Ø1/2" PVC</t>
  </si>
  <si>
    <t>BOMBA EYECTORA DE 1 HP</t>
  </si>
  <si>
    <t>TANQUES DE DISOLUCIÓN DE 150 GLS PLÁSTICOS</t>
  </si>
  <si>
    <t>PIEZAS Y ACCESORIOS</t>
  </si>
  <si>
    <t>ESTRUCTURA SOPORTE - BASE SUSPENSION</t>
  </si>
  <si>
    <t>DIFUSOR DE SULFATO</t>
  </si>
  <si>
    <t>SUMINISTRO E INSTALACION AGITADORES (MIXERS) SULFATO DE ALUMINIO,MOTOR 11/2 HP, MONOFASICO 115/230V ,1750 RPM CON MOTO - REDUCTOR A 300 RPM, VASTAGO 3/4" ACERO INOXIDABLE , ASPAS C/4 ALETAS ACERO INOXIDABLE L=4"  (CUBICAR CON FACTURA)</t>
  </si>
  <si>
    <t>ELEVADOR DE SULFATO</t>
  </si>
  <si>
    <t>SUMINISTRO Y COLOCACION DE DIFERENCIAL CAPACIDAD 1 TONELADA (CUBICAR CON FACTURA)</t>
  </si>
  <si>
    <t>INSTALACIONES SANITARIAS</t>
  </si>
  <si>
    <t>LAVAMANOS COMPLETO</t>
  </si>
  <si>
    <t>INODORO BLANCO (CON TAPA)</t>
  </si>
  <si>
    <t>DESAGÜE DE PISO Ø2"</t>
  </si>
  <si>
    <t>FREGADERO DOBLE ACERO INOXIDABLE</t>
  </si>
  <si>
    <t>CÁMARA DE INSPECCIÓN</t>
  </si>
  <si>
    <t>TUBERÍA Y PIEZAS PVC Y HG</t>
  </si>
  <si>
    <t>EXCAVACION TUBERIA</t>
  </si>
  <si>
    <t>MANO DE OBRA PLOMERO</t>
  </si>
  <si>
    <t>INSTALACIONES ELÉCTRICAS</t>
  </si>
  <si>
    <t xml:space="preserve">SALIDAS LUCES CENITALES </t>
  </si>
  <si>
    <t>SALIDA TOMACORRIENTE DOBLE 120V</t>
  </si>
  <si>
    <t>SALIDA INTERRUCTOR SENCILLO</t>
  </si>
  <si>
    <t>ENTRADA GENERAL</t>
  </si>
  <si>
    <t>GABINETES  Y MESETAS</t>
  </si>
  <si>
    <t>GABINETE DE PISO EN PINO (L=2.00M)(CON GAVETAS, CORREDERA TELESCOPICA INCLUYE: VISAGARA, INSTALADO Y PINTADO)</t>
  </si>
  <si>
    <t>MESETA DE MARMOLITE (19.05 PIE2)</t>
  </si>
  <si>
    <t>EQUIPOS DE LABORATORIO</t>
  </si>
  <si>
    <t>TURBIDIMETRO NEFELOMETRICO HACH  MODELO 2100 P.</t>
  </si>
  <si>
    <t>EQUIPO DE PRUEBA DE JARRAS PB-900 (PROGRAMABLE) (CUB. CON FACTURA)</t>
  </si>
  <si>
    <t>COMPARADOR DE CLORO LIBRE Y COMBINADO</t>
  </si>
  <si>
    <t>TERMÓMETRO DE VIDRIO DE 20 @ 110º C</t>
  </si>
  <si>
    <t>MATRAZ AFORADO DE 100 ML VIDRIO</t>
  </si>
  <si>
    <t>MOBILIARIO</t>
  </si>
  <si>
    <t xml:space="preserve">BANQUETAS DE PINO </t>
  </si>
  <si>
    <t>ESCRITORIO SECRETARIAL DE METAL LAMINADO</t>
  </si>
  <si>
    <t>SILLON SECRETARIAL SISTEMA NEUMATICO</t>
  </si>
  <si>
    <t>UTENSILIOS PARA LIMPIEZA</t>
  </si>
  <si>
    <t xml:space="preserve">PALA DE CONSTRUCCION </t>
  </si>
  <si>
    <t>CEPILLO DE ALAMBRE</t>
  </si>
  <si>
    <t>ESPATULA DE ACERO</t>
  </si>
  <si>
    <t>COLADORES CON PALOS 3.00M</t>
  </si>
  <si>
    <t>MACHETES</t>
  </si>
  <si>
    <t>AZADAS</t>
  </si>
  <si>
    <t>MANGUERA DE ALTA PRESION 11/2"</t>
  </si>
  <si>
    <t>CUBOS PARA LIMPIEZA</t>
  </si>
  <si>
    <t>SUAPER</t>
  </si>
  <si>
    <t>DETERGENTE</t>
  </si>
  <si>
    <t>ESCOBILLONES</t>
  </si>
  <si>
    <t>RASTRILLOS DE HOJAS (HOJALATA)</t>
  </si>
  <si>
    <t>RASTRILLOS DE HF(CON  DIENTES)</t>
  </si>
  <si>
    <t>III</t>
  </si>
  <si>
    <t>CASETA DE CLORO Y CLORADORES</t>
  </si>
  <si>
    <t>ZAPATA MURO 0.81 QQ/M3</t>
  </si>
  <si>
    <t>VIGA AMARRE 0.15 x 0.15 - 4.57 QQ/M3</t>
  </si>
  <si>
    <t>LOSA DE TECHO 0.10 - 1.04 QQ/M3</t>
  </si>
  <si>
    <t>MUROS DE BLOCKES:</t>
  </si>
  <si>
    <t>MURO BLOCK CALADOS</t>
  </si>
  <si>
    <t>MURO BLOCK 6" VIOLINADO 2 CARAS</t>
  </si>
  <si>
    <t>TERMINACIÓN DE SUPERFICIE:</t>
  </si>
  <si>
    <t xml:space="preserve">FINO DE TECHO </t>
  </si>
  <si>
    <t>PISO HORMIGON  SIMPLE</t>
  </si>
  <si>
    <t>ANTEPECHO</t>
  </si>
  <si>
    <t>PUERTA EVER LAST ( INC. LLAVÍN E INSTALACION )</t>
  </si>
  <si>
    <t>ACERA PERIMETRAL 0.60M</t>
  </si>
  <si>
    <t>ELECTRIFICACIÓN ELECTRICAS:</t>
  </si>
  <si>
    <t>ENTRADA ELÉCTRICA</t>
  </si>
  <si>
    <t>SALIDA ELÉCTRICA</t>
  </si>
  <si>
    <t>INTERRUPTORES  SENCILLOS</t>
  </si>
  <si>
    <t>TOMACORRIENTES SENCILLOS</t>
  </si>
  <si>
    <t>LOGO Y LETRERO INAPA</t>
  </si>
  <si>
    <t>SISTEMA DE CLORACION</t>
  </si>
  <si>
    <t>DOSIFICADOR DE CLORO APLICACIÓN AL VACIO CON RANGO  DE 0-100 LBS. /DIA</t>
  </si>
  <si>
    <t>BOMBA ROMPEDORA DE PRESIÓN TIPO BOOSTER 1 HP-60HZ</t>
  </si>
  <si>
    <t>CILINDRO DE GAS CLORO LLENO ( INSTALADO )</t>
  </si>
  <si>
    <t>REGISTRO DE APLICACION</t>
  </si>
  <si>
    <t>LIMPIEZA FINAL</t>
  </si>
  <si>
    <t>IV</t>
  </si>
  <si>
    <t>CASA DE OPERADOR (2 HABITACIONES)</t>
  </si>
  <si>
    <t>EXCAVACION MAT. NO CLASIFICADO A MANO</t>
  </si>
  <si>
    <t>HORMIGON ARMADO</t>
  </si>
  <si>
    <t>ZAPATA DE MUROS 0.66 QQ/M3</t>
  </si>
  <si>
    <t>DINTELES 0.15X0.30 - 3.00 QQ/M3</t>
  </si>
  <si>
    <t>LOSA DE TECHO 0.10 - 1.71 QQ/M3</t>
  </si>
  <si>
    <t>MUROS DE BLOQUES</t>
  </si>
  <si>
    <t xml:space="preserve">BLOQUES DE 6" </t>
  </si>
  <si>
    <t>TERMINACION  DE SUPERFICIE</t>
  </si>
  <si>
    <t>PAÑETE INTEROR, EXTERIOR Y TECHO</t>
  </si>
  <si>
    <t>PISO MOSAICOS CORRIENTES</t>
  </si>
  <si>
    <t>FINO DE TECHO</t>
  </si>
  <si>
    <t xml:space="preserve">ZOCALOS </t>
  </si>
  <si>
    <t>Ml</t>
  </si>
  <si>
    <t>SUMINISTRO E INSTALACION SANITARIA</t>
  </si>
  <si>
    <t>PILETA BAÑERA</t>
  </si>
  <si>
    <t>INODORO COMPLETO</t>
  </si>
  <si>
    <t>BARRA PARA CORTINA</t>
  </si>
  <si>
    <t>DUCHA</t>
  </si>
  <si>
    <t>DESAGUE DE PISO</t>
  </si>
  <si>
    <t>FREGADERO SENCILLO NIQUELADO</t>
  </si>
  <si>
    <t>CAMARA DE INSPECCION</t>
  </si>
  <si>
    <t>TRAMPA DE GRASA</t>
  </si>
  <si>
    <t>CAMARA SEPTICA</t>
  </si>
  <si>
    <t>POZO FILTRANTE</t>
  </si>
  <si>
    <t>TUBERIAS Y PIEZAS</t>
  </si>
  <si>
    <t>INSTALACIONES ELECTRICAS</t>
  </si>
  <si>
    <t>SALIDAS CENITALES</t>
  </si>
  <si>
    <t>TOMACORRIENTES 110 V EN DOBLE</t>
  </si>
  <si>
    <t>INTERRUPTORES SENCILLO</t>
  </si>
  <si>
    <t>CAJA DE BREAKER</t>
  </si>
  <si>
    <t>PORTAJE</t>
  </si>
  <si>
    <t>VENTANA</t>
  </si>
  <si>
    <t>VENTANA DE ALUMINIO</t>
  </si>
  <si>
    <t>V</t>
  </si>
  <si>
    <t>ELECTRIFICACION PLANTA DE TRATAMIENTO</t>
  </si>
  <si>
    <t>ELECTRIFICACION PRIMARIA</t>
  </si>
  <si>
    <t>POSTES DE HAV 35'  500 DAN</t>
  </si>
  <si>
    <t>CONDUCTOR AAA/C NO. 2/0</t>
  </si>
  <si>
    <t>ESTRUCTURA MT - 307</t>
  </si>
  <si>
    <t>ESTRUCTURA  HA-100B</t>
  </si>
  <si>
    <t>TRANSFORMADOR DE 15 KVA,1Ø, REGULACUION ESPECIAL 30%,  - 7200/120-240V SUMERGIDO EN ACEITE  TIPO POSTE</t>
  </si>
  <si>
    <t>CUT-OUT DE 200 AMP</t>
  </si>
  <si>
    <t>PARARRAYOS DE 9 KV</t>
  </si>
  <si>
    <t>ATERRIZAJE COMPLETO</t>
  </si>
  <si>
    <t>CIMENTACION DE POSTES</t>
  </si>
  <si>
    <t>HOYO PARA POSTES</t>
  </si>
  <si>
    <t>HOYO PARA VIENTOS</t>
  </si>
  <si>
    <t>INSTALACION DE POSTES</t>
  </si>
  <si>
    <t>MANO DE OBRA ELECTRICA PRIMARIA (20 %)</t>
  </si>
  <si>
    <t xml:space="preserve">ELECTRIFICACION SECUNDARIA </t>
  </si>
  <si>
    <t>CONDULET EMT Ø 3''</t>
  </si>
  <si>
    <t xml:space="preserve">COUPLING EMT 3' </t>
  </si>
  <si>
    <t>TUBERIA  EMT Ø 3'' X 10'</t>
  </si>
  <si>
    <t>CURVA EMT  Ø 3''''</t>
  </si>
  <si>
    <t>TERMINAL  EMT - Ø 3''''</t>
  </si>
  <si>
    <t>TUBERIA PVC  Ø 3'''' X 20'</t>
  </si>
  <si>
    <t>CURVA  PVC DE 3''"</t>
  </si>
  <si>
    <t>TUBERIA PVC  Ø 2'''' X 20'</t>
  </si>
  <si>
    <t>TUBERIA PVC  Ø 1'' X 20'</t>
  </si>
  <si>
    <t>TUBERIA PVC  Ø 3/4'' X 20'</t>
  </si>
  <si>
    <t>TUBERIA FLEXIBLE LICUIT TIGHT  Ø 1 1/2"</t>
  </si>
  <si>
    <t>TERMINAL RECTO LICUIT - TIGHT Ø 1 1/2"</t>
  </si>
  <si>
    <t>TERMINAL CURVO LICUIT - TIGHT Ø 1 1/2"</t>
  </si>
  <si>
    <t>CONDUCTOR THW NO. 4</t>
  </si>
  <si>
    <t>CONDUCTOR THW NO. 6</t>
  </si>
  <si>
    <t>CONDUCTOR THW NO. 8</t>
  </si>
  <si>
    <t>CONDUCTOR THW NO. 10</t>
  </si>
  <si>
    <t>MAIN BREAKER 125/2 AMP,480V.</t>
  </si>
  <si>
    <t>PANEL BOARD CON MAIN BREAKER 125/2,INC.1 BREAKER 15/2,1BREAKER  60/2,2BREAKER 30/2</t>
  </si>
  <si>
    <t>PANEL BOARD CON MAIN BREAKER 60/2,INC.2 BREAKER 15/2,3BREAKER  20/2</t>
  </si>
  <si>
    <t>REGISTRO DE BLOCK</t>
  </si>
  <si>
    <t>POSTES H.A. 25´CLASE III</t>
  </si>
  <si>
    <t>LAMPARA 175 W, 240V HPS ( TIPO COBRA )</t>
  </si>
  <si>
    <t xml:space="preserve">LAMPARA 400 W, 240V MHL </t>
  </si>
  <si>
    <t>HOYO PARA POSTE</t>
  </si>
  <si>
    <t xml:space="preserve">TAPE DE GOMA 3M SCOTCH </t>
  </si>
  <si>
    <t>MANO DE OBRA ELECTRICA  SECUNDARIA</t>
  </si>
  <si>
    <t xml:space="preserve">SUMINISTRO E INSTALACION  DE GENERADOR ELECTRICO </t>
  </si>
  <si>
    <t>SUMINISTRO DE GENERADOR  ELECTRICO DE 10KW 120/240V, 1800 RPM, 60HZ ( DIESEL) ( CUBICAR CON FACTURA)</t>
  </si>
  <si>
    <t>INSTALACION  DE GENERADOR</t>
  </si>
  <si>
    <t>SUM. Y COLOC. DE TANQUE  DE COMBUSTIBLE 100 GLS (LLENO EN SITIO)</t>
  </si>
  <si>
    <t xml:space="preserve">CONSTRUCCION DE SISTEMA  DE ESCAPE  DE GASES  </t>
  </si>
  <si>
    <t xml:space="preserve">CONSTRUCCION  SISTEMA  ALIMENTACION COMBUSTIBLE  </t>
  </si>
  <si>
    <t>CONDUCTOR THW #6</t>
  </si>
  <si>
    <t>TUBERIA  PVC Ø 3 X 20</t>
  </si>
  <si>
    <t>CURVA PVC  Ø 3''</t>
  </si>
  <si>
    <t>CONECTOR DE EMPALME  PARA THW #6</t>
  </si>
  <si>
    <t>MAIN BREAKER 60/2 AMP</t>
  </si>
  <si>
    <t>TRANSFER SWICH MANUAL 150/2 AMP</t>
  </si>
  <si>
    <t>TAPE DE PLASTICO   3M SCOTCH</t>
  </si>
  <si>
    <t>CASETA PARA GENERADOR Y SOPORTE TANQUE COMBUSTIBLE</t>
  </si>
  <si>
    <t>S.P.</t>
  </si>
  <si>
    <t>SUB TOTAL B</t>
  </si>
  <si>
    <t>SUB TOTAL C</t>
  </si>
  <si>
    <t>SUB TOTAL E</t>
  </si>
  <si>
    <t>SUB-TOTAL FASE  G</t>
  </si>
  <si>
    <t>D</t>
  </si>
  <si>
    <t>UD</t>
  </si>
  <si>
    <t>MALLA CICLONICA</t>
  </si>
  <si>
    <t>COLUMNA C1</t>
  </si>
  <si>
    <t>LOGO Y LETRERO DE INAPA</t>
  </si>
  <si>
    <t>SUMINISTRO Y COLOCACION PIEZAS ESPECIALES: (15% SUMINISTRO TUBERIA)</t>
  </si>
  <si>
    <t>TUBERIA  Ø12" ACERO (SCH-30 SIN COSTURA C/ PROTECCION ANTICORROSIVA)</t>
  </si>
  <si>
    <t>TUBERIA Ø4" PVC SRD - 21 C/JUNTA GOMA + 2% DE PERDIDA</t>
  </si>
  <si>
    <t>DE DESAGÜE DE Ø4" H.F. EN TUB. Ø12"</t>
  </si>
  <si>
    <t>Fase</t>
  </si>
  <si>
    <t>Tema</t>
  </si>
  <si>
    <t>Pregunta</t>
  </si>
  <si>
    <t>cajas telescópicas o Registros</t>
  </si>
  <si>
    <t>Piezas especiales</t>
  </si>
  <si>
    <t>Seguridad y señalización</t>
  </si>
  <si>
    <t>Válvulas</t>
  </si>
  <si>
    <t>Limpieza Final</t>
  </si>
  <si>
    <t>Material de tubería y SDR</t>
  </si>
  <si>
    <t>DE Ø12" PVC SRD-21 C/J. G. + 4%  PERDIDA POR CAMP.</t>
  </si>
  <si>
    <t>DE AIRE COMBINADA Ø2" H.F. EN TUB. Ø12"</t>
  </si>
  <si>
    <t>Empalmes</t>
  </si>
  <si>
    <t>Anclajes, juntas</t>
  </si>
  <si>
    <t>F</t>
  </si>
  <si>
    <t>DE Ø3" PVC SRD-21 C/J. G. + 2%  PERDIDA POR CAMP.</t>
  </si>
  <si>
    <t>DE Ø4" PVC SRD-21 C/J. G. + 2%  PERDIDA POR CAMP.</t>
  </si>
  <si>
    <t>DE Ø6" PVC SRD-21 C/J. G. + 3%  PERDIDA POR CAMP.</t>
  </si>
  <si>
    <t>DE Ø4" PVC SRD-26 C/J. G. + 2%  PERDIDA POR CAMP.</t>
  </si>
  <si>
    <t>Acometidas</t>
  </si>
  <si>
    <t xml:space="preserve">                            ING. ARTURO RAMIREZ</t>
  </si>
  <si>
    <t>ANALISIS:San Juan de la Maguana</t>
  </si>
  <si>
    <r>
      <t xml:space="preserve">FECHA: </t>
    </r>
    <r>
      <rPr>
        <sz val="10"/>
        <rFont val="Arial"/>
        <family val="2"/>
      </rPr>
      <t>GRAL/2019</t>
    </r>
  </si>
  <si>
    <t>sdr-26</t>
  </si>
  <si>
    <t>Registros</t>
  </si>
  <si>
    <t>RED DE DISTRIBUCION  D/DEPOSITO REGULADOR A COMUNIDADES LOS LADRILLOS-POZO HONDO</t>
  </si>
  <si>
    <t>LINEA DE IMPULSION  D/PLANTA TRATAMIENTO HASTA DEPOSITO REGULADOR</t>
  </si>
  <si>
    <t xml:space="preserve">DEPOSITO REGULADOR  H.A. DE 100 M3 SUPERFICIAL     </t>
  </si>
  <si>
    <t>ZAPATA DE COLUMNA C2 1.28 QQ/M3</t>
  </si>
  <si>
    <t xml:space="preserve">COLUMNA C1  -0.25 X 0.25 -  6.63QQ/M3  </t>
  </si>
  <si>
    <t xml:space="preserve">COLUMNA C1  -0.25 X 0.30 -  4.05QQ/M3  </t>
  </si>
  <si>
    <t>VIGA 0.25 X 0.40-3.06 QQ/M3</t>
  </si>
  <si>
    <t>MUROS 0.20-3.20QQ/M3</t>
  </si>
  <si>
    <t>LOSA DE TECHO 0.15-1.76 QQ/M3</t>
  </si>
  <si>
    <t>REGISTRO Y VENTILACION</t>
  </si>
  <si>
    <t xml:space="preserve">ESCALERA 3/4" H.G. H=1.50M EXTERIOR </t>
  </si>
  <si>
    <t xml:space="preserve">ESCALERA 3/4" H.G. INTERIOR H=1.00 M </t>
  </si>
  <si>
    <t>ACERA EXT.0.80 ANCHO</t>
  </si>
  <si>
    <t>GRAVILLA AREA PERIMETRAL (ENBELLECIMIENTO)</t>
  </si>
  <si>
    <t xml:space="preserve">CASETA PARA MATERIALES </t>
  </si>
  <si>
    <t xml:space="preserve">LIMPIEZA FINAL </t>
  </si>
  <si>
    <t>SEGURIDAD Y SENALIZACION</t>
  </si>
  <si>
    <t xml:space="preserve">          ANALISIS </t>
  </si>
  <si>
    <t>FD</t>
  </si>
  <si>
    <t xml:space="preserve">MATERIALES  ARENA </t>
  </si>
  <si>
    <t>MATERIALES  GRAVA</t>
  </si>
  <si>
    <t>MATERIALES  ARENA PARA PAÑETE</t>
  </si>
  <si>
    <t>H.S. PARA F'C= 280 KGS/ CM2</t>
  </si>
  <si>
    <t>R.D.$</t>
  </si>
  <si>
    <t>H.S. PARA F'C= 240 KGS/ CM2</t>
  </si>
  <si>
    <t>H.S. PARA F'C=140 KGS/CM2</t>
  </si>
  <si>
    <t>ARENA  P/ PAÑETE</t>
  </si>
  <si>
    <t xml:space="preserve">PAÑETE EXTERIOR GENERAL </t>
  </si>
  <si>
    <t>MANO DE OBRAY PULIDO</t>
  </si>
  <si>
    <t xml:space="preserve">   </t>
  </si>
  <si>
    <t>RD-$</t>
  </si>
  <si>
    <t>RD$</t>
  </si>
  <si>
    <t>FROTADO Y VIOLINADO PISO DE RAMPA</t>
  </si>
  <si>
    <t xml:space="preserve">RECLA ( 1 DE 1" X 4" X 2.62' / 10 USO ) </t>
  </si>
  <si>
    <t xml:space="preserve"> FROTADO , PULIDO Y VIOLINADO </t>
  </si>
  <si>
    <t>ACERO</t>
  </si>
  <si>
    <t>ALAMBRE NO.18.  2 LIB.XQQ</t>
  </si>
  <si>
    <t xml:space="preserve">ACERO PARA  ( VIGAS Y COLUMNAS) </t>
  </si>
  <si>
    <t>MURO DE BLOQUES DE 6" B.N.P</t>
  </si>
  <si>
    <t>MURO DE BLOQUES DE 4" B.N.P</t>
  </si>
  <si>
    <t>SUMINISTRO BLOQUES 4"</t>
  </si>
  <si>
    <t>COLOCACION BLOQUES 4"</t>
  </si>
  <si>
    <t>MORTERO P/JUNTA +30% DESP.</t>
  </si>
  <si>
    <t>HORMIGON EN CAMARA +10% DESP.</t>
  </si>
  <si>
    <t>ACERO 3/8" +20% DESP.</t>
  </si>
  <si>
    <t xml:space="preserve">ANDAMIOS P/BLOQUES </t>
  </si>
  <si>
    <t>BLOQUES CALADOS</t>
  </si>
  <si>
    <t>SUMINISTRO BLOQUES</t>
  </si>
  <si>
    <t xml:space="preserve">COLOCACION BLOQUES </t>
  </si>
  <si>
    <t xml:space="preserve">MEZCLA P/PAÑETE </t>
  </si>
  <si>
    <t xml:space="preserve">DESP. BLOQUES </t>
  </si>
  <si>
    <t>PREPARACION DE TERRENO</t>
  </si>
  <si>
    <t>H.S. 180KG/CM2+5% DESP.</t>
  </si>
  <si>
    <t xml:space="preserve">ELABORACION VACIADO Y FROTADO </t>
  </si>
  <si>
    <t xml:space="preserve">CANTOS LATERALES </t>
  </si>
  <si>
    <t>PISO HORMIGON SIMPLE PULIDO</t>
  </si>
  <si>
    <t>HORMIGON 1:3:5</t>
  </si>
  <si>
    <t>MORTERO 1:4</t>
  </si>
  <si>
    <t xml:space="preserve">ELAB. VAC. FROT. Y VIOL. </t>
  </si>
  <si>
    <t>CEMENTO GRIS PULIDO</t>
  </si>
  <si>
    <t>HORMIGON CICLOPEO</t>
  </si>
  <si>
    <t>H.S. 140KG/CM2+5% DESP.</t>
  </si>
  <si>
    <t xml:space="preserve">PIEDRA </t>
  </si>
  <si>
    <t>BLOCK 6"</t>
  </si>
  <si>
    <t xml:space="preserve">PINTURA MANTENIMIENTO (SIN ANDAMIOS) </t>
  </si>
  <si>
    <t>SUMINISTRO PINTURA</t>
  </si>
  <si>
    <t>GL/M2</t>
  </si>
  <si>
    <t xml:space="preserve">THINNER </t>
  </si>
  <si>
    <t xml:space="preserve">APLICACIÓN DOS MANOS </t>
  </si>
  <si>
    <t>DESPERDICIO Y RETOQUES 15%</t>
  </si>
  <si>
    <t>COSTO/HR</t>
  </si>
  <si>
    <t xml:space="preserve">IMPERMEABILIZANTE HIDROFUGO REPELENTE DE AGUA 25 M2 ( 6,914 PESOS) </t>
  </si>
  <si>
    <t xml:space="preserve">SUMINISTRO IMPERMEABILIZANTE </t>
  </si>
  <si>
    <t>APLICACIÓN</t>
  </si>
  <si>
    <t>SUBIDA DE MATERIALES</t>
  </si>
  <si>
    <t xml:space="preserve">CAJUELA </t>
  </si>
  <si>
    <t>ZAPATA DE MUROS 0.30 - 0.86 QQ/M3</t>
  </si>
  <si>
    <t>H.S. 280 KG/CM2</t>
  </si>
  <si>
    <t>ZAPATA DE COLUMNA 0.40 - 1.00 QQ/M3</t>
  </si>
  <si>
    <t>SUMINISTRO  + ALAMBRE + M.O. ACERO</t>
  </si>
  <si>
    <t>MUROS 0.25 - 2.79 QQ/M3</t>
  </si>
  <si>
    <t>ENC.Y DESENC.</t>
  </si>
  <si>
    <t>ZAPATA DE COLUMNA QQ/M3 .25*0.2</t>
  </si>
  <si>
    <t>COLUMNA ( 0.40 X 0.40 ) 5.02 QQ/M3</t>
  </si>
  <si>
    <t>SUMINISTRO  + ALAMBRE</t>
  </si>
  <si>
    <t xml:space="preserve">MANO DE OBRA ACERO </t>
  </si>
  <si>
    <t>VIGA ( 0.20 X 0.40 ) 2.71 QQ/M3</t>
  </si>
  <si>
    <t>LOSA DE TECHO 0.15 - 1.15 QQ/M3</t>
  </si>
  <si>
    <t>ZAPATA DE MURO 0.46 QQ/M3</t>
  </si>
  <si>
    <t>H.S. 280KG/CM2</t>
  </si>
  <si>
    <t>VERJA DE MALLA CICLONICA, LONGITUD DE ANALISIS L=12.00</t>
  </si>
  <si>
    <t>ZAPATA DE MURO  P/VERJA-1.20 X1.20  1.13 QQ/M3</t>
  </si>
  <si>
    <t>P.A</t>
  </si>
  <si>
    <t>EXCAVACION A MANO</t>
  </si>
  <si>
    <t>BOTE</t>
  </si>
  <si>
    <t>ZAPATA DE MURO 0.60 qq/M3</t>
  </si>
  <si>
    <t>BLOCK 6" ( 3 LINEA )</t>
  </si>
  <si>
    <t>LOMO DE PERRO</t>
  </si>
  <si>
    <t>TUBO 1 1/4"X20' H.G.</t>
  </si>
  <si>
    <t>MALLA CICLONICA No.9</t>
  </si>
  <si>
    <t>COPA DE 2"</t>
  </si>
  <si>
    <t>COPA DE 1 1/2"</t>
  </si>
  <si>
    <t>PALOMETA DOBLE</t>
  </si>
  <si>
    <t>ALAMBRE DE PUAS</t>
  </si>
  <si>
    <t>ALAMBRE DULCE NO.18</t>
  </si>
  <si>
    <t xml:space="preserve">PAÑETE MURO </t>
  </si>
  <si>
    <t>PINTURA VERJA , PALOMETAS, TUBOS , ALAMBRES Y DESP. MANTENIMIANTO</t>
  </si>
  <si>
    <t xml:space="preserve">PLANCHUELAS 1 x 1/8 </t>
  </si>
  <si>
    <t>ABRAZADERAS 1 1/2 METAL</t>
  </si>
  <si>
    <t>PINTURA LOMO DE PERRO Y MURO ACRLICA</t>
  </si>
  <si>
    <t>TOTAL GENERAL ANAL.VERJA</t>
  </si>
  <si>
    <t>COSTO POR M/L</t>
  </si>
  <si>
    <t>COSTO P/M</t>
  </si>
  <si>
    <t>PUERTA DE MALLA CICLONICA 4 ML.</t>
  </si>
  <si>
    <t>TUB.1 1/2"X15' H.G.</t>
  </si>
  <si>
    <t>TUB.1 1/4"X15' H.G.</t>
  </si>
  <si>
    <t>COPA 2"</t>
  </si>
  <si>
    <t>COPA 1 1/2"</t>
  </si>
  <si>
    <t>PLANCHUELAS 1X1/8"</t>
  </si>
  <si>
    <t>ALAMBRE No.8</t>
  </si>
  <si>
    <t>LIBRA</t>
  </si>
  <si>
    <t>SOLDADORA</t>
  </si>
  <si>
    <t>PERSONAL:</t>
  </si>
  <si>
    <t>MAESTRO  SOLDADOR (UNO)</t>
  </si>
  <si>
    <t>AYUDANTE  CALIFICADO</t>
  </si>
  <si>
    <t>PEON (UNO)</t>
  </si>
  <si>
    <t>CANDADO</t>
  </si>
  <si>
    <t>PORTA CANDADO</t>
  </si>
  <si>
    <t>BISAGRA</t>
  </si>
  <si>
    <t xml:space="preserve">ALAMBRE DE PUAS </t>
  </si>
  <si>
    <t>INSTALACION</t>
  </si>
  <si>
    <t>TOTAL PUERTA MALLA CICLONICA</t>
  </si>
  <si>
    <t>COLUMNAS VERJA MALLA CILONICA</t>
  </si>
  <si>
    <t>COLUMNAS C1 0.15X0.15 - 8.15QQ/M3  F'C=180KG/CM2</t>
  </si>
  <si>
    <t xml:space="preserve">VOLUMEN C1 /UD = </t>
  </si>
  <si>
    <t>HORMIGON   COLUMNA C1</t>
  </si>
  <si>
    <t>&gt;&gt;&gt;&gt;&gt;&gt;&gt;&gt;&gt;&gt;&gt;&gt;&gt;&gt;&gt;&gt;&gt;&gt;&gt;&gt;&gt;&gt;&gt;&gt;&gt;&gt;&gt;&gt;&gt;&gt;&gt;&gt;&gt;</t>
  </si>
  <si>
    <t>COLUMNAS C2 INCLUYE ZAPATA</t>
  </si>
  <si>
    <t>COLUMNAS C2 0.25X0.25 - 4.79QQ/M3  F'C=180KG/CM2</t>
  </si>
  <si>
    <t xml:space="preserve">VOLUMEN C2 /UD = </t>
  </si>
  <si>
    <t xml:space="preserve">$ / UD = </t>
  </si>
  <si>
    <t>/UD</t>
  </si>
  <si>
    <t>ZAPATA 0.75X0.75 - 1.43QQ/M3  F'C=180KG/CM2</t>
  </si>
  <si>
    <t xml:space="preserve">VOLUMEN Z /UD = </t>
  </si>
  <si>
    <t>HORMIGON   COLUMNA C2 INC. ZAPATA</t>
  </si>
  <si>
    <t>PAÑETE</t>
  </si>
  <si>
    <t>COLUMNA C2 INC. ZAPATA</t>
  </si>
  <si>
    <t>VIGA V3 ( 0.20 X 0.20 ) 6.38 QQ/M3</t>
  </si>
  <si>
    <t>LOSA DE TECHO 0.13 - 1.35 QQ/M3</t>
  </si>
  <si>
    <t>ANCLAJE H.A. (linea 6")</t>
  </si>
  <si>
    <t>PLANCHAS DE PLYWOOD (2PLANCHAS / 4 USOS)</t>
  </si>
  <si>
    <t>ANCLAJE H.A. (linea 4")</t>
  </si>
  <si>
    <t>ANCLAJE H.A. (linea 3")</t>
  </si>
  <si>
    <t>Exc. EN ROCA C/COMPRESOR EN PRESENCIA DE AGUA</t>
  </si>
  <si>
    <t>LUBRICANTES 15% DEL COMBUSTIBLE</t>
  </si>
  <si>
    <t>OPERARIO PISTOLA</t>
  </si>
  <si>
    <t>CUÑAS Y PIEZAS (250/8)</t>
  </si>
  <si>
    <t>TRANSPORTE (200/8/1.035)</t>
  </si>
  <si>
    <t>(5.10 m3/dia)</t>
  </si>
  <si>
    <t>costo p/dia</t>
  </si>
  <si>
    <t xml:space="preserve">PARA TUBERIA DE 6" ACERO  EN SALIDA OBRA DE TOMA  L= 150 MTS </t>
  </si>
  <si>
    <t xml:space="preserve">MOVIMIENTO DE TIERRA  </t>
  </si>
  <si>
    <t xml:space="preserve">EXCAVACION A  MANO EN ALTA PENDIENTE </t>
  </si>
  <si>
    <t xml:space="preserve">BOTE DE MATERIAL EN SITU </t>
  </si>
  <si>
    <t xml:space="preserve">TRANSPORTE INTERNO DE LOS MATERIALES </t>
  </si>
  <si>
    <t xml:space="preserve">CAMION DAIHATSU L= 12 KM </t>
  </si>
  <si>
    <t xml:space="preserve">ACERO </t>
  </si>
  <si>
    <t xml:space="preserve">CON ANIMALES  L= 2 KM </t>
  </si>
  <si>
    <t>SUB-TOTAL D</t>
  </si>
  <si>
    <t>VALLA ANUNCIANDO OBRA 16'X 10' IMPRESION FULL COLOR, CONTENIENTO LOGO DE INAPA, NOMBRE PROYECTO Y  CONTRATISTA. ESTRUCTURA EN TUBOS GALVANIZADOS 1 1/2 X 1 1/2 Y SOPORTES EN TUBO CUAD. 4X4</t>
  </si>
  <si>
    <t xml:space="preserve">PLANTA DE TRATAMIENTO DE FILTRACION RAPIDA DE             40 LPS DE CAPACIDAD </t>
  </si>
  <si>
    <t xml:space="preserve">MATERIAL COMPACTO C/EQUIPO 70% </t>
  </si>
  <si>
    <t xml:space="preserve">MATERIAL ROCA DURA C/EQUIPO 30% (INCLUYE EXTRACCION DE ROCA)  </t>
  </si>
  <si>
    <t xml:space="preserve">NIVELACION DE ZANJA  </t>
  </si>
  <si>
    <t>2.1.1</t>
  </si>
  <si>
    <t>2.1.2</t>
  </si>
  <si>
    <t>COLOCACION Y COMPACTADO DE MATERIAL C/COMPACTADOR MECANICO EN CAPAS DE 0.20M</t>
  </si>
  <si>
    <t xml:space="preserve">SUMINISTRO MATERIAL DE MINA (PREVIA APROBACION DE LA SUPERVISION),  30 % DEL MATERIAL A RELLENAR </t>
  </si>
  <si>
    <t>TUBERIA Ø4" PVC SRD - 21 C/JUNTA GOMA</t>
  </si>
  <si>
    <t xml:space="preserve">MATERIAL COMPACTO C/EQUIPO 90% </t>
  </si>
  <si>
    <t xml:space="preserve">MATERIAL ROCA DURA C/EQUIPO 10% (INCLUYE EXTRACCION DE ROCA)  </t>
  </si>
  <si>
    <r>
      <t xml:space="preserve">TEE Ø 42" X 12"  ACERO </t>
    </r>
    <r>
      <rPr>
        <sz val="10"/>
        <color indexed="10"/>
        <rFont val="Arial"/>
        <family val="2"/>
      </rPr>
      <t>SCH-20</t>
    </r>
    <r>
      <rPr>
        <sz val="10"/>
        <rFont val="Arial"/>
        <family val="2"/>
      </rPr>
      <t>, CON PROTECCION ANTICORROSIVA</t>
    </r>
  </si>
  <si>
    <t>CODO  12" (DE 10º A  45º)   ACERO  A - 36  SCH 30 SIN COSTURA C/ PROTECCION ANTICORROSIVA</t>
  </si>
  <si>
    <t>CODO  12" (DE 50º A  90º)   ACERO  A - 36  SCH 30 SIN COSTURA C/ PROTECCION ANTICORROSIVA</t>
  </si>
  <si>
    <t>ANCLAJE H.A. (conexión Línea de Aducción)</t>
  </si>
  <si>
    <t>ANCLAJE  HORMIGON ARMADO PARA PIEZAS (SEGUN DETALLE)</t>
  </si>
  <si>
    <t>R.D.$ /UD</t>
  </si>
  <si>
    <t>R.D.$   /UD</t>
  </si>
  <si>
    <t>TOTAL    RD$</t>
  </si>
  <si>
    <t>DE AIRE Ø1" H.F.</t>
  </si>
  <si>
    <t>DE AIRE COMBINADA Ø2" H.F.</t>
  </si>
  <si>
    <t xml:space="preserve">CODO DE 4" (DE 10º A  45º)   ACERO SCH 80 SIN COSTURA C/PROTECCION ANTICORROSIVA. </t>
  </si>
  <si>
    <t xml:space="preserve">CODO DE 4" (DE 50º A 90º)   ACERO SCH 80 SIN COSTURA C/PROTECCION ANTICORROSIVA. </t>
  </si>
  <si>
    <t xml:space="preserve">JUNTA MECANICA DE Ø4" (TIPO DRESSER) </t>
  </si>
  <si>
    <t>DE DESAGÜE DE Ø4" H.F. EN TUB. Ø4"</t>
  </si>
  <si>
    <t>MOV.DE TIERRA PARA TUBERIA</t>
  </si>
  <si>
    <t>EXCAVACION MAT. NO CLASIFICADO</t>
  </si>
  <si>
    <t>RELLENO Y BOTE</t>
  </si>
  <si>
    <t>DEPOSITO REGULADOR 70 M3 HA SUPERFICIAL</t>
  </si>
  <si>
    <t>ZAPATA DE COLUMNA CENTRAL 1.70QQ/M3</t>
  </si>
  <si>
    <t>ACERO+M.O+ALAMBRE</t>
  </si>
  <si>
    <t xml:space="preserve">ECCF Y DESC </t>
  </si>
  <si>
    <t>COLUMNA LATERAL 4.45</t>
  </si>
  <si>
    <t>LOSA DE TECHO 0.15-0.94QQ/M3</t>
  </si>
  <si>
    <t>DEPOSITO REGULADOR H.A.SUPERFICIAL 100 M3</t>
  </si>
  <si>
    <t>LINEA DE CONDUCCION DESDE PTAP HASTA DEPÓSITO REGULADOR CARRERA DE YEGUA</t>
  </si>
  <si>
    <t xml:space="preserve">JUNTA MECANICA DE Ø12" (TIPO DRESSER) </t>
  </si>
  <si>
    <t>DE AIRE COMBINADA Ø1" H.F. EN TUB. Ø12"</t>
  </si>
  <si>
    <t>LOSA DE FONDO  0.20-3.26QQ/M3</t>
  </si>
  <si>
    <t>ZAPATA DE MURO 0.35 - 1.40 QQ/M3 zap.col.</t>
  </si>
  <si>
    <t>MUROS 0.20-4.09QQ/M3</t>
  </si>
  <si>
    <t>COLUMNA CENTRAL 0.30*0.30 7.02QQ/M3</t>
  </si>
  <si>
    <t>VIGA  5.09QQ/M3</t>
  </si>
  <si>
    <t xml:space="preserve">SUMINISTRO MATERIAL DE MINA (PREVIA APROBACION DE LA SUPERVISION), CONSIDERAR EL 30 % DEL MATERIAL A RELLENAR </t>
  </si>
  <si>
    <t>ACERA PERIMETRAL 0.50</t>
  </si>
  <si>
    <r>
      <t xml:space="preserve">TAPE DE GOMA </t>
    </r>
    <r>
      <rPr>
        <sz val="10"/>
        <color indexed="10"/>
        <rFont val="Arial"/>
        <family val="2"/>
      </rPr>
      <t xml:space="preserve">3M SCOTCH </t>
    </r>
  </si>
  <si>
    <r>
      <t xml:space="preserve">TAPE DE PLASTICO </t>
    </r>
    <r>
      <rPr>
        <sz val="10"/>
        <color indexed="10"/>
        <rFont val="Arial"/>
        <family val="2"/>
      </rPr>
      <t xml:space="preserve">3M SCOTCH </t>
    </r>
  </si>
  <si>
    <t>H.S. 210KG/CM2</t>
  </si>
  <si>
    <t xml:space="preserve">PAÑETE INTERIOR PULIDO </t>
  </si>
  <si>
    <t>MUROS  0.25 - 3.06 QQ/M3</t>
  </si>
  <si>
    <t>ANCLAJE DE HORMIGON ARMADO PARA TUBERIA EN LINEA DE ADUCCION (540 M)</t>
  </si>
  <si>
    <t>ACERA PERIMETRAL 0.80</t>
  </si>
  <si>
    <t>CASA DE EQUIPOS</t>
  </si>
  <si>
    <r>
      <t xml:space="preserve">PUERTA </t>
    </r>
    <r>
      <rPr>
        <sz val="10"/>
        <color indexed="10"/>
        <rFont val="Arial"/>
        <family val="2"/>
      </rPr>
      <t xml:space="preserve">EVERLAST </t>
    </r>
    <r>
      <rPr>
        <sz val="10"/>
        <rFont val="Arial"/>
        <family val="2"/>
      </rPr>
      <t xml:space="preserve">(1.00*2.10)M (INCL. LLAVIN E INSTALACION)  </t>
    </r>
  </si>
  <si>
    <t>MANO DE OBRA ESTRUCTURA METALICA Y SOLDADURA</t>
  </si>
  <si>
    <r>
      <t xml:space="preserve">JARRA 2000 ML CUADRADA MARCA </t>
    </r>
    <r>
      <rPr>
        <sz val="10"/>
        <color indexed="10"/>
        <rFont val="Arial"/>
        <family val="2"/>
      </rPr>
      <t xml:space="preserve">PYREX </t>
    </r>
  </si>
  <si>
    <r>
      <t xml:space="preserve">BALANZA DE SEMIPRECISION DE 2610 GRS. </t>
    </r>
    <r>
      <rPr>
        <sz val="10"/>
        <color indexed="10"/>
        <rFont val="Arial"/>
        <family val="2"/>
      </rPr>
      <t>M. OHAUS</t>
    </r>
  </si>
  <si>
    <t>ACERA PERIMETRAL 0.60</t>
  </si>
  <si>
    <r>
      <t xml:space="preserve">PUERTA </t>
    </r>
    <r>
      <rPr>
        <sz val="10"/>
        <color indexed="10"/>
        <rFont val="Arial"/>
        <family val="2"/>
      </rPr>
      <t>EVER LAST</t>
    </r>
  </si>
  <si>
    <t>COLUMNA 1</t>
  </si>
  <si>
    <t>Planta de Tratamiento</t>
  </si>
  <si>
    <t>1-a</t>
  </si>
  <si>
    <t>Movimiento de Tierras-Tanque</t>
  </si>
  <si>
    <t xml:space="preserve">2-a </t>
  </si>
  <si>
    <t>Entrada de agua</t>
  </si>
  <si>
    <t>3-a</t>
  </si>
  <si>
    <t>Registro Entrada de Agua</t>
  </si>
  <si>
    <t>Casa de Químicos</t>
  </si>
  <si>
    <t>Enviada</t>
  </si>
  <si>
    <r>
      <t xml:space="preserve">ZAPATA DE COLUMNA   (1.0 X 1.0), ESP.=0.30M - </t>
    </r>
    <r>
      <rPr>
        <sz val="10"/>
        <color indexed="10"/>
        <rFont val="Arial"/>
        <family val="2"/>
      </rPr>
      <t xml:space="preserve">1.39 QQ/M3 </t>
    </r>
  </si>
  <si>
    <r>
      <t xml:space="preserve">COLUMNA CA (0.30 X 0.30) - </t>
    </r>
    <r>
      <rPr>
        <sz val="10"/>
        <color indexed="10"/>
        <rFont val="Arial"/>
        <family val="2"/>
      </rPr>
      <t>7.86 QQ/M3</t>
    </r>
  </si>
  <si>
    <t>LINEA DE ADUCCION A ESTACION DE BOMBEO CAPACIDAD 30  M3</t>
  </si>
  <si>
    <t>TRABAJOS GENERALES</t>
  </si>
  <si>
    <t xml:space="preserve">PRELIMINARES </t>
  </si>
  <si>
    <t>EXCAVACIÓN MATERIAL  NO CLASIFICADO C/EQUIPO</t>
  </si>
  <si>
    <t xml:space="preserve">RELLENO COMPACTADO COMPACTADO C/COMPACTADOR MECANICO EN CAPAS DE 0.20 M </t>
  </si>
  <si>
    <t xml:space="preserve">BOTE DE MATERIAL C/CAMION </t>
  </si>
  <si>
    <t>HORMIGÓN ARMADO EN: F'c=280 KG/CM2</t>
  </si>
  <si>
    <t>ZAPATA MURO 0.30 - 1.03 QQ/M3 FC' = 240 KG/CM2</t>
  </si>
  <si>
    <t xml:space="preserve"> ZAPATA DE COLUMNA C1  0.35 - 1.91 QQ/M3  FC' = 240 KG/CM2</t>
  </si>
  <si>
    <t xml:space="preserve"> LOSA DE FONDO e=0.20 - 1.51 QQ/M3</t>
  </si>
  <si>
    <t>MURO e=0.25 - 2.29 QQ/M3</t>
  </si>
  <si>
    <t>COLUMNAS C1  ( 0.30 X 0.30 )  3.98 QQ/M3</t>
  </si>
  <si>
    <t>VIGAS V1 ( 0.25 X 0.50 )  5.07 QQ/M3</t>
  </si>
  <si>
    <t>LOSA DE TECHO E= 0.15 - 1.29 QQ/M3</t>
  </si>
  <si>
    <t>TORTA H.S. F'C=180KG/CM2</t>
  </si>
  <si>
    <t>FINO DE FONDO PULIDO</t>
  </si>
  <si>
    <t xml:space="preserve">PINTURA BASE BLANCA </t>
  </si>
  <si>
    <t>PINTURA EXTERIOR (INCLUYE TECHO)</t>
  </si>
  <si>
    <t>APLICACIÓN DE:</t>
  </si>
  <si>
    <t>IMPERMEHABILIZANTE  PARA H. A.</t>
  </si>
  <si>
    <t>IMPERMEHABILIZANTE  PARA PAÑETE Y FINO</t>
  </si>
  <si>
    <t>VIBRADO</t>
  </si>
  <si>
    <t xml:space="preserve">BANDA DE GOMA HIDROFILICA, PREFORMADA, EXPANDIBLE Y FLEXIBLE </t>
  </si>
  <si>
    <t xml:space="preserve">ENTRADA,SALIDA,BAY PASS,REBOSE Y DESAGÜE </t>
  </si>
  <si>
    <t xml:space="preserve">TUBERIA DE 8'' ACERO SOTERRADA  SCH-40 CON PROTECCION ANTICORROSIVA </t>
  </si>
  <si>
    <t xml:space="preserve">TUBERIA DE 6'' ACERO SOTERRADA  SCH-40 CON PROTECCION ANTICORROSIVA </t>
  </si>
  <si>
    <t xml:space="preserve">NIPLE 8" X 3 ACERO SCH-40 CON PROTECCION ANTICORROSIVA </t>
  </si>
  <si>
    <t xml:space="preserve">NIPLE 6" X 3 ACERO SCH-40 CON PROTECCION ANTICORROSIVA </t>
  </si>
  <si>
    <t>JUNTA MECANICA TIPO DRSSER  DE 8" DE 150 PSI</t>
  </si>
  <si>
    <t>JUNTA MECANICA TIPO DRSSER  DE 6" DE 150 PSI</t>
  </si>
  <si>
    <t xml:space="preserve">VENTILACION DE 6" ACERO </t>
  </si>
  <si>
    <t>INTERIOR 3/4" H.G. H=2.50 M</t>
  </si>
  <si>
    <t>TAPA METALICA ( 0.80 X 0.80 )  M</t>
  </si>
  <si>
    <t xml:space="preserve">MANO DE OBRA PLOMERO </t>
  </si>
  <si>
    <t>MOVIMIENTO DE TIERRA (PARA 12.20M)</t>
  </si>
  <si>
    <t>8.11.1</t>
  </si>
  <si>
    <t xml:space="preserve">EXCAVACIÓN A MANO </t>
  </si>
  <si>
    <t>8.11.2</t>
  </si>
  <si>
    <t xml:space="preserve">RELLENO COMPACTADO C/COMPACTOR MECANICO EN CAPAS DE 0.20 M </t>
  </si>
  <si>
    <t>8.11.3</t>
  </si>
  <si>
    <t xml:space="preserve">BOTE DE MATERIAL C/CAMION D= 5 KM </t>
  </si>
  <si>
    <t xml:space="preserve">PORTAJE </t>
  </si>
  <si>
    <t xml:space="preserve">PUERTA POLIMETAL BLANCA (INC. MARCO Y LLAVIN) ( 2.10 X 1.00 ) </t>
  </si>
  <si>
    <t>VENTANA SALOMONICA (1.20 X 1.20)</t>
  </si>
  <si>
    <t xml:space="preserve">CASETA DE BOMBEO </t>
  </si>
  <si>
    <t xml:space="preserve">MUROS DE BLOCK </t>
  </si>
  <si>
    <t xml:space="preserve">DE 6" </t>
  </si>
  <si>
    <t xml:space="preserve">M2 </t>
  </si>
  <si>
    <t>VIGAS ( 0.15 X 0.30 )  5.12 QQ/M3</t>
  </si>
  <si>
    <t>LOSA DE TECHO E= 0.12 - 1.69 QQ/M3</t>
  </si>
  <si>
    <t>IMPERMEHABILIZANTE  PARA H.A</t>
  </si>
  <si>
    <t xml:space="preserve">CISTERNA Y CASETA DE BOMBEO </t>
  </si>
  <si>
    <t>EMBELLECIMIENTO CON GRAVILLA</t>
  </si>
  <si>
    <t>VERJA DE MALLA CICLÓNICA  CON 3 LINEAS DE BLOCK</t>
  </si>
  <si>
    <t>MALLA CICLÓNICA  (INC. MURO 3L DE BLOCK, MALLA, TUBOS Y ACCESORIOS)</t>
  </si>
  <si>
    <t>PUERTA MALLA CICLÓNICA (4 M)</t>
  </si>
  <si>
    <t xml:space="preserve">COLUMNA C2, ( 0.25 X 0.25 )  (INC.UYE ZAPATA) </t>
  </si>
  <si>
    <t xml:space="preserve">COLUMNA C1, ( 0.15 X 0.25 ) </t>
  </si>
  <si>
    <t xml:space="preserve"> RAMPA Y ANDAMIOS P/VACIADO</t>
  </si>
  <si>
    <t xml:space="preserve">ELECTRIFICACION PRIMARIA, SECUNDARIA Y EQUIPOS DE BOMBEO </t>
  </si>
  <si>
    <t xml:space="preserve">ELECTRIFICACION PRIMARIA </t>
  </si>
  <si>
    <t>POSTES DE H.A V - 40', 500 DAM</t>
  </si>
  <si>
    <t>POSTES DE H.A V - 25', CLASE III</t>
  </si>
  <si>
    <t>CONDUCTOR AAA/C # 1/0</t>
  </si>
  <si>
    <t>ESTRUCTURA TR-105 INCL. CUT OUT Y PARARRAYOS, TRANSFORMADOR 15KVA, TIPO POSTE SUMERGIDO EN ACEITE.</t>
  </si>
  <si>
    <t>ESTRUCTURA MT-105</t>
  </si>
  <si>
    <t>ESTRUCTURA PR-101</t>
  </si>
  <si>
    <t>ESTRUCTURA PEB-110 (CIMENTACION)</t>
  </si>
  <si>
    <t>MEDICION ELECTRICA, INCLUYE MAIN BREAKER 70/3</t>
  </si>
  <si>
    <t xml:space="preserve">HOYOS PARA POSTES </t>
  </si>
  <si>
    <t>MANO DE OBRA ELECTRICA PRIMARIA 20%</t>
  </si>
  <si>
    <t>ELECTRIFICACION SUCUNDARIA</t>
  </si>
  <si>
    <t>PANEL BOARD, CON BARRA DE 125 AMP, INCL. ,  2 BREAKER DE 40/2, 1 BREAKER DE 15/2</t>
  </si>
  <si>
    <t>ESTRUCTURA AP-103, INCL. LAMPARA TIPO CABEZA DE COBRA 175W, 220/240V, 60HZ</t>
  </si>
  <si>
    <t>PANEL DE BREAKER 2/4 CTOS. (INC. BREAKERS)</t>
  </si>
  <si>
    <t>PANEL ARRANCADOR DIRECTO A LINEA PARA MOTOR DE 3HP,</t>
  </si>
  <si>
    <t>REGISTRO ELECTRICO METALICO DE 6`x 6`</t>
  </si>
  <si>
    <t>ALIMENTADOR ELECTRICO DESDE BANCO DE TRANSFORMADOR HASTA MEDICION ELECTRICA, COMPUESTO POR: 2 CONDUCTOR ELECTRICO THW NO.4, (F),  1 CONDUCTOR ELECTRICO THW NO.6 (N), TUBERIA IMC DE 2'', CONECTORES Y SOPORTE DE TUBERIA.</t>
  </si>
  <si>
    <t>ALIMENTADOR ELECTRICO DESDE MEDICION ELECTRICA HASTA PIE DE POSTE , COMPUESTO POR: 2 CONDUCTOR ELECTRICO THW NO.4, (F), 1 CONDUCTOR ELECTRICO THW NO.6 (N), TUBERIA IMC DE 2'', CONECTORES Y SOPORTE DE TUBERIA.</t>
  </si>
  <si>
    <t>ALIMENTADOR ELECTRICO DESDE PIE DE POSTE HASTA DE PANEL DE BREAKER EN CASETA, COMPUESTO POR: 2 CONDUCTOR ELECTRICO THW NO.4, (F), 1 CONDUCTOR ELECTRICO THW NO.6 (N), MOVIMIENTO DE TIERRA Y TUBERIA PVC DE 2''.</t>
  </si>
  <si>
    <t>ALIMENTADOR ELECTRICO DESDE PANEL DE BREAKER EN CASETA HASTA  PANELES ARRANCADOR DIRECTO A LINEA, COMPUESTO POR: 2 CONDUCTOR ELECTRICO THW NO.4, (F), 1 CONDUCTOR ELECTRICO THW NO.6 (N), TUBERIA EMT 2'', SOPORTE Y CONECTORES.</t>
  </si>
  <si>
    <t>ALIMENTADOR ELECTRICO DESDE PANELES ARRANCADOR DIRECTO A LINEA  HASTA ELECTROBOMBAS CENTRIFUGAS, COMPUESTO POR: 1 CONDUCTOR ELECTRICO DE GOMA NO.10/3, TUBERIA L.T 1'', SOPORTE Y CONECTORES.</t>
  </si>
  <si>
    <t>ALIMENTADOR ELECTRICO DESDE PANEL DE BREAKER HASTA PANEL DE BREAKER 2/4, COMPUESTO POR: 2 CONDUCTOR ELECTRICO THW NO.10, TUBERIA EMT DE 3/4''.</t>
  </si>
  <si>
    <t>ALIMENTADOR ELECTRICO DESDE PANEL DE BREAKER 2/4, HASTA ILUMINACION EXTERIOR COMPUESTO POR CONDUCTOR ELECTRICO DE VINIL 10/2, MOVIMIENTO DE TIERRA</t>
  </si>
  <si>
    <t>SUMINISTRO E INSTALACION EQUIPOS BOMBEO</t>
  </si>
  <si>
    <t xml:space="preserve">ELECTROBOMBA, CENTRIFUGA DE EJE HORIZONTAL, 70 GPM, 95' DE TDH,  MOTOR 3 HP, 1Ø, 460 V,  60 HZ, 3,500 RPM, </t>
  </si>
  <si>
    <t>INSTALACIÓN ELECTROBOMBA</t>
  </si>
  <si>
    <t>UNION UNIVERSAL Ø 2"</t>
  </si>
  <si>
    <t>NIPLE Ø 2" PLATILLADO EN UN EXTREMOS</t>
  </si>
  <si>
    <t>NIPLE Ø 2" ROSCADO EN AMBOS EXTREMOS</t>
  </si>
  <si>
    <t>NIPLE Ø 2" ROSCADO EN UN EXTREMOS</t>
  </si>
  <si>
    <t>VALVULA DE COMPUERTA DE Ø2" ROSCADA, 200 PSI (INCLUYE SUMINISTRO Y COLOCACION)</t>
  </si>
  <si>
    <t>VALVULA CHECK HORIZONTAL Ø2" H.F., 200 PSI</t>
  </si>
  <si>
    <t>VALVULA CHECK VERTICAL Ø2" , 200 PSI</t>
  </si>
  <si>
    <t>VALVULA DE AIRE DE 11/2" (COMPLETA)</t>
  </si>
  <si>
    <t>INSTALACION MANOMETRICA COMPLETA INC. MANOMETRO SUMERGIDO EN GLICERINA DE O-250 PSI</t>
  </si>
  <si>
    <t>TEE ROSCADA DE Ø 2" a Ø 2"</t>
  </si>
  <si>
    <t>CODO ROSCADO DE Ø 2" x 90° ACERO</t>
  </si>
  <si>
    <t xml:space="preserve">ZETA DE Ø 2" </t>
  </si>
  <si>
    <t>BASE PARA ELECTROBOMBA</t>
  </si>
  <si>
    <t>ELECTRIFICACION CASETA DE BOMBAS</t>
  </si>
  <si>
    <t>SALIDA CENITAL EN TUBERIA PVC</t>
  </si>
  <si>
    <t>SALIDA INTERRUPTOR DOBLE EN TUBERIA PVC</t>
  </si>
  <si>
    <t>SALIDA DE TOMA CORRIENTE EN TUBERIA PVC</t>
  </si>
  <si>
    <t>SUB-TOTAL C</t>
  </si>
  <si>
    <t xml:space="preserve">ANALISIS PARA APLICACIÓN DE ASFALTO SIN TRANSPORTE </t>
  </si>
  <si>
    <t>RENDIMIENTO DE 1.00 M3 DE ASFALTO (SEGÚN FORMULA)</t>
  </si>
  <si>
    <t>ESPESOR DEL ASFALTO EN PULGADAS =</t>
  </si>
  <si>
    <t>PULG</t>
  </si>
  <si>
    <t xml:space="preserve">RENDIMIENTO = </t>
  </si>
  <si>
    <t xml:space="preserve">OPERADORES (1) </t>
  </si>
  <si>
    <t>RASTRILLERO (1)</t>
  </si>
  <si>
    <t>CARRETILLERO (3)</t>
  </si>
  <si>
    <t>LLENADORES DE CARRETILLA (2)</t>
  </si>
  <si>
    <t>BARREDOR(2)</t>
  </si>
  <si>
    <t>EQUIPOS</t>
  </si>
  <si>
    <t>RODILLO PEQUEÑO DE MANO</t>
  </si>
  <si>
    <t>EQUIPOS PEQUEÑOS (PALA, RASTRILLO, ...)</t>
  </si>
  <si>
    <t>SUB-TOTAL</t>
  </si>
  <si>
    <t>TOTAL MANO OBRA Y EQUIPOS</t>
  </si>
  <si>
    <t xml:space="preserve">RENDIMIENTO PARA 2" </t>
  </si>
  <si>
    <t>M3/DÍA</t>
  </si>
  <si>
    <t xml:space="preserve">PRECIO POR M3E  DE APLICACIÓN </t>
  </si>
  <si>
    <t xml:space="preserve">PRECIO DE CARPETA ASFALTICA </t>
  </si>
  <si>
    <t>SUMINISTRO EN PLANTA (CALIENTE)</t>
  </si>
  <si>
    <t>M3E</t>
  </si>
  <si>
    <t>COLOCACIÓN MEZCLA</t>
  </si>
  <si>
    <t>COSTO TOTAL POR M3</t>
  </si>
  <si>
    <t xml:space="preserve">PRECIO COLOCACIÓN ASFALTO/ M2 </t>
  </si>
  <si>
    <t>ANALISIS PARA CORTE DE ASFALTO</t>
  </si>
  <si>
    <t>CORTE DE ASFALTO</t>
  </si>
  <si>
    <t xml:space="preserve">                                                                               </t>
  </si>
  <si>
    <t>OPERADOR/DIA</t>
  </si>
  <si>
    <t xml:space="preserve">OBRERO PARA LLENAR TANQUE CON AGUA </t>
  </si>
  <si>
    <t xml:space="preserve">AGUA PARA ENFRIAR DISCO </t>
  </si>
  <si>
    <t xml:space="preserve">PINTURA AMARILLA P/TRAZAR EJE DE CORTE </t>
  </si>
  <si>
    <t>QT</t>
  </si>
  <si>
    <t xml:space="preserve">MATERIALES MENORES </t>
  </si>
  <si>
    <t>RENDIMIENTO =</t>
  </si>
  <si>
    <t>ML/DÍA</t>
  </si>
  <si>
    <t>COSTO POR M =</t>
  </si>
  <si>
    <t>DISCO DE CORTE ( RD$ 24,500/2,200M)</t>
  </si>
  <si>
    <t>COSTO TOTAL POR M =</t>
  </si>
  <si>
    <t xml:space="preserve">RELLENO COMPACTADO CON EQUIPO DE PERCUCION CON MAT. DE LA EXCAVACION EN CAPAS DE 0.20 M </t>
  </si>
  <si>
    <t xml:space="preserve">operador del maquito </t>
  </si>
  <si>
    <t>regador</t>
  </si>
  <si>
    <t xml:space="preserve">palero </t>
  </si>
  <si>
    <t>M3/DIA</t>
  </si>
  <si>
    <t>SUM. Y COL.  DE ASIENTO DE ARENA</t>
  </si>
  <si>
    <t>REND</t>
  </si>
  <si>
    <t>M3          PEONES</t>
  </si>
  <si>
    <t>COLOCACION ( 3 PEONES ) @ 659.00</t>
  </si>
  <si>
    <t>HERRAMIENTAS ( 3% DE M.O.)</t>
  </si>
  <si>
    <t>COSTO P/M3</t>
  </si>
  <si>
    <t>EXC. MATERIAL NO CLASIFICADO C / EQUIPO ( RETRO PALA, 416 )</t>
  </si>
  <si>
    <t>ALQUILER DE CAT 416</t>
  </si>
  <si>
    <t xml:space="preserve">COMBUSTIBLE </t>
  </si>
  <si>
    <t>GL / H</t>
  </si>
  <si>
    <t>LUBRICANTE</t>
  </si>
  <si>
    <t>OPERARIO RD% 1,318.00 / DIA</t>
  </si>
  <si>
    <t>COSTO P/HR</t>
  </si>
  <si>
    <t>M3 / H</t>
  </si>
  <si>
    <t>OPERARIO RD% 1,300.00 / DIA</t>
  </si>
  <si>
    <t>M2/H</t>
  </si>
  <si>
    <t xml:space="preserve">NIVELACION FONDO DE ZANJA </t>
  </si>
  <si>
    <t>M2  PEONES</t>
  </si>
  <si>
    <t>COLOCACION ( 2 PEONES ) @ 650.00</t>
  </si>
  <si>
    <t>COSTO TOTAL</t>
  </si>
  <si>
    <t>COSTO P/M2</t>
  </si>
  <si>
    <t xml:space="preserve">CORTE C/EQUIPO ( TRACTOR D-8-K ) </t>
  </si>
  <si>
    <t>LUBRICANTE 20%</t>
  </si>
  <si>
    <t>ALQUILER DE CAT 320</t>
  </si>
  <si>
    <t>OPERARIO RD$ 850.00 /DIA (INCLUYE DIETA)</t>
  </si>
  <si>
    <t>Derecho a mina</t>
  </si>
  <si>
    <t>SENALIZACION Y MANEJO DE TRANSITO</t>
  </si>
  <si>
    <t>MANEJO DE TRANSITO</t>
  </si>
  <si>
    <t xml:space="preserve">OBRERO </t>
  </si>
  <si>
    <t>CHALECOS Y  CASCOS</t>
  </si>
  <si>
    <t>BANDEROLAS</t>
  </si>
  <si>
    <t xml:space="preserve">SEÑALES </t>
  </si>
  <si>
    <t>POSTE DE TUBO.1/2 Y BASE HORMIGON</t>
  </si>
  <si>
    <t>TIANGULOS METALICOS P/ AVISOS (INC. USOS)</t>
  </si>
  <si>
    <t xml:space="preserve">CINTA PLASTICA P/ AVISO (INC. COLOCACIÓN) </t>
  </si>
  <si>
    <t>COSTO P/DIA</t>
  </si>
  <si>
    <t>COSTO P/ML</t>
  </si>
  <si>
    <t xml:space="preserve">AGREGADO ( ARENA ) </t>
  </si>
  <si>
    <t xml:space="preserve">AGREGADO ( GRAVA ) </t>
  </si>
  <si>
    <t>H.S. PARA F'C= 280 KGS/CM2</t>
  </si>
  <si>
    <t>H.S. PARA F'C= 240 KGS/CM2</t>
  </si>
  <si>
    <t>H.S. PARA F'C= 210 KGS/CM2</t>
  </si>
  <si>
    <t>H.S./fondo</t>
  </si>
  <si>
    <t>ACERO P/ZAPATA DE MURO, VIGAS Y COLUMNAS</t>
  </si>
  <si>
    <t xml:space="preserve">DEPOSITO REGULADOR DE 150 M3 SUPERFICIAL DE H.A  </t>
  </si>
  <si>
    <t>ZAPATA DE MURO 1.69 QQ/M3</t>
  </si>
  <si>
    <t>HORMIGON INDUSTRIAL 240 KG/CM2+5% DESP.</t>
  </si>
  <si>
    <t>MANO DE ACERO</t>
  </si>
  <si>
    <t>ZAPATA COLUMNA 1.22 QQM3</t>
  </si>
  <si>
    <t>LOSA DE FONDO 1.51 QQ/M3</t>
  </si>
  <si>
    <t>HORMIGON INDUSTRIAL 280 KG/CM2+5% DESP.</t>
  </si>
  <si>
    <t>MUROS 0.25 - 2.29 SQQ/M3</t>
  </si>
  <si>
    <t>ENC. Y DESEC.</t>
  </si>
  <si>
    <t>COLUMNA C2 0.30X0.30 3.98 QQ/M3</t>
  </si>
  <si>
    <t>VIGA (0.25 X 0.50 ) 5.08 QQM3</t>
  </si>
  <si>
    <t>VIGA (0.15 X 0.30 ) 5.21 QQM3</t>
  </si>
  <si>
    <t>LOSA DE TECHO 0.12 - 1.70 QQM3</t>
  </si>
  <si>
    <t>LOSA DE TECHO 0.15 - 1.29 QQM3</t>
  </si>
  <si>
    <t xml:space="preserve">CISTERNA DE 100 M3 SUPERFICIAL </t>
  </si>
  <si>
    <t xml:space="preserve"> LOSA DE FONDO E=0.20 - 1.51 QQ/M3</t>
  </si>
  <si>
    <t>ZAPATA MURO 0.30 - 1.03 QQ/M3</t>
  </si>
  <si>
    <t xml:space="preserve">ZAPATA DE COLUMNA C1  0.35 - 1.91 QQ/M3 </t>
  </si>
  <si>
    <t>VIGAS ( 0.15 X 0.30 )  5.21 QQ/M3</t>
  </si>
  <si>
    <t>LOSA DE TECHO E= 0.12 - 1.70 QQ/M3</t>
  </si>
  <si>
    <t>MORTERO PARA PAÑETE 1:4</t>
  </si>
  <si>
    <t>PAÑETE INTERIOR --------------------------------------</t>
  </si>
  <si>
    <t>FINO LOSA DE FONDO PULIDO --------------------</t>
  </si>
  <si>
    <t>PINTURA BASE BLANCA ( DURAFLEX DE TROPICAL ) SIN ANDAMIO :</t>
  </si>
  <si>
    <t>PINTURA (cubeta de 5gls=$650)</t>
  </si>
  <si>
    <t>APLICACION (dos manos).</t>
  </si>
  <si>
    <t>DESPERDICIOS Y RETOQUES.</t>
  </si>
  <si>
    <t>COSTO P/M2 RD$</t>
  </si>
  <si>
    <t>PINTURA ACRILICA ECONOMICA SIN ANDAMIO :</t>
  </si>
  <si>
    <t>Pintura (cubeta de 5gls=$4250)</t>
  </si>
  <si>
    <t>Aplicación (dos manos).</t>
  </si>
  <si>
    <t>Desperdicios y retoques.</t>
  </si>
  <si>
    <t>MUROS DE BLOQUES DE 6" BNP-------------------</t>
  </si>
  <si>
    <t>VERJA DE MALLA CICLONICA (ANALISIS PARA 12 ML.)</t>
  </si>
  <si>
    <t>ZAPATA DE MURO  P/VERJA   0.60 QQ/M3</t>
  </si>
  <si>
    <t xml:space="preserve">EXCAVACION MATERIAL COMPACTO A MANO </t>
  </si>
  <si>
    <t>BLOCK 6" ( 3 LINEA)</t>
  </si>
  <si>
    <t>TUBO 1 1/2"X15' H.G.</t>
  </si>
  <si>
    <t xml:space="preserve">PINTURA VERJA , PALOMETAS, TUBOS , ALAMBRES Y DESP. Base blanca </t>
  </si>
  <si>
    <t>PINTURA VERJA , PALOMETAS, TUBOS , ALAMBRES Y DESP.</t>
  </si>
  <si>
    <t>PINTURA LOMO DE PERRO Y MALLA</t>
  </si>
  <si>
    <t>COSTO POR M/L.----------------------------------------------------------------&gt;</t>
  </si>
  <si>
    <t>TUB .2"X15' H.G.</t>
  </si>
  <si>
    <t>COLUMNAS P/VERJA (INCLUYE ZAPATA)</t>
  </si>
  <si>
    <t>COLUMNAS 0.25X0.25 - 4.79QQ/M3  F'C=180KG/CM2</t>
  </si>
  <si>
    <t>SUMINISTRO  ACERO + ALAMBRE</t>
  </si>
  <si>
    <t xml:space="preserve">PINTURA MANTENIMIENTO </t>
  </si>
  <si>
    <t>COLUMNAS INCLUYE ZAPATA</t>
  </si>
  <si>
    <t>COLUMNA P/PUERTA DE MALLA CILONICA (INC. TUBO Y ZAPATA)</t>
  </si>
  <si>
    <t>SUMINISTRO ACERO + ALAMBRE</t>
  </si>
  <si>
    <t>MANO DE OBRA ACERO</t>
  </si>
  <si>
    <t>LOSA DE FONDO 0.15 - 0.80 QQ/M3  FC'= 210 KG/CM2</t>
  </si>
  <si>
    <t xml:space="preserve">REGISTRO PARA VALVULA DE 8" ( 1.45 X 1.45  X 1.50 )  </t>
  </si>
  <si>
    <t xml:space="preserve">REPLANTEO </t>
  </si>
  <si>
    <t xml:space="preserve">EXCAVACION A MANO </t>
  </si>
  <si>
    <t xml:space="preserve">BOTE DE MATERIAL C/CAMION  </t>
  </si>
  <si>
    <t xml:space="preserve">MURO DE BLOCK DE 6" </t>
  </si>
  <si>
    <t xml:space="preserve">LOSA DE TECHO 0.15 - 0.80 QQ/M3 </t>
  </si>
  <si>
    <t xml:space="preserve">FINO DE FONDO </t>
  </si>
  <si>
    <t xml:space="preserve">PAÑETE EXTERIOR H= 0.50 M </t>
  </si>
  <si>
    <t xml:space="preserve">CANTOS  </t>
  </si>
  <si>
    <t xml:space="preserve">ESCALERA INTERIOR H= 1.15 M </t>
  </si>
  <si>
    <t xml:space="preserve">ANCLAJE DE H.S PARA SOPORTE DE VALVULA </t>
  </si>
  <si>
    <t>TAPA DE H.F. DE 0.80 M</t>
  </si>
  <si>
    <t xml:space="preserve">REGISTRO PARA VALVULA DE 6" ( 1.30 X 1.30  X 1.50 )  </t>
  </si>
  <si>
    <t>TEE 4" X 4"  ACERO  SCH-80 SIN COSTURA C/ PROTECCION ANTICORROSIVA</t>
  </si>
  <si>
    <t>TEE 4" X 3"  ACERO  SCH-80 SIN COSTURA C/ PROTECCION ANTICORROSIVA</t>
  </si>
  <si>
    <t>TEE 3" X 3"  ACERO  SCH-80 SIN COSTURA C/ PROTECCION ANTICORROSIVA</t>
  </si>
  <si>
    <t xml:space="preserve">CODO DE 3" (DE 10º A  45º)   ACERO SCH 80 SIN COSTURA C/PROTECCION ANTICORROSIVA. </t>
  </si>
  <si>
    <t xml:space="preserve">CODO DE 3" (DE 50º A  90º)   ACERO SCH 80 SIN COSTURA C/PROTECCION ANTICORROSIVA. </t>
  </si>
  <si>
    <t>JUNTA DE TAPON DE 3"</t>
  </si>
  <si>
    <t xml:space="preserve">JUNTA MECANICA DE Ø3" (TIPO DRESSER) </t>
  </si>
  <si>
    <t>REDUCCION  4" X 3"  ACERO   SCH 80 SIN COSTURA C/PROTECCION ANTICORROSIVA</t>
  </si>
  <si>
    <t>OBRA CIVIL EN PTAP</t>
  </si>
  <si>
    <t>HORMIGON ARMADO EN (F`C=280 KG/CM2 INDUSTRIAL)</t>
  </si>
  <si>
    <t>11.1.4</t>
  </si>
  <si>
    <t>11.1.5</t>
  </si>
  <si>
    <t>11.1.6</t>
  </si>
  <si>
    <t>11.1.7</t>
  </si>
  <si>
    <t>11.1.8</t>
  </si>
  <si>
    <t>11.1.9</t>
  </si>
  <si>
    <t>MUROS 0.30M -2.47 QQ/M3</t>
  </si>
  <si>
    <t>MUROS 0.30M CONTRA-FUERTE  -0.51 QQ/M3</t>
  </si>
  <si>
    <t>MUROS 0.25M -2.81  QQ/M3</t>
  </si>
  <si>
    <t>MUROS 0.20M  CANAL DE ENTRADA  1.44 QQ/M3</t>
  </si>
  <si>
    <t>MUROS 0.20M  CANAL ENTRADA SEDIMENTADORES- 2.59 QQ/M3</t>
  </si>
  <si>
    <t>MUROS 0.20MREGISTROS -4.24 QQ/M3</t>
  </si>
  <si>
    <t>MUROS 0.20M APOYO DE LOSA PREFABRICADA -2.11 QQ/M3</t>
  </si>
  <si>
    <t>MUROS 0.20M -1.27 QQ/M3</t>
  </si>
  <si>
    <t>MUROS 0.15M -1.57 QQ/M3</t>
  </si>
  <si>
    <t>MUROS 0.15M VERTEDOR -2.25 QQ/M3</t>
  </si>
  <si>
    <t xml:space="preserve">MUROS 0.45M SOPORTES APOYO DE LOSA PREFABRICADA -1.35QQ/M3 </t>
  </si>
  <si>
    <t>LOSA DE FONDO 0.20M -2.45 QQ/M3</t>
  </si>
  <si>
    <t>CANAL DE ENTRADA -2.81 QQ/M3</t>
  </si>
  <si>
    <t>LOSA DE FONDO REGISTRO 0.20M -1.32 QQ/M3</t>
  </si>
  <si>
    <t>LOSA DE FONDO REGISTRO DE ENTRADA 0.20M -1.16 QQ/M3</t>
  </si>
  <si>
    <t>LOSA DE FONDO 0.15M -1.38 QQ/M3</t>
  </si>
  <si>
    <t>LOSA DE FONDO 0.10M -1.60 QQ/M3</t>
  </si>
  <si>
    <t>LOSA DE FONDO 0.35M -1.37 QQ/M3</t>
  </si>
  <si>
    <t>ZAPATA DE MURO CANAL DE ENTRADA (0.90x0.35)M -0.87 QQ/M3</t>
  </si>
  <si>
    <t>LOSA DE TECHO 0.15M PASARELA -1.01 QQ/M3</t>
  </si>
  <si>
    <t>ZAPATA DE MURO CONTRA FUERTE (0.90x0.35)M -0.61 QQ/M3</t>
  </si>
  <si>
    <t>LOSA DE TECHO 0.15M REGISTRO -1.89 QQ/M3</t>
  </si>
  <si>
    <t>ÀREAS</t>
  </si>
  <si>
    <t>CAL HIDRATADA (20KG)</t>
  </si>
  <si>
    <t>DISTANCIA</t>
  </si>
  <si>
    <t>Cotización Hormigón Industrial Resistencia 280 Kg/cm2</t>
  </si>
  <si>
    <t>Cantos</t>
  </si>
  <si>
    <t>Pañete exterior pulido</t>
  </si>
  <si>
    <t>MUROS 0.20M REGISTROS -4.24 QQ/M3</t>
  </si>
  <si>
    <t>SUMINISTRO E INSTALACION AGITADORES (MIXERS) SULFATO DE ALUMINIO,MOTOR 1 HP, FRECUENCIA 60 HZ, MONOFASICO 115/240 V. 1750 RPM CON MOTO-REDUCTOR A 600 RPM VASTAGO Ø¾" ACERO INOXIDABLE ASPAS  4 ALETAS ACERO INOXIDABLE L=6' (CUBICAR CON FACTURA)</t>
  </si>
  <si>
    <t>PLACAS DE MATERIAL POLIPROPILENO, ESPESOR 0.0254 M (1"). COLOCACIÓN CON PERFILES DE POLIPROPILENO DE 1"X 2" CON TORNILLOS HILTER INOXIDABLES SEPARADOS A 0,50 M CENTRO A CENTRO. ALTURA SEGÚN PLANOS DE DISEÑO</t>
  </si>
  <si>
    <t>COMPUERTAS TIPO CHANNEL, MARCOS DE MAS DE 2" EN TOLAS DE 1/4", MATERIALES STANDARD, FABRICACIÓN ACERO INOXIDABLE AISI 316/304 ESPESOR TOLA ¼". VÁSTAGO EN HG 1½" (ENTRADA Y SALIDA) (DIMENSIONES 1.00M X 0.55M)</t>
  </si>
  <si>
    <t>SUMINISTRO Y COLOCACION DE VÁLVULAS COMPUERTA CON VÁSTAGO FIJO, CUADRANTE, CUERPO Y TAPA EN HIERRO FUNDIDO REVESTIDO DE EPOXY PARA DESAGUE EN FLOCULADOR DE 8" TUERCAS DE MANIOBRA EN LATÓN, CUERPO EN HIERRO FUNDIDO (ASTM A126), ESPECIFICACIONES AWWA E504, FABRICACIÓN AMERICANA O ISRAELÍ DIÁMETRO SEGÚN PLANOS</t>
  </si>
  <si>
    <t>INYECTOR O EYECTOR TIPO VENTURI</t>
  </si>
  <si>
    <t xml:space="preserve">BOMBA TIPO BOOSTER 1 HP, 60 HZ., TDH 15'. MONOFÁSICA. DIFERENCIAL MANUAL 2 TO </t>
  </si>
  <si>
    <t>DOSIFICADOR DE CLORO, CON RANGO DE APLICACIÓN DE 0-50 LBS/DÍA.</t>
  </si>
  <si>
    <t>CILINDROS DE CLORO CON CAPACIDAD 2000 LBS, LLENO E INSTALADO</t>
  </si>
  <si>
    <t>SUMINISTRO E INSTALACION</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</si>
  <si>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</si>
  <si>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PANELES LAMELARES DIMENSIONES PVC 8' X 3' X 1', ESPESOR LÁMINA 1 MM Y TUBO HEXAGONAL 5-10 MM. COLOCACIÓN CON ANGULARES DE TOLA ACERO INOXIDABLE DE 2"X6"X⅜" PARA SOPORTE MÓDULOS  CON TORNILLOS HILTER SEPARADOS A 0,50 M  DE CENTRO A CENTRO CUMPLIMIENTO NORMAS NSF-361.</t>
  </si>
  <si>
    <t>COMPUERTAS SUMERGIBLES, MARCOS MÁS DE 2" EN TOLAS DE 1/4" REFORZADAS MATERIALES STANDARD FABRICACIÓN ACERO INOXIDABLE AISI 316/304 ESPESOR TOLA ¼". VÁSTAGO EN HG 1½" DIMENSIONES 0.45M X 0.45M</t>
  </si>
  <si>
    <t>TAPA METALICA MATERIAL ALUMINIO GALVANIZADO, ANGULARES 1"x1"x3/8", Ocho (8) Pernos de Fijacion (TAMAÑO ACORDE A PLANO)</t>
  </si>
  <si>
    <t>ACERA PERIMETRAL</t>
  </si>
  <si>
    <t>H.S. PARA F'C= 180 KGS/ CM2</t>
  </si>
  <si>
    <t>Cotización Hormigón Industrial Resistencia 180 Kg/cm2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</si>
  <si>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 EN SEDIMENTADORES, DIÁMETRO Ø12"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</si>
  <si>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 DIÁMETRO Ø6"</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</si>
  <si>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 DIÁMETRO Ø12"</t>
  </si>
  <si>
    <t xml:space="preserve">PUERTA POLIMETAL (1.00*2.10)M (INCL. LLAVIN E INSTALACION)  </t>
  </si>
  <si>
    <t>SUMINISTRO DE BOMBA DE 3 HP, MONOFASICA, CAUDAL 550 GPM, VOLTAJE 110-220 V, FRECUENCIA 60 HZ, EFECIENCIA 85%, TDH 15 PIES, VELOCIDAD 1,750 RPM</t>
  </si>
  <si>
    <t>TANQUE HIDRONEUMATICO EN FIBRA, CAPACIDAD 100 GLS</t>
  </si>
  <si>
    <t>MANGUERA TIPO BOMBERO 1 1/2" LONG=15 M</t>
  </si>
  <si>
    <t>ABRAZADERAS</t>
  </si>
  <si>
    <t xml:space="preserve">CODOS H.G Ø1 1/2" </t>
  </si>
  <si>
    <t xml:space="preserve">TUBERIA DE HIERRO GALVANIZADO DE Ø 1 1/2" </t>
  </si>
  <si>
    <t>MANO DE OBRA INSTALACION BOMBA, TANQUE, TUBERIA Y PIEZAS</t>
  </si>
  <si>
    <t>SISTEMA DE LAVADO DE PLANTA</t>
  </si>
  <si>
    <t>BOTE DE MATERIAL CON CAMION (DIST.=5.0KM) INCLUYE ESPARCIMIENTO</t>
  </si>
  <si>
    <t>BOTE DE ESCOMBROS CON CAMION (DIST. 5KM) (INCLUYE ESPARCIMIENTO EN BOTADERO)</t>
  </si>
  <si>
    <t>ELECTRIFICACION BASICA EN LA PLANTA</t>
  </si>
  <si>
    <t>ILUMINACION PERIFERICA ( LUCES EXTERIORES )</t>
  </si>
  <si>
    <t>SUMINISTRO E INSTALACION DE LAMPARA H.P.S TIPO COBRA DE 250 W, 220 V.</t>
  </si>
  <si>
    <t xml:space="preserve">POSTES H.A. CLASE III, 25´ </t>
  </si>
  <si>
    <t>ALIMENTADOR ELECTRICO PARA ILUMINACION CON ALAMBRE DE VINIL No. 8/2</t>
  </si>
  <si>
    <t>POSTES EN H.A,V 35´ 500 DAM</t>
  </si>
  <si>
    <t>ALAMBRE AAAC No. 2/0</t>
  </si>
  <si>
    <t>ESTRUCTURA HA-100B</t>
  </si>
  <si>
    <t>TRANSFORMADOR DE 25 KVA,1Ø, 7,200/240 - 480V SUMERGIDO EN ACEITE  TIPO POSTE</t>
  </si>
  <si>
    <t xml:space="preserve">MANO DE OBRA ELECTRICA PRIMARIA  </t>
  </si>
  <si>
    <t>ELECTRIFICACION SECUNDARIA</t>
  </si>
  <si>
    <t xml:space="preserve">ALIMENTADOR ELECTRICO DESDE TRANSFORMADORES HASTA MAIN BREAKER CON CONDUCTORES THW No.2, 1 CONDUCTORES THW No.4 Y 1 CONDUCTOR No.2 A 7 HILOS TRENZADOS EN TUBERIAS PVC Y IMC DE 2". </t>
  </si>
  <si>
    <t>3.2</t>
  </si>
  <si>
    <t xml:space="preserve">ALIMENTADOR ELECTRICO DESDE MAIN BREAKER HASTA TRANSFER SWICH CON 2 CONDUCTORES THW No.2, 1 CONDUCTOR THW No.4 Y 1 CONDUCTOR No.2 A 7 HILOS TRENZADOS EN TUBERIA PVC DE 2". </t>
  </si>
  <si>
    <t>3.3</t>
  </si>
  <si>
    <t xml:space="preserve">ALIMENTADOR ELECTRICO DESDE TRASNFER SWICH HASTA PANEL BOARD CON 2 CONDUCTORES THW No.2, 1 CONDUCTOR THW No.4 Y 1 CONDUCTOR No.2 A 7 HILOS TRENZADO EN TUBERIA PVC DE 2".  </t>
  </si>
  <si>
    <t>3.4</t>
  </si>
  <si>
    <t xml:space="preserve">ALIMENTADOR ELECTRICO DESDE PANEL BOARD HASTA ARRANCADORES DE ELECTROBOMBAS DE RETROLABADO CON 2 CONDUCTORES THW No.6 Y 1 CONDUCTOR THW No.8 EN TUBERIA PVC DE 1".  </t>
  </si>
  <si>
    <t>3.5</t>
  </si>
  <si>
    <t xml:space="preserve">ALIMENTADOR ELECTRICO DESDE ARRANCADORES HASTA ELECTROBOMBAS DE RETOLABADO CON 2 CONDUCTORES THW No.8 Y 1 CONDUCTOR THW No.10 EN TUBERIA EMT Y L.T. 3/4".  </t>
  </si>
  <si>
    <t>3.6</t>
  </si>
  <si>
    <t xml:space="preserve">ALIMENTADOR ELECTRICO DESDE PANEL BOARD HASTA ARRANCADORES DE ELECTROBOMBAS SUMERGIBLES CON 2 CONDUCTORES THW No.6 Y 1 CONDUCTOR THW No.8 EN TUBERIA PVC DE 1".  </t>
  </si>
  <si>
    <t>3.7</t>
  </si>
  <si>
    <t xml:space="preserve">ALIMENTADOR ELECTRICO DESDE ARRANCADORES HASTA ELECTROBOMBAS SUMERGIBLES CON 2 CONDUCTORES THW No.8 Y 1 CONDUCTOR THW No.10 EN TUBERIA EMT Y L.T. 3/4".  </t>
  </si>
  <si>
    <t>3.8</t>
  </si>
  <si>
    <t xml:space="preserve">ALIMENTADOR ELECTRICO DESDE PANEL BOARD HASTA CENTRO DE CARGAS DE 8 ESPACIOS (CASA DE QUIMICOS) CON 2 CONDUCTORES THW No.6 Y 1 CONDUCTOR THW No.8 EN TUBERIA PVC DE 1".  </t>
  </si>
  <si>
    <t>3.9</t>
  </si>
  <si>
    <t xml:space="preserve">ALIMENTADOR ELECTRICO DESDE PANEL BOARD HASTA PANEL DE EDIFICIO DE CLORO CON 2 CONDUCTORES THW No.8 Y 1 CONDUCTOR THW No.10 EN TUBERIA PVC DE 1".  </t>
  </si>
  <si>
    <t>3.10</t>
  </si>
  <si>
    <t xml:space="preserve">ALIMENTADOR ELECTRICO DESDE PANEL BOARD HASTA PANEL DE CASA DE OPERADOR CON 2 CONDUCTORES THW No.8 Y 1 CONDUCTOR THW No.10 EN TUBERIA PVC DE 1".  </t>
  </si>
  <si>
    <t>3.11</t>
  </si>
  <si>
    <t xml:space="preserve">ALIMENTADOR ELECTRICO DESDE CENTRO DE CARGAS DE 8 ESPACIOS HASTA CENTRO DE CONTROL DE MOTORES CON 2 CONDUCTORES THW No.6 Y 1 CONDUCTOR THW No.8 EN TUBERIA PVC DE 1".  </t>
  </si>
  <si>
    <t>3.12</t>
  </si>
  <si>
    <t xml:space="preserve">ALIMENTADOR ELECTRICO DESDE CENTRO DE CONTROL DE MOTORES HASTA AGITADORES CON 3 CONDUCTORES THW No.12 EN TUBERIA EMT Y L.T. 3/4".  </t>
  </si>
  <si>
    <t>3.13</t>
  </si>
  <si>
    <t xml:space="preserve">ALIMENTADOR ELECTRICO DESDE CENTRO DE CONTROL DE MOTORES HASTA DOSIFICADORES CON 3 CONDUCTORES THW No.12 EN TUBERIA EMT Y L.T. 3/4".  </t>
  </si>
  <si>
    <t>3.14</t>
  </si>
  <si>
    <t xml:space="preserve">ALIMENTADOR ELECTRICO DESDE CENTRO DE CARGAS DE 8 ESPACIOS HASTA PANEL CONSUMO DEL EDIFICIO CON 2 CONDUCTORES THW No.10 Y 1 CONDUCTOR THW No.12 EN TUBERIA PVC DE 1".  </t>
  </si>
  <si>
    <t>3.15</t>
  </si>
  <si>
    <t xml:space="preserve">ALIMENTADOR ELECTRICO DESDE CENTRO DE CARGAS DE 8 ESPACIOS HASTA ARRANCADOR DE DIFERENCIAL DE 3 TON CON 2 CONDUCTORES THW No.10 Y 1 CONDUCTOR THW No.12 EN TUBERIA PVC DE 1".  </t>
  </si>
  <si>
    <t>3.16</t>
  </si>
  <si>
    <t xml:space="preserve">ALIMENTADOR ELECTRICO DESDE CENTRO DE CARGAS HASTA ELECTROBOMBA PARA LAVADO CON 2 CONDUCTORES THW No.10 Y 1 CONDUCTOR THW No.10 EN TUBERIA EMT Y L.T. 3/4".  </t>
  </si>
  <si>
    <t>3.17</t>
  </si>
  <si>
    <t>MAIN BREAKER 125/2 AMP, 240 VOLTS, ENCLOSURE</t>
  </si>
  <si>
    <t>3.18</t>
  </si>
  <si>
    <t>PANEL BOAR BARRA DE 200 AMP. CON MAIN BREAKER 125/2 AMP, 240 VOLTS, 1Ø, INC. 3 BREAKER 50/2 AMP., 4 BREAKER 30/2 AMP. Y 2 BREAKER 20/2 AMP.</t>
  </si>
  <si>
    <t>3.19</t>
  </si>
  <si>
    <t>PANEL CCM CON 4 ARRANCADORES DIRECTOS A LINEA DEL TIPO TRIPLEX CON 4 BREAKERS 15/2 AMP., 240V 1Ø.</t>
  </si>
  <si>
    <t>3.20</t>
  </si>
  <si>
    <t>CENTRO DE CARGAS DE 8 ESPACIOS, (INC. BREAKERS)</t>
  </si>
  <si>
    <t>3.21</t>
  </si>
  <si>
    <t>REGISTRO EN BLOK DE 6" PARA ELECTRICOS (0.7*0.7*0.82) (RH)</t>
  </si>
  <si>
    <t>3.22</t>
  </si>
  <si>
    <t>TAPE PLASTICO 3M</t>
  </si>
  <si>
    <t>3.23</t>
  </si>
  <si>
    <t>TAPE DE GOMA 3M</t>
  </si>
  <si>
    <t>3.24</t>
  </si>
  <si>
    <t xml:space="preserve">MANO DE OBRA ELECTRICA  SECUNDARIA </t>
  </si>
  <si>
    <t>SUMINISTRO E INSTALACION GENERADOR ELECTRICO</t>
  </si>
  <si>
    <t>SUMINISTRO GENERADOR ELECTRICO DE EMERGENCIA DIESEL 20 KW, 120/240 V, ESTÁNDAR.</t>
  </si>
  <si>
    <t xml:space="preserve">INSTALACION GENERADOR </t>
  </si>
  <si>
    <t>SUMINISTRO Y COLOCACION DE TANQUE COMBUSTIBLE 150 GLS (LLENO EN SITIO)</t>
  </si>
  <si>
    <t>CONSTRUCCION DE SISTEMA ESCAPE DE GASES</t>
  </si>
  <si>
    <t>CONSTRUCCION DE SISTEMA ALIMENTACION COMBUSTIBLE</t>
  </si>
  <si>
    <t>TRANSFER SWICH MANUAL 150/2 AMP. 240 V, 60 HZ. NEMA 1R</t>
  </si>
  <si>
    <t>MAIN BREAKER 100/2 AMP, ENCLOUSURE</t>
  </si>
  <si>
    <t>4.8</t>
  </si>
  <si>
    <t xml:space="preserve">ALIMENTADOR ELECTRICO DESDE TRANSFER SWICH HASTA PANEL DEL GENERADOR ELECTRICO CON 2 CONDUCTORES THW No.2 Y 1 CONDUCTORES THW No.4 EN TUBERIAS EMT DE 2". </t>
  </si>
  <si>
    <t>TAPE DE GOMA 3M SCOTCH</t>
  </si>
  <si>
    <t>TAPE PLASTICO 3M SCOTCH</t>
  </si>
  <si>
    <t>MANO DE OBRA ELECTRICA</t>
  </si>
  <si>
    <t>SUMINISTRO E INSTALACION DE ELECTROBOMBA</t>
  </si>
  <si>
    <t>SUMINISTRO ELECTROBOMBAS SUMERGIBLE NO ATASCABLE PARA LODO DE 3 HP, MONOFASICA, 240V, 420 GPM Y 40 PIES DE TDH.</t>
  </si>
  <si>
    <t>INSTALACION DE ELECTROBOMBA</t>
  </si>
  <si>
    <t>NIPLE DE 6" X 12" PLATILLADO EN UN EXTREMO</t>
  </si>
  <si>
    <t>NIPLE DE 6" X 12" PLATILLADO EN AMBOS EXTREMOS</t>
  </si>
  <si>
    <t>JUNTA DRESSER 6"</t>
  </si>
  <si>
    <t>VALVULA DE COMPUERTA CON VASTAGO ASCENDENTE DE 6" PLATILLADA A 200 PSI</t>
  </si>
  <si>
    <t>VALVULA ANTIRETORNO,CHECK HORIZONTAL DE 6" A 200 PSI</t>
  </si>
  <si>
    <t>CONSTRUCCION MAINFORD DE DESCARGA DE 8", CON TRES YEE DE 6"</t>
  </si>
  <si>
    <t>TUBO DE ACERO INOXIDABLE (RIELES)</t>
  </si>
  <si>
    <t>CODO DE 6" EN 90 GRADO SOLDADO A MAINFORD</t>
  </si>
  <si>
    <t>PINTURA AZUL PARA DESCARGA (OXIDO)</t>
  </si>
  <si>
    <t xml:space="preserve">ANCLAJE PARA BOMBAS </t>
  </si>
  <si>
    <t>P</t>
  </si>
  <si>
    <t>SUB-TOTAL E</t>
  </si>
  <si>
    <t>LOSA DE TECHO E= 0.12M - 1.69 QQ/M3</t>
  </si>
  <si>
    <t>CASA DE OPERADOR (3 HABITACIONES)</t>
  </si>
  <si>
    <t xml:space="preserve">ZAPATA DE MUROS 0.50 QQ/M3 </t>
  </si>
  <si>
    <t>VIGA V1 0.15 x 0.20 - 4.47QQ/M3</t>
  </si>
  <si>
    <t>DINTELES 0.15 x 0.20 -2.90</t>
  </si>
  <si>
    <t>LOSA DE TECHO 0.10-1.71QQ/M3</t>
  </si>
  <si>
    <t>DADO DE APOYO 0.15 x 0.20 x 0.40-2.67QQ/M3</t>
  </si>
  <si>
    <t xml:space="preserve">BLOQUES DE 4" </t>
  </si>
  <si>
    <t>PISO H. S. PULIDO</t>
  </si>
  <si>
    <t>PISO GRANITO CORRIENTES</t>
  </si>
  <si>
    <t>ACERA PERIMETRAL 1.00 M</t>
  </si>
  <si>
    <t>PUERTA DE PINO COMPLETA</t>
  </si>
  <si>
    <t>PUERTA DE PLYWOOD</t>
  </si>
  <si>
    <t>C A S E T A   D E   O P E R A D O R  D E  TRES   H A B I T A C I O N E S</t>
  </si>
  <si>
    <t>ZAPATA DE MURO -0.50 qq/m³</t>
  </si>
  <si>
    <t>H.S. 180 KG/CM2</t>
  </si>
  <si>
    <t>K ACERO</t>
  </si>
  <si>
    <t>VIGA (0.15 x 0.20) - 4.47 qq/m³</t>
  </si>
  <si>
    <t>H.S  210 kg/cm² + 5% DESP.</t>
  </si>
  <si>
    <t>DINTEL (0.15 x 0.20) - 2.90 qq/m³</t>
  </si>
  <si>
    <t>DADO DE APOYO - 2.67 qq/m³</t>
  </si>
  <si>
    <t>I N S T A L A C I O N   E L E C T R I C A</t>
  </si>
  <si>
    <t>LUZ CENITAL:</t>
  </si>
  <si>
    <t>Tubo ½"x19' PVC SDR-26 + 15% desp.</t>
  </si>
  <si>
    <t>u</t>
  </si>
  <si>
    <t>Caja octagonal.</t>
  </si>
  <si>
    <t>Alambre #12 TW.</t>
  </si>
  <si>
    <t>p</t>
  </si>
  <si>
    <t>Roseta de porcelana.</t>
  </si>
  <si>
    <t>Cinta adhesiva "3M" (rollo).</t>
  </si>
  <si>
    <t>Cemento PVC + 30% desp. (¼ gl.)</t>
  </si>
  <si>
    <t>Mano de obra.</t>
  </si>
  <si>
    <t>Gastos indirectos contratistas eléctricos.</t>
  </si>
  <si>
    <t>INTERRUPTOR SENCILLO:</t>
  </si>
  <si>
    <t>Caja rectangular de ½".</t>
  </si>
  <si>
    <t>Accesorio.</t>
  </si>
  <si>
    <t>Codos plásticos ½".</t>
  </si>
  <si>
    <t>Beneficios contratistas eléctricos.</t>
  </si>
  <si>
    <t>INTERRUPTOR DOBLE:</t>
  </si>
  <si>
    <t>Caja rectangular ½".</t>
  </si>
  <si>
    <t>TOMACORRIENTE DOBLE 110 V.:</t>
  </si>
  <si>
    <t>Alambre #12 TW+ 5% desp.</t>
  </si>
  <si>
    <t>TOMACORRIENTE SENCILLO 220 V.:</t>
  </si>
  <si>
    <t>Tubo ¾"x10' PVC SDR-26 + 15% desp.</t>
  </si>
  <si>
    <t>Caja rectangular ¾".</t>
  </si>
  <si>
    <t>Alambre #10 TW + 5% desp.</t>
  </si>
  <si>
    <t>Codos plásticos ¾".</t>
  </si>
  <si>
    <t>PANEL DISTRIBUCION 6 CIRCUITOS:</t>
  </si>
  <si>
    <t>"Breakers" 15 y 20 A.</t>
  </si>
  <si>
    <t>Panel distribución.</t>
  </si>
  <si>
    <t>Hacer hueco y colocar panel.</t>
  </si>
  <si>
    <t>Coloc. "Breakers".</t>
  </si>
  <si>
    <t>I N S T A L A C I O N   S A N I T A R I A</t>
  </si>
  <si>
    <t>INODORO  BCO.:</t>
  </si>
  <si>
    <t>INODORO  bco. C/ TAPA.</t>
  </si>
  <si>
    <t>Tornillos fijación.</t>
  </si>
  <si>
    <t>juego</t>
  </si>
  <si>
    <t>Junta de cera.</t>
  </si>
  <si>
    <t>Cemento bco.</t>
  </si>
  <si>
    <t>fda</t>
  </si>
  <si>
    <t>Llave angular 3/8".</t>
  </si>
  <si>
    <t>Niple 3/8"x2 ½", cromo.</t>
  </si>
  <si>
    <t>Cubrefalta 3/8", cromo.</t>
  </si>
  <si>
    <t>Tubo flexible con tuerca.</t>
  </si>
  <si>
    <t>Teflón + 25% desp.</t>
  </si>
  <si>
    <t>rollo</t>
  </si>
  <si>
    <t>Mano de obra coloc. inodoro.</t>
  </si>
  <si>
    <t>DUCHA:  (Agua fría solamente)</t>
  </si>
  <si>
    <t>Ducha cte. plástica, ½", cromo. c/llave</t>
  </si>
  <si>
    <t>Mano de obra coloc. ducha.</t>
  </si>
  <si>
    <t>LAVAMANOS 19"x17", BCO.:</t>
  </si>
  <si>
    <t>Lavamanos 19"x17", BCO.</t>
  </si>
  <si>
    <t>llave para lavamanos</t>
  </si>
  <si>
    <t>Sifón 1 ¼", PVC</t>
  </si>
  <si>
    <t>Cola ext. 1 ¼"x8" PVC</t>
  </si>
  <si>
    <t>Mano de obra coloc. lavamanos.</t>
  </si>
  <si>
    <t>DESAGÜE DE PISO 4", INSTALADO (TUB. MATRIZ 4"):</t>
  </si>
  <si>
    <t>Rejilla de piso 4", aluminio</t>
  </si>
  <si>
    <t>pinta</t>
  </si>
  <si>
    <t>Mano de obra desagüe</t>
  </si>
  <si>
    <t>FREG. A. INOX. DOBLE, H.G.</t>
  </si>
  <si>
    <t>FREG. DOBLE a. inox.</t>
  </si>
  <si>
    <t>MEZCLADORA</t>
  </si>
  <si>
    <t>Boquilla para freg., cromo.</t>
  </si>
  <si>
    <t>"Silicone" para sellar (tubo).</t>
  </si>
  <si>
    <t>Mano de obra coloc. fregadero sencillo.</t>
  </si>
  <si>
    <t>PILETA CON AZULEJOS</t>
  </si>
  <si>
    <t>MURO BLOCK 4"</t>
  </si>
  <si>
    <t xml:space="preserve">CERAMICA 0.20*0.20   </t>
  </si>
  <si>
    <t>TERMINACION</t>
  </si>
  <si>
    <t>CAJA DE INSPECCION</t>
  </si>
  <si>
    <t>MURO BLOQUES  DE 4"  H=0.70</t>
  </si>
  <si>
    <t>MEDIA CAÑA</t>
  </si>
  <si>
    <t xml:space="preserve">EXCAVACION </t>
  </si>
  <si>
    <t>SEPTICO</t>
  </si>
  <si>
    <t>LOSA DE PISO</t>
  </si>
  <si>
    <t>LOSA SUPERIOR</t>
  </si>
  <si>
    <t>BLOQUES 6"</t>
  </si>
  <si>
    <t>EXCAVACION</t>
  </si>
  <si>
    <t xml:space="preserve">BOTE </t>
  </si>
  <si>
    <t>TAPA ALUMINIO 0.60*0.60</t>
  </si>
  <si>
    <t>ACERO   3/8"  @ 0.20  A.D.</t>
  </si>
  <si>
    <t>PAÑETE INTERIOR MUROS Y FONDO</t>
  </si>
  <si>
    <t>Cotización Hormigón Industrial Resistencia 210 Kg/cm2</t>
  </si>
  <si>
    <t>CASETA DE CLORACION</t>
  </si>
  <si>
    <t>CONSTRUCCIÓN CASETA DE CLORACIÓN, PARA SISTEMA DE CLORACIÓN DE 2,000 LIBRAS.</t>
  </si>
  <si>
    <t>PRELIMINARES:</t>
  </si>
  <si>
    <t>DEMOLICION DE CASETA EXISTENTE EN BLOCK DE 6' (2.40 X 3.20 X 2.60) INCLUYE BOTE</t>
  </si>
  <si>
    <t>MOVIMIENTO DE TIERRA (INCLUYE NIVELACION)</t>
  </si>
  <si>
    <t>HORMIGÓN ARMADO (F'C=180 KG/CM²) EN:</t>
  </si>
  <si>
    <t>ZAPATA DE MURO 0.66 QQ/M3</t>
  </si>
  <si>
    <t>ZAPATA DE COLUMNA 1.15 QQ/M3</t>
  </si>
  <si>
    <t>COLUMNA 0.30 X 0.30 - 2.78 QQ/M3</t>
  </si>
  <si>
    <t>11.2.4</t>
  </si>
  <si>
    <t>VIGA  0.20X0.30 - 6.10 QQ/M3</t>
  </si>
  <si>
    <t>11.2.5</t>
  </si>
  <si>
    <t>LOSA DE TECHO 0.12 - 1.24 QQ/M3</t>
  </si>
  <si>
    <t>MURO DE BLOCK</t>
  </si>
  <si>
    <t>11.3.1</t>
  </si>
  <si>
    <t>DE  Ø6" SNP</t>
  </si>
  <si>
    <t>11.4.1</t>
  </si>
  <si>
    <t xml:space="preserve">PAÑETE EXTERIOR </t>
  </si>
  <si>
    <t>11.4.2</t>
  </si>
  <si>
    <t>11.4.3</t>
  </si>
  <si>
    <t>PAÑETE TECHO</t>
  </si>
  <si>
    <t>11.4.4</t>
  </si>
  <si>
    <t>11.4.5</t>
  </si>
  <si>
    <t>PINTURA ACRÍLICA</t>
  </si>
  <si>
    <t>11.4.6</t>
  </si>
  <si>
    <t>PISO H.S.</t>
  </si>
  <si>
    <t>11.4.7</t>
  </si>
  <si>
    <t>11.4.8</t>
  </si>
  <si>
    <t>11.4.9</t>
  </si>
  <si>
    <t>11.4.10</t>
  </si>
  <si>
    <t>ACERA EXTERIOR 0.60</t>
  </si>
  <si>
    <t>11.4.11</t>
  </si>
  <si>
    <t>SUMINISTRO DE CALICHE PARA RELLENO EN EN INTERIOR DE CASETA</t>
  </si>
  <si>
    <t>11.4.12</t>
  </si>
  <si>
    <t xml:space="preserve">RELLENO COMPACTADO C/ COMPACTADOR MECANICO EN CAPA DE 0.20 M. </t>
  </si>
  <si>
    <t>INSTALACIONES ELÉCTRICAS:</t>
  </si>
  <si>
    <t xml:space="preserve">ENTRADA ELÉCTRICA (SALIDA) </t>
  </si>
  <si>
    <t xml:space="preserve">SALIDA CENITALES (SALIDA) </t>
  </si>
  <si>
    <t>11.5.3</t>
  </si>
  <si>
    <t>INTERRUPTORES SENCILLOS</t>
  </si>
  <si>
    <t>11.5.4</t>
  </si>
  <si>
    <t>11.5.5</t>
  </si>
  <si>
    <t>LÁMPARA FLUORESCENTE 4X40W</t>
  </si>
  <si>
    <t>11.5.6</t>
  </si>
  <si>
    <t>ALIMENTACION ELÉCTRICA EXTERNA (DESGLOSAR PARTIDA)</t>
  </si>
  <si>
    <t>SISTEMA DE CLORACIÓN:</t>
  </si>
  <si>
    <t>11.6.1</t>
  </si>
  <si>
    <t>DOSIFICADOR DE CLORO APLICACIÓN AL VACIO CON RANGO DE APLICACIÓN DE 0-100</t>
  </si>
  <si>
    <t>11.6.2</t>
  </si>
  <si>
    <t>BOMBA ROMPEDORA DE PRESION TIPO BOOSTER DE 5.5 GPM</t>
  </si>
  <si>
    <t>11.6.3</t>
  </si>
  <si>
    <t>CILINDRO DE GAS CLORO 2, 000 LB LLENO, (INC. INSTALACION)</t>
  </si>
  <si>
    <t>11.6.4</t>
  </si>
  <si>
    <t>SISTEMA DE RODAJE DE CILINDRO INC. VIGA W8 X 31</t>
  </si>
  <si>
    <t>11.6.5</t>
  </si>
  <si>
    <t xml:space="preserve">CARRIL METÁLICO PARA ELEVADOR DE CILINDRO 2,000 LBS.  </t>
  </si>
  <si>
    <t>11.6.6</t>
  </si>
  <si>
    <t>DIFERENCIAL MANUAL  DE 2 TONELADAS  (CUBICAR CON FACTURA CON COMPROBANTE FISCAL )</t>
  </si>
  <si>
    <t>11.6.7</t>
  </si>
  <si>
    <t>REGISTRO EN PUNTO DE APLICACIÓN DE CLORO ( 2.00 X 1.75 X 2.65), INC, TAPA DE TOLA 1/4" DE ESPESOR Y ANGULAR (2.00 X 2.00 X 1/4) Y ESCALERA H.G. H= 1.78 M.</t>
  </si>
  <si>
    <t>11.6.8</t>
  </si>
  <si>
    <t xml:space="preserve">PIEZAS Y ASCESORIOS </t>
  </si>
  <si>
    <t>11.6.9</t>
  </si>
  <si>
    <t>DETECTOR DE CLORO</t>
  </si>
  <si>
    <t>11.6.10</t>
  </si>
  <si>
    <t xml:space="preserve">DIFUSOR DE CLORO </t>
  </si>
  <si>
    <t>11.6.11</t>
  </si>
  <si>
    <t xml:space="preserve">DESAGUE DE CASETA </t>
  </si>
  <si>
    <t>11.6.12</t>
  </si>
  <si>
    <t>H.S. 180KG/CM2</t>
  </si>
  <si>
    <t>MOV. DE TIERRA</t>
  </si>
  <si>
    <t>ZAPATA DE MURO(INC. ZAP. C1)  0.79 QQ/M3</t>
  </si>
  <si>
    <t>COLUMNA 0.20 X 0.20  4.58 QQ/M3</t>
  </si>
  <si>
    <t>VIGA V1  0.20 X 0.25   11.14 QQ/M3</t>
  </si>
  <si>
    <t>DINTEL 0.15 X 0.20   5.00 QQ/M3</t>
  </si>
  <si>
    <t>LOSA DE TECHO  e=0.13   1.06 QQ/M3</t>
  </si>
  <si>
    <t>BASE H.A. P/PLANTA  3.2 X 1.85   0.63 QQ/M3</t>
  </si>
  <si>
    <t>MURO DE BLOQUES:</t>
  </si>
  <si>
    <t>DE 6" B.N.P.</t>
  </si>
  <si>
    <t>DE 6" S.N.P.</t>
  </si>
  <si>
    <t>CALADOS</t>
  </si>
  <si>
    <t xml:space="preserve">PINTURA AZUL MANTENIMIENTO </t>
  </si>
  <si>
    <t>PISO H.S. PULIDO</t>
  </si>
  <si>
    <t>PUERTA METALICA ENROLLABLE</t>
  </si>
  <si>
    <t>SALIDA</t>
  </si>
  <si>
    <t>CASA DE GENERADOR 0-20KW</t>
  </si>
  <si>
    <t>CASETA PARA GENERADOR ELECTRICO DE 20-100 KW (ANALISIS)</t>
  </si>
  <si>
    <t>ZAPATA DE MURO .79</t>
  </si>
  <si>
    <t>ACERO + M.0 + ALAMBRE</t>
  </si>
  <si>
    <t>COLUMNA (0.20X 0.20)  4.58 QQ/M3</t>
  </si>
  <si>
    <t>VIGA ( 0.20X0.25) 11.14 QQ/M3</t>
  </si>
  <si>
    <t>ENCOFRADO</t>
  </si>
  <si>
    <t>DINTEL  (0.15 X 0.20 )  5.00 QQ/M3</t>
  </si>
  <si>
    <t>BASE PARA GENERADOR-.63QQ/M3</t>
  </si>
  <si>
    <t>LOSA DE TECHO  0.13    1.06QQ/M3</t>
  </si>
  <si>
    <t>COMUNIDAD LOS LADRILLOS</t>
  </si>
  <si>
    <t>ACOMETIDAS RURALES CON POLIETILENO  DE Ø 3" (32 UD)</t>
  </si>
  <si>
    <t>COMUNIDAD POZO HONDO</t>
  </si>
  <si>
    <t>ACOMETIDAS RURALES CON POLIETILENO  DE Ø 3" (80 UD)</t>
  </si>
  <si>
    <t>ACOMETIDAS RURALES CON POLIETILENO  DE Ø 4" (38 UD)</t>
  </si>
  <si>
    <t>ACOMETIDAS RURALES CON POLIETILENO  DE Ø 4" (20 UD)</t>
  </si>
  <si>
    <t>8.1.14</t>
  </si>
  <si>
    <t>8.3.1</t>
  </si>
  <si>
    <t>8.3.2</t>
  </si>
  <si>
    <t>8.3.3</t>
  </si>
  <si>
    <t>8.3.4</t>
  </si>
  <si>
    <t>8.3.5</t>
  </si>
  <si>
    <t>8.3.6</t>
  </si>
  <si>
    <t>8.3.7</t>
  </si>
  <si>
    <t>8.3.8</t>
  </si>
  <si>
    <t>8.3.9</t>
  </si>
  <si>
    <t>8.3.10</t>
  </si>
  <si>
    <t>8.3.11</t>
  </si>
  <si>
    <t>8.3.12</t>
  </si>
  <si>
    <t>8.3.13</t>
  </si>
  <si>
    <t>8.3.14</t>
  </si>
  <si>
    <t>8.4.7</t>
  </si>
  <si>
    <t>8.4.8</t>
  </si>
  <si>
    <t>8.4.9</t>
  </si>
  <si>
    <t>8.4.10</t>
  </si>
  <si>
    <t>8.4.11</t>
  </si>
  <si>
    <t>8.4.12</t>
  </si>
  <si>
    <t>8.4.13</t>
  </si>
  <si>
    <t>8.4.14</t>
  </si>
  <si>
    <t>23m</t>
  </si>
  <si>
    <t>m3</t>
  </si>
  <si>
    <t>m3s</t>
  </si>
  <si>
    <t>Camara septica</t>
  </si>
  <si>
    <t>Muro de Bloques  de 8"</t>
  </si>
  <si>
    <t>Camara distribucion</t>
  </si>
  <si>
    <t>Filtro Biologico</t>
  </si>
  <si>
    <t>Losa de Hormigon Fondo</t>
  </si>
  <si>
    <t>Losa de Hormigon Techo</t>
  </si>
  <si>
    <t>Excavacion</t>
  </si>
  <si>
    <t>Tapa de Hormigon</t>
  </si>
  <si>
    <t>Muro de Bloques  de 6"</t>
  </si>
  <si>
    <t>Viga de Hormigon</t>
  </si>
  <si>
    <t>CAMARA INSP., MATERIAL NO CLASIFICADO, 0.60 x 0.60 x 0.60 M. INT.:</t>
  </si>
  <si>
    <t>Excavación Material no clasificado (.8x.8x.8 M.).</t>
  </si>
  <si>
    <t>Bote Material excavado.</t>
  </si>
  <si>
    <t>HorM. 1:3:5 en losas.</t>
  </si>
  <si>
    <t>Acero 3/8" x 20' grado 40 en taPa.</t>
  </si>
  <si>
    <t>HorM. 1:3:5 en int.</t>
  </si>
  <si>
    <t>Mortero 1:2 iMPerM. (4 MM. + 20% desP.)</t>
  </si>
  <si>
    <t>SISTEMA DE DEPURACION DE AGUAS NEGRAS</t>
  </si>
  <si>
    <t>Bloques 8".</t>
  </si>
  <si>
    <t>MUROS DE BLOQUES DE 8"</t>
  </si>
  <si>
    <t>SUMINISTRO DE BLOQUES 8"</t>
  </si>
  <si>
    <t>MORTERO P/JUNTA  1.3+30%DESP.</t>
  </si>
  <si>
    <t>HORMIGON EN CAMARA +10%DESP.</t>
  </si>
  <si>
    <t>ACERO 3/8"+20%DESP.</t>
  </si>
  <si>
    <t xml:space="preserve">LLENADO DE HUECOS </t>
  </si>
  <si>
    <t>MURO DE BLOQUES DE 8" SNP</t>
  </si>
  <si>
    <t>COSTO /M2RD$</t>
  </si>
  <si>
    <t>MURO DE BLOQUES DE 8" BNP</t>
  </si>
  <si>
    <t>COSTO/M2 RD$</t>
  </si>
  <si>
    <t>MURO DE BLOQUES DE 6" SNP</t>
  </si>
  <si>
    <t>MURO DE BLOQUES DE 6" BNP</t>
  </si>
  <si>
    <t>MURO DE BLOCKS</t>
  </si>
  <si>
    <t>MURO DE BLOQUES DE 6" S.N.P. @ 0.80 M = @ 0.60</t>
  </si>
  <si>
    <t xml:space="preserve">COLOCACION BLOQUES 6" </t>
  </si>
  <si>
    <t>VIOLINADO</t>
  </si>
  <si>
    <r>
      <t xml:space="preserve">MURO DE BLOQUES DE 6" </t>
    </r>
    <r>
      <rPr>
        <b/>
        <sz val="10"/>
        <color indexed="8"/>
        <rFont val="Arial"/>
        <family val="2"/>
      </rPr>
      <t>B.N.P.</t>
    </r>
    <r>
      <rPr>
        <b/>
        <sz val="10"/>
        <rFont val="Arial"/>
        <family val="2"/>
      </rPr>
      <t xml:space="preserve">  @ 0.80 M = @ 0.60</t>
    </r>
  </si>
  <si>
    <r>
      <t xml:space="preserve">MURO DE BLOQUES DE 6" </t>
    </r>
    <r>
      <rPr>
        <b/>
        <sz val="10"/>
        <color indexed="12"/>
        <rFont val="Arial"/>
        <family val="2"/>
      </rPr>
      <t>S.N.P.</t>
    </r>
    <r>
      <rPr>
        <b/>
        <sz val="10"/>
        <rFont val="Arial"/>
        <family val="2"/>
      </rPr>
      <t xml:space="preserve">  @ 0.40 M</t>
    </r>
  </si>
  <si>
    <r>
      <t xml:space="preserve">MURO DE BLOQUES DE 6" </t>
    </r>
    <r>
      <rPr>
        <b/>
        <sz val="10"/>
        <color indexed="57"/>
        <rFont val="Arial"/>
        <family val="2"/>
      </rPr>
      <t>B.N.P.</t>
    </r>
    <r>
      <rPr>
        <b/>
        <sz val="10"/>
        <rFont val="Arial"/>
        <family val="2"/>
      </rPr>
      <t xml:space="preserve">  @ 0.40 M</t>
    </r>
  </si>
  <si>
    <r>
      <t xml:space="preserve">MURO DE BLOQUES DE 6" </t>
    </r>
    <r>
      <rPr>
        <b/>
        <sz val="10"/>
        <color indexed="10"/>
        <rFont val="Arial"/>
        <family val="2"/>
      </rPr>
      <t>S.N.P.</t>
    </r>
    <r>
      <rPr>
        <b/>
        <sz val="10"/>
        <rFont val="Arial"/>
        <family val="2"/>
      </rPr>
      <t xml:space="preserve">  @ CAMARA LLENA</t>
    </r>
  </si>
  <si>
    <r>
      <t xml:space="preserve">MURO DE BLOQUES DE 6" </t>
    </r>
    <r>
      <rPr>
        <b/>
        <sz val="10"/>
        <color indexed="17"/>
        <rFont val="Arial"/>
        <family val="2"/>
      </rPr>
      <t>B.N.P.</t>
    </r>
    <r>
      <rPr>
        <b/>
        <sz val="10"/>
        <rFont val="Arial"/>
        <family val="2"/>
      </rPr>
      <t xml:space="preserve">  @ CAMARA LLENA</t>
    </r>
  </si>
  <si>
    <t>MURO DE BLOQUES DE 4"</t>
  </si>
  <si>
    <t xml:space="preserve">POZO FILTRANTE EN TUBERIA DE 8" ACERO CON SU EXCAVACION </t>
  </si>
  <si>
    <t xml:space="preserve">PERFORACION </t>
  </si>
  <si>
    <t xml:space="preserve">ENCAMISADO (INCLUYE SOLDADURA) </t>
  </si>
  <si>
    <t xml:space="preserve">RANURADO </t>
  </si>
  <si>
    <t xml:space="preserve">SUMINISTRO DE TUBERIA </t>
  </si>
  <si>
    <t>CAMARA DISTRIBUCIO</t>
  </si>
  <si>
    <t>FILTRO BIOLOGICO</t>
  </si>
  <si>
    <t xml:space="preserve">SUMINISTRO Y COLOCACION GRAVA </t>
  </si>
  <si>
    <t>PIEZAS</t>
  </si>
  <si>
    <t>CODO 4"X 90º PVC SDR-26</t>
  </si>
  <si>
    <t>TEE 4" PVC SDR-26- SCH-80</t>
  </si>
  <si>
    <t>TAPAS DE H. A.</t>
  </si>
  <si>
    <t>TAPA DE HORMIGON ARMADO</t>
  </si>
  <si>
    <t>HORMIGON  1:3:5</t>
  </si>
  <si>
    <t>MURO  BLOQUES 6"</t>
  </si>
  <si>
    <t>ACERO 3/8 @0.20 A.D LOSA DE TECHO</t>
  </si>
  <si>
    <t>EXCAVACION Y BOTE</t>
  </si>
  <si>
    <t>PLANCHAS DE PLYWOOD (2 PLANCHAS / 4 USOS)</t>
  </si>
  <si>
    <t>RELLENO COMPACTADO  A MANO CON MATERIAL PRODUCTO DE EXCAVACION</t>
  </si>
  <si>
    <t>2.1.3</t>
  </si>
  <si>
    <t>2.1.4</t>
  </si>
  <si>
    <t>CAMPAMENTO, ( INC. ALQUILER DE SOLAR CON O SIN CASA, 2 UD DE BAÑOS MOVILES Y CASETA PARA MATERIALES)</t>
  </si>
  <si>
    <t>ELECTROBOMBA CENTRIFUGA HORIZONTAL DE EJE HORIZONTAL</t>
  </si>
  <si>
    <t>UNION UNIVERSAL Ø2"</t>
  </si>
  <si>
    <t>NIPLE Ø2" PLATILLADO EN UN EXTREMO</t>
  </si>
  <si>
    <t>VALVULA DE AIRE DE Ø1/2"</t>
  </si>
  <si>
    <t>INSTALACION MANOMETRICA</t>
  </si>
  <si>
    <t>VALVULA DE CHECK HORIZONTAL ROSCADO DE Ø2" ROSCADA , 200 PSI</t>
  </si>
  <si>
    <t xml:space="preserve">NIPLE Ø2" ROSCADO EN AMBOS EXTREMOS </t>
  </si>
  <si>
    <t>TEE ROSCADA DE Ø2"</t>
  </si>
  <si>
    <t>CODO ROSCADO DE Ø2" X90º ACERO</t>
  </si>
  <si>
    <t>ZETA</t>
  </si>
  <si>
    <t>BASE ELECTROBOMBA</t>
  </si>
  <si>
    <t>VALVULA DE CHECK VERTICAL DE Ø2", 200 PSI</t>
  </si>
  <si>
    <t>VALVULA DE COMPUERTA DE Ø2" ROSCADA, 200 PSI</t>
  </si>
  <si>
    <t>DESGLOCES</t>
  </si>
  <si>
    <t>TEE 12" X 4" ACERO SIN COSTURA CON RECUBRIMIENTO ANTICORROSIVO</t>
  </si>
  <si>
    <t>JUNTA TAPON 12" ACERO</t>
  </si>
  <si>
    <t xml:space="preserve">PISO MONOLITICO PARA INSTALACION DE BOQUILLAS </t>
  </si>
  <si>
    <t>TOBERAS  EN POLIPROPILENO INYECTADO P/LAVADO, CON RANURAS 0.30MM EN CABEZAL Y DIAMETRO DE 1"</t>
  </si>
  <si>
    <t>SUMINISTRO Y COLOCACION TUBERIA  Ø12" ACERO (SCH-30 SIN COSTURA C/ PROTECCION ANTICORROSIVA)</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</si>
  <si>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 DIÁMETRO Ø8"</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</si>
  <si>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 DIÁMETRO Ø6"</t>
  </si>
  <si>
    <t xml:space="preserve">LOSAS PREFABRICADAS PARA TOBERAS </t>
  </si>
  <si>
    <t>REGISTRO SALIDA AGUA CLARA (SEGUN DISENO)</t>
  </si>
  <si>
    <t>H.A. EN LOSA DE FONDO 0.20 - 3.88 QQ/M3</t>
  </si>
  <si>
    <t>MURO  0.25 - 3.24  QQ/M3 (1/2" @ 0.20 Y 1/2" @ 0.15)</t>
  </si>
  <si>
    <t>H.A. EN LOSA DE TECHO 0.15 - 3.61 QQ/M3</t>
  </si>
  <si>
    <t>PANETE INTERIOR PULIDO</t>
  </si>
  <si>
    <t>TAPA  0.7 X 0.70  ALUMINIO</t>
  </si>
  <si>
    <t>PASARELA Y ESCALERA A PLANTA</t>
  </si>
  <si>
    <t>TUBERIA 12" ACERO SCH-40 SIN COSTURA CON RECUBRIMIENTO ANTICORROSIVO</t>
  </si>
  <si>
    <t>VALVULA DE MARIPOSA 12" H.F. COMPLETA (INC. 2 NIPLES PLATILLADOS, 2JG, TORNILLOS Y 2 JUNTAS DRESSER</t>
  </si>
  <si>
    <t>ABRAZADERAS DE ACERO P/SOPORTE DE TUBERIAS 12"</t>
  </si>
  <si>
    <t>HORMIGON CICLOPEO EN TOLVAS  DE LOS SEDIMENTADORES</t>
  </si>
  <si>
    <t>REGISTRO PARA VALVULA DE 12"</t>
  </si>
  <si>
    <t>CASA DE QUÍMICOS</t>
  </si>
  <si>
    <t>ZAPATA DE MURO - ESP. = 0.30M - 0.53QQ/M3</t>
  </si>
  <si>
    <t>ZAPATA DE COLUMNA - ESP. = 0.25M - 0.86QQ/M3</t>
  </si>
  <si>
    <t>COLUMNA C1  0.40X0.40 - 5.04 QQ/M3</t>
  </si>
  <si>
    <t>COLUMNA C2  0.35X0.35 - 5.02 QQ/M3</t>
  </si>
  <si>
    <t>VIGA V1, V2 Y V4 (0.25X0.30) 3.19 QQ/M3</t>
  </si>
  <si>
    <t>VIGA V3 (0.25X0.30) 4.68 QQ/M3</t>
  </si>
  <si>
    <t>VIGA AMARRE N.P.  0.15X0.20 - 3.60  QQ/M3</t>
  </si>
  <si>
    <t>VIGA AMARRE  0.20X0.35 - 3.27  QQ/M3</t>
  </si>
  <si>
    <t>LOSA DE ENTREPISO  0.15 - 1.16 QQ/M3</t>
  </si>
  <si>
    <t>LOSA DE TECHO  0.15 - 1.16 QQ/M3</t>
  </si>
  <si>
    <t>LOSA FONDO TINA   0.20 - 1.76 QQ/M3</t>
  </si>
  <si>
    <t>MUROS TINA  0.15 - 3.06 QQ/M3</t>
  </si>
  <si>
    <t>ESCALERA ACCESO TINA</t>
  </si>
  <si>
    <t>BLOQUES DE 6" B.N.P.</t>
  </si>
  <si>
    <t>BLOQUES DE 6" S.N.P</t>
  </si>
  <si>
    <t xml:space="preserve">PAÑETE INTERIOR Y EXTERIOR </t>
  </si>
  <si>
    <t>ZABALETA TECHO</t>
  </si>
  <si>
    <t>PAÑETE LOSA ALREDEDOR TINA</t>
  </si>
  <si>
    <t>PAÑETE INTERIOR PULIDO MUROS TINA</t>
  </si>
  <si>
    <t>FINO FONDO PULIDO TINA</t>
  </si>
  <si>
    <t>REVESTIDO FIBRA DE VIDRIO TINA</t>
  </si>
  <si>
    <t xml:space="preserve">PISO DE MOSAICOS CORRIENTES (25 X 25 )  </t>
  </si>
  <si>
    <t xml:space="preserve">ZOCALOS  DE MOSAICOS CORRIENTES </t>
  </si>
  <si>
    <t>PUERTAS POLIMETAL (INCLUYE INSTALACION)</t>
  </si>
  <si>
    <t xml:space="preserve">PUERTA ENROLLABLE METÁLICA (1.80 X 2.40 ) </t>
  </si>
  <si>
    <t>VENTANAS</t>
  </si>
  <si>
    <t xml:space="preserve">VENTANA ALUMINIO AA </t>
  </si>
  <si>
    <t xml:space="preserve">TARIMA DE MADERA P/ SULFATO  (2.00 X 1.00 X 0.20 ) </t>
  </si>
  <si>
    <t>SUMINISTRO E INSTALACION BOMBAS DOSIFICADORAS DE SULFATO  TIPO DIAFRAGMA, CON RANGO DE APLICACION       0-10 GPM, CARCASA EN FIBRA REFORZADA CON POLIPROPILENO, CUERPO BOMBA EN PVDF DIAFRAGMA EN PTFE , POTENCIA MOTOR 1/4 HP, JUNTAS DE FPM/FKM</t>
  </si>
  <si>
    <t xml:space="preserve">DIFUSOR DE SULFATO </t>
  </si>
  <si>
    <t>BOMBA 2H.P. (INCLUYE SUMINISTRO Y COLOCACION DE ACCESORIOS)</t>
  </si>
  <si>
    <t xml:space="preserve">DESAGUE TINA SULFATO </t>
  </si>
  <si>
    <t>ESTRUCTURA METALICA ELEVADOR:</t>
  </si>
  <si>
    <t>TOLA DE 4" X 8" X 3/16"</t>
  </si>
  <si>
    <t>15.1.2</t>
  </si>
  <si>
    <t>CORTES DE TOLA</t>
  </si>
  <si>
    <t>15.1.3</t>
  </si>
  <si>
    <t>TUBO DE 2" H.G. ESPESOR GRUESO</t>
  </si>
  <si>
    <t>TUBO DE 2 1/2" H.G. ESPESOR GRUESO</t>
  </si>
  <si>
    <t>BARRA CUADRADAS 3/4" X 3/4"</t>
  </si>
  <si>
    <t>BARRA CUADRADAS 1/2" X 1/2"</t>
  </si>
  <si>
    <t>ANGULARES  2" X 2" X 1/4"</t>
  </si>
  <si>
    <t>ANGULARES 1 1/2" X 1 1/2" X 1/4"</t>
  </si>
  <si>
    <t>PLANCHAS DE MALLA DESPLEGABLE 3/4"</t>
  </si>
  <si>
    <t>CABLE DE ACERO CAP. 18,960 LBS</t>
  </si>
  <si>
    <t>GRAPAS P/ CABLE DE 1/2"</t>
  </si>
  <si>
    <t>GRILLETE DE 2 TON.</t>
  </si>
  <si>
    <t>GUARDACABO P/ CABLE DE 1/2"</t>
  </si>
  <si>
    <t>PLANCHUELAS DE 3" X 3/8"</t>
  </si>
  <si>
    <t>PERFIL " I ", CON OJAL DE SUJECION</t>
  </si>
  <si>
    <t>SPRING INDUSTRIAL DE 4" P/ SOPORTE</t>
  </si>
  <si>
    <t>MANO OBRA ESTRUCTURA METALICA Y SOLDADURA</t>
  </si>
  <si>
    <t>SUM. Y COLOC. DE DIFERENCIAL CAPAC. 1 TONELADA</t>
  </si>
  <si>
    <t xml:space="preserve">LAVAMANOS SENCILLO </t>
  </si>
  <si>
    <t xml:space="preserve">INODORO SENCILLO </t>
  </si>
  <si>
    <t>PILETAS/ AZULEJOS</t>
  </si>
  <si>
    <t>DUCHA (C/LLAVE A EMPOTRAR)</t>
  </si>
  <si>
    <t xml:space="preserve">DESAGÜE DE PISO DE 2"  </t>
  </si>
  <si>
    <t xml:space="preserve">FREGADERO DOBLE ACERO INOXIDABLE  </t>
  </si>
  <si>
    <t xml:space="preserve">TUBERÍA Y PIEZAS DE TODOS LOS APARATOS SANITARIOS </t>
  </si>
  <si>
    <t xml:space="preserve">MANO DE OBRA DE TODOS LOS APARATOS SANITARIOS </t>
  </si>
  <si>
    <t>SALIDAS CENITALES 110V</t>
  </si>
  <si>
    <t>LAMPARA MERCURIO 175W 110V</t>
  </si>
  <si>
    <t>SALIDA TOMACORRIENTE 240V</t>
  </si>
  <si>
    <t>SALIDA INTERRUPTOR SENCILLO</t>
  </si>
  <si>
    <t>PANEL DE DISTRIB. DE 6/12 ESPACIO  C/BREAKERS</t>
  </si>
  <si>
    <t>GABINETE DE PARED</t>
  </si>
  <si>
    <t>GABINETE DE PISO</t>
  </si>
  <si>
    <t>MESETA DE MARMOLITE</t>
  </si>
  <si>
    <t>EQUIPO DE LABORATORIO</t>
  </si>
  <si>
    <t xml:space="preserve">TURBIDIMETRO POTABLE 2100Q RANT 0.1000NTY </t>
  </si>
  <si>
    <t xml:space="preserve">EQUIPO DE PRUEBA DE JARRAS </t>
  </si>
  <si>
    <t>BALANZA DE SEMIPRECISION DE 2610 GRS</t>
  </si>
  <si>
    <t>TERMÓMETRO DE VIDRIO DE 20 @ 120 · C</t>
  </si>
  <si>
    <t xml:space="preserve">JARRA PLASTICA DE 2 LITROS CUADRADOS </t>
  </si>
  <si>
    <t>MATRAZ AFORADO DE 100 M VIDRIO</t>
  </si>
  <si>
    <t>MANÓMETRO MANUAL</t>
  </si>
  <si>
    <t>UTENSILIOS P/ LIMPIEZA</t>
  </si>
  <si>
    <t>COLADORES C/PALOS 3.00M</t>
  </si>
  <si>
    <t>CUBOS P/ LIMPIEZA</t>
  </si>
  <si>
    <t>RASTRILLOS DE HF(C/ DIENTES)</t>
  </si>
  <si>
    <t>LOGO Y LETRERO CASA QUIMICOS</t>
  </si>
  <si>
    <t>Nombre Presupuesto</t>
  </si>
  <si>
    <t>Nombre Memo</t>
  </si>
  <si>
    <t xml:space="preserve">Excel </t>
  </si>
  <si>
    <t>Word</t>
  </si>
  <si>
    <t xml:space="preserve"> CONSTRUCCIÓN LINEA MATRIZ, MACRO Y MICRO RED DE DISTRIBUCION DE BANI Y LINEA MATRIZ Y RED DE DISTRIBUCION DE EL FUNDO, ACUEDUCTO PERAVIA </t>
  </si>
  <si>
    <t>CONSTRUCCIÓN RED DE DISTRIBUCIÓN EL CARRETÓN Y ZONAS ALEDAÑAS PLANTA DE TRATAMIENTO- LÍNEA MATRIZ Y RED DE DISTRIBUCIÓN EN MATANZA -LÍNEA MATRIZ Y RED DE DISTRIBUCIÓN DE PAYA- LÍNEA DE CONDUCCIÓN, LÍNEA MATRIZ Y RED DE DISTRIBUCIÓN ARROYO HONDO, LOS TUMBAO Y QUIJA QUIETA, ACUEDUCTO PERAVIA</t>
  </si>
  <si>
    <t>Construcción Macro Red De Bani y Red de Distribución El Fundo, Acueducto Múltiple  Peravia</t>
  </si>
  <si>
    <t>Ampliación y Mejoramiento Redes de Distribución Matanza, Paya, Arroyo Hondo, Los Tumbaos y Quija Quieta y Carretón, Acueducto Múltiple  Peravia</t>
  </si>
  <si>
    <t>Monto (RD$)</t>
  </si>
  <si>
    <t>JUNTA HIDROFILICA</t>
  </si>
  <si>
    <t>VERJA DE MURO DE BLOCK DE 6" Y BLOCK CALADO, SEGÚN DETALLE EN PLANO</t>
  </si>
  <si>
    <t>PUERTA DE MALLA CICLONICA L= 4.00 M.</t>
  </si>
  <si>
    <t>COLUMNA PARA VERJA MALLA CICLONICA</t>
  </si>
  <si>
    <t>R.D.$/UD</t>
  </si>
  <si>
    <t>COLUMNAS C2 0.20X0.3 - 3.98 QQ/M3  F'C=210KG/CM2</t>
  </si>
  <si>
    <t>H.S. 210KG/CM2+5% DESP.</t>
  </si>
  <si>
    <t>VIGA  0.20X0.20 - 2.98 QQ/M3  F'C=210KG/CM2</t>
  </si>
  <si>
    <t>BARANDILLAS H.G. 11/2 (P/ 6 M)</t>
  </si>
  <si>
    <t>TUB.1½" H.G..</t>
  </si>
  <si>
    <t>CODO 1½"x 90º H.G</t>
  </si>
  <si>
    <t>CRUZ 1½" H.G</t>
  </si>
  <si>
    <t>TEE 1½" H.G.</t>
  </si>
  <si>
    <t>FIJACION BASE</t>
  </si>
  <si>
    <t>PINTURA OXIDO ROJO</t>
  </si>
  <si>
    <t>PINTURA MANTENIMIENTO</t>
  </si>
  <si>
    <t>M.O.  CORTE Y SOLDADURA</t>
  </si>
  <si>
    <t>COSTO TOTAL R.D$</t>
  </si>
  <si>
    <t>P/ M R.D.$</t>
  </si>
  <si>
    <t>HORMIGON COLUMNA C1</t>
  </si>
  <si>
    <t>VERJA</t>
  </si>
  <si>
    <t>CALADO</t>
  </si>
  <si>
    <t>ZAPATA DE MURO</t>
  </si>
  <si>
    <t>12.2.1</t>
  </si>
  <si>
    <t>12.2.2</t>
  </si>
  <si>
    <t>12.2.3</t>
  </si>
  <si>
    <t>12.3.1</t>
  </si>
  <si>
    <t>12.3.2</t>
  </si>
  <si>
    <t>12.3.3</t>
  </si>
  <si>
    <t>12.3.4</t>
  </si>
  <si>
    <t>12.3.5</t>
  </si>
  <si>
    <t>12.3.6</t>
  </si>
  <si>
    <t>12.3.8</t>
  </si>
  <si>
    <t>VI</t>
  </si>
  <si>
    <t>SUB-TOTAL IV</t>
  </si>
  <si>
    <t>SUB-TOTAL V</t>
  </si>
  <si>
    <t>SUB-TOTAL VI</t>
  </si>
  <si>
    <t>5.4</t>
  </si>
  <si>
    <t>SUB-TOTAL III</t>
  </si>
  <si>
    <t>SUB-TOTAL II</t>
  </si>
  <si>
    <t>SUB-TOTAL I</t>
  </si>
  <si>
    <t>VERTEDOR DE SALIDA DEL FILTRO</t>
  </si>
  <si>
    <t>COMPUTADORA - MEMORIA RAM   16 GB. DISCO DURO 500 GB. PROCESADOR I7 ÚLTIMA GENERACIÓN 3.20 GHZ. TARJETA DE VIDEO 4K. MONITOR LED, 24 PULGADAS, UPS PARA PROTECCION ELECTRICA</t>
  </si>
  <si>
    <t xml:space="preserve">COLORÍMETRO DE CLORO DIGITAL </t>
  </si>
  <si>
    <t>ILUMINACION INTERIOR EN CANALES DE DESAGUE</t>
  </si>
  <si>
    <t>VALVULA TIPO GLOBO DE Ø1 1/2"</t>
  </si>
  <si>
    <t>VALVULA TIPO GLOBO DE Ø1"</t>
  </si>
  <si>
    <t>TUBERIA DE Ø1 1/2" PVC SDR-26</t>
  </si>
  <si>
    <t>CODO DE Ø1 1/2" X 90 PVC</t>
  </si>
  <si>
    <t>TEE DE Ø1 1/2" PVC</t>
  </si>
  <si>
    <t>MOVIMIENTO DE TIERRA PARA TUBERIA</t>
  </si>
  <si>
    <t>MANO DE OBRA INSTALACION</t>
  </si>
  <si>
    <t>7.14.1</t>
  </si>
  <si>
    <t>7.14.2</t>
  </si>
  <si>
    <t>7.14.3</t>
  </si>
  <si>
    <t>7.14.4</t>
  </si>
  <si>
    <t>7.14.5</t>
  </si>
  <si>
    <t>7.14.6</t>
  </si>
  <si>
    <t>7.14.7</t>
  </si>
  <si>
    <t>SUMINISTRO Y COLOCACION DE REGLA DE MEDICION DE CAUDAL  DE SALIDA DE LA PLANTA</t>
  </si>
  <si>
    <t>INSTALACION DE TINACO PARA LA DISOLUCION DE SULFATO (CASA DE QUIMICO)</t>
  </si>
  <si>
    <t>SUMINISTRO TINACO DE 265 GLS PVC</t>
  </si>
  <si>
    <t>SUMINISTRO DE TUBERIA DE Ø1/2" PVC SCH-40, L=17.37 MTS Y PIEZAS, SEGÚN DETALLE, PARA SISTEMA DE DOSIFICACION</t>
  </si>
  <si>
    <t>MANO DE OBRA PARA INSTALACION DE TINACO, TUBERIAS Y PIEZAS.</t>
  </si>
  <si>
    <t xml:space="preserve">MANO DE OBRA  INSTALACION DE AGITADORES </t>
  </si>
  <si>
    <t>CONSTRUCCION DE TOLVA Y ESTRUCTURA METALICA (SEGUN ESPECIFICACIONES)</t>
  </si>
  <si>
    <t>RELLENO H.S.  P/ SALTO HIDRÁULICO  (INC. ENCOF.)</t>
  </si>
  <si>
    <t>SUMINISTRO E INSTALACION DE BOMBAS DOSIFICADORAS TIPO DIAFRAGMA RANGO APLICACIÓN 500-2000 GPD, 5 PIES TDH,  DE 1/2"  HP, 230 V, 60 HZ MONOFASICA, APLICACION EN LINEA. PARA APLICACIÓN DE SULFATO DE ALUMINIO CON CONCENTRACION DE 1 A 3% (SEGUN ESPECIFICACIONES REQUERIDA EN PLANOS)</t>
  </si>
  <si>
    <t>ZAPATA DE COLUMNA - ESP. = 0.45M - 0.86QQ/M3</t>
  </si>
  <si>
    <t>VIGA (0.25X0.50) 3.19 QQ/M3</t>
  </si>
  <si>
    <t>VIGA (0.25X0.40) 4.68 QQ/M3</t>
  </si>
  <si>
    <t>VIGA FUNDACION  0.30X0.45 - 3.60  QQ/M3</t>
  </si>
  <si>
    <t>SUMINISTRO Y COLOCACION TUBERIA 12" ACERO SCH-40 SIN COSTURA CON RECUBRIMIENTO ANTICORROSIVO</t>
  </si>
  <si>
    <t>DISEÑO Y SUPERVISION DE  OBRA</t>
  </si>
  <si>
    <t xml:space="preserve">ESTUDIOS (SOCIALES, AMBIENTALES, GEOTECNICO, TOPOGRAFICO, DE CALIDAD, ETC) </t>
  </si>
  <si>
    <t xml:space="preserve">MANTENIMIENTO Y OPERACION SISTEMA </t>
  </si>
  <si>
    <t xml:space="preserve">MEDIDA DE COMPENSACION AMBIENTAL </t>
  </si>
  <si>
    <t>SISTEMA DE TRATAMIENTO LODOS</t>
  </si>
  <si>
    <t>PRELIMINARES</t>
  </si>
  <si>
    <t xml:space="preserve">REPLANTEO  GENERAL </t>
  </si>
  <si>
    <t xml:space="preserve">COMPACTADO MECANICA DE RELLENO </t>
  </si>
  <si>
    <t>BOTE MECANICO DE MATERIAL EXCAVADO</t>
  </si>
  <si>
    <t>TUBERIA Ø 30" GRP</t>
  </si>
  <si>
    <t>TUBERIA Ø 20" PVC SDR-26 C/JG</t>
  </si>
  <si>
    <t>TUBERIA Ø 16" ACERO</t>
  </si>
  <si>
    <t>COLOCACION DE TUBERIA:</t>
  </si>
  <si>
    <t>TUBERIA Ø 20" PVC SDR-26</t>
  </si>
  <si>
    <t xml:space="preserve">ZAPATA DE COLUMNA 0.35 - 2.18 QQ/M3 </t>
  </si>
  <si>
    <t>ZAPATA DE MURO 0.35 - 2.80 QQ/M3</t>
  </si>
  <si>
    <t>LOSA DE FONDO  0.20- 2.60 QQ/M3</t>
  </si>
  <si>
    <t>COLUMNA CENTRAL 0.30*0.30 5.00QQ/M3</t>
  </si>
  <si>
    <t xml:space="preserve">ENCF Y DESC </t>
  </si>
  <si>
    <t>MUROS 0.25- 2.44QQ/M3</t>
  </si>
  <si>
    <t>LOSA DE TECHO 0.15- 1.57QQ/M3</t>
  </si>
  <si>
    <t>LOSA ENTREPISO 0.15- 1.64 QQ/M3</t>
  </si>
  <si>
    <t>VIGA 0.25X0.25 - 3.20QQ/M3</t>
  </si>
  <si>
    <t>CORTE PARA EXPLANACION CON EQUIPO (CLASIFICADA V=17,130.00 M3)</t>
  </si>
  <si>
    <t>RELLENO DE MATERIAL  COMPACTADO CON RODILLO VIBRADOR EN CAPAS DE 0.20</t>
  </si>
  <si>
    <t xml:space="preserve">HORMIGON CICLOPEO </t>
  </si>
  <si>
    <t>SUMINISTRO Y COLOCACION COMPUERTAS SUMERGIBLES, MARCOS MÁS DE 2" EN TOLAS DE 1/4" REFORZADAS MATERIALES STANDARD FABRICACIÓN ACERO INOXIDABLE AISI 316/304 ESPESOR TOLA ¼". VÁSTAGO EN HG 1½" DIMENSIONES 0.40M X 0.40M (HUECOS DE Ø16") SALIDA AGUA FILTRADA</t>
  </si>
  <si>
    <t>SUMINISTRO Y COLOCACION DE COMPUERTAS EN EL VERTEDOR DE SALIDA DE LOS FILTROS,TIPO CHANNEL, MARCOS DE MAS DE 3" EN TOLAS DE 1/4 (MATERIALES EN ACERO INOXIDABLE)  FABRICACION   ACERO INOXIDABLE AISI 304 ALTURA DE OPERACION 2.20 MT, SOLIDO EN ACERO INOXIDABLE (1.00x 0.40 )</t>
  </si>
  <si>
    <t>TAPA METALICA MATERIAL ALUMINIO GALVANIZADO (0.90X0.90 M), ANGULARES 1"x1"x3/8", Ocho (8) Pernos de Fijacion (TAMAÑO ACORDE A PLANO)</t>
  </si>
  <si>
    <t>TAPA METALICA MATERIAL ALUMINIO GALVANIZADO, ANGULARES 1"x1"x3/8", OCHO (8) PERNOS DE FIJACION (TAMAÑO 0.70X0.70M), PARA REGISTRO DE PRODUCCION DE FILTRO</t>
  </si>
  <si>
    <t>ACERA PERIMETRAL 0.80 MTS</t>
  </si>
  <si>
    <t xml:space="preserve">ESCALERA INTERIOR EN TOLA Y PERFILES  METÁLICOS  A=1.00 M (VER PLANOS) </t>
  </si>
  <si>
    <t>ESCALERA EXTERIOR EN TOLA Y PERFILES  METÁLICOS   (VER PLANOS) ACCESO LABORATORIO SEGUNDO NIVEL</t>
  </si>
  <si>
    <t>16.1.3</t>
  </si>
  <si>
    <t>16.1.4</t>
  </si>
  <si>
    <t>16.1.5</t>
  </si>
  <si>
    <t>16.1.6</t>
  </si>
  <si>
    <t>16.1.7</t>
  </si>
  <si>
    <t>16.1.8</t>
  </si>
  <si>
    <t>16.1.9</t>
  </si>
  <si>
    <t>16.1.10</t>
  </si>
  <si>
    <t>16.1.11</t>
  </si>
  <si>
    <t>16.1.12</t>
  </si>
  <si>
    <t>16.1.13</t>
  </si>
  <si>
    <t>16.1.14</t>
  </si>
  <si>
    <t>16.1.15</t>
  </si>
  <si>
    <t>16.1.16</t>
  </si>
  <si>
    <t>16.1.17</t>
  </si>
  <si>
    <t>16.1.18</t>
  </si>
  <si>
    <t>SISTEMA DE PRECLORACION DESDE CASETA DE CLORACION 2,000 LIBRAS</t>
  </si>
  <si>
    <t xml:space="preserve">Obra: </t>
  </si>
  <si>
    <t xml:space="preserve">Ubicación: SAN JUAN DE LA MAGUANA </t>
  </si>
  <si>
    <t>Zona : II</t>
  </si>
  <si>
    <t>PRILIMINARES</t>
  </si>
  <si>
    <t xml:space="preserve">EXCAVACION CON CLASIFICACION </t>
  </si>
  <si>
    <t xml:space="preserve">ASIENTO DE ARENA (INCLUYE ACARREO INTERNO ) </t>
  </si>
  <si>
    <t xml:space="preserve">BOTE DE MATERIAL CON CAMION (DIST.=5.0KM) INCLUYE CARGUIO Y  ESPARCIMIENTO EN BOTADERO) </t>
  </si>
  <si>
    <t>DE Ø12" ACERO SCH-40 SIN COSTURA C/ PROTECCION ANTICORROSIVA</t>
  </si>
  <si>
    <t>SUMINISTRO Y COLOCACION PIEZAS ESPECIALES</t>
  </si>
  <si>
    <t xml:space="preserve">USO BOMBA DE ACHIQUE 4"  </t>
  </si>
  <si>
    <t>DE AIRE COMBINADA Ø2" H.F. DE 150 PSI</t>
  </si>
  <si>
    <t xml:space="preserve">BOTE EN SITU </t>
  </si>
  <si>
    <t xml:space="preserve">ANCLAJE  HORMIGON ARMADO PARA PIEZAS (SEGUN DETALLE) CADA 5 M. </t>
  </si>
  <si>
    <t>BOTE DE ESCOMBROS CON CAMION (DIST. 5KM) (INCLUYE CARGUIO Y  ESPARCIMIENTO EN BOTADERO)</t>
  </si>
  <si>
    <t xml:space="preserve">HORMIGON ARMADO EN (F`C=280 KG/CM2 INDUSTRIAL) (INCLUYE VIBRADO Y ADITIVO) </t>
  </si>
  <si>
    <t>MANO DE OBRA PULIDO</t>
  </si>
  <si>
    <t>INSTALACIONES EN ENTRADA DE AGUA DESDE CASCADA AEREACION</t>
  </si>
  <si>
    <t xml:space="preserve">ANCLAJE  H.A PARA PIEZAS (SEGUN DETALLE) FC'= 180 KG/CM2 </t>
  </si>
  <si>
    <t>ANCLAJE DE HORMIGON ARMADO PARA TUBERIA EN LINEA DE ADUCCION (140 M)</t>
  </si>
  <si>
    <t xml:space="preserve">ANCLAJE CON PERFILES METALICO DENTRO DEL TUNEL PARA TUBERIA DE 12" EN LINEA DE ADUCCION (200 M) (INCLUYE MANO DE OBRA) </t>
  </si>
  <si>
    <t xml:space="preserve">REGISTRO PARA VALVULA PARA VALVULA DE 2"  </t>
  </si>
  <si>
    <t xml:space="preserve">LINEA DE ADUCCION DESDE EMPALME (PRESA ) HASTA PLANTA POTABILIZADORA DE 40 L.P.S </t>
  </si>
  <si>
    <t xml:space="preserve">DE COMPUERTA DE Ø12" H.F. DE 150 PSI PLATILLADA COMPLETA ( INCLUYE CUERPO DE LA VALVULA, JUNTA DE CERA, TORINILLOS, NIPLE, JUNTAS MECANICA TIPO DRESSER, MOVIMIENTO DE TIERRA Y MANO DE OBRA) </t>
  </si>
  <si>
    <t xml:space="preserve">DE DESAGÜE DE Ø4" H.F. DE 150 PSI PLATILLADA COMPLETA EN TUBERIA DE  Ø12" ( INCLUYE CUERPO DE LA VALVULA, JUNTA DE CERA, TORINILLOS, NIPLE, JUNTAS MECANICA TIPO DRESSER,TEE, ANCLAJES DE H.S,  MOVIMIENTO DE TIERRA Y MANO DE OBRA) </t>
  </si>
  <si>
    <t xml:space="preserve">H.S. 180KG/CM2+5% DESP. </t>
  </si>
  <si>
    <t>CODO 12'' X 90 ACERO SCH-40  S/COSTURA CON RECUBRIMIENTO ANTICORROSIVO</t>
  </si>
  <si>
    <t>TEE 12'' X 12" ACERO SCH-40  S/COSTURA CON RECUBRIMIENTO ANTICORROSIVO</t>
  </si>
  <si>
    <t>NIPLE 12'' X 3" ACERO SCH-40  S/COSTURA CON RECUBRIMIENTO ANTICORROSIVO</t>
  </si>
  <si>
    <t xml:space="preserve">NIPLE 8"X3' ACERO SCH-40 SIN COSTURA C/PROTECCION ANTICORROSIVA  </t>
  </si>
  <si>
    <t xml:space="preserve">NIPLE 4 X 3 ACERO SCH-40 SIN COSTURA C/PROTECCION ANTICORROSIVA  </t>
  </si>
  <si>
    <t xml:space="preserve">LINEA DE IMPULSION  D/CARCAMO DE BOMBEO HASTA  DEPOSITO REGULADOR DE LOS LADRILLOS </t>
  </si>
  <si>
    <t>TUBERIA Ø3" PVC SRD - 21 C/JUNTA GOMA + 2% DE PERDIDA</t>
  </si>
  <si>
    <t xml:space="preserve">REGISTRO PARA VALVULAS DE AIRE </t>
  </si>
  <si>
    <t xml:space="preserve">CODO DE 3" (DE 50º A 90º)   ACERO SCH 80 SIN COSTURA C/PROTECCION ANTICORROSIVA. </t>
  </si>
  <si>
    <t>TUBERIA Ø3" PVC SRD - 21 C/JUNTA GOMA</t>
  </si>
  <si>
    <t>ANCLAJE H,A PARA  PIEZAS ESPECIALES</t>
  </si>
  <si>
    <t xml:space="preserve">HORMIGON ARMADO EN: FC'= 210 KG/CM2  (INCLUYE VIBRADO Y ADITIVO) </t>
  </si>
  <si>
    <t xml:space="preserve">EXCAVACION  MATERIAL NO CLASIFICADO A MANO </t>
  </si>
  <si>
    <t xml:space="preserve">HORMIGON ARMADO EN : FC'= 180 KG/CM2 </t>
  </si>
  <si>
    <t xml:space="preserve">HORMIGON ARMADO EN: FC'= 180 KG/CM2 </t>
  </si>
  <si>
    <t>BOTE DE MATERIAL CON CAMION (DIST.=5.0KM) INCLUYE CARGUIO Y  ESPARCIMIENTO EN BOTADERO</t>
  </si>
  <si>
    <t xml:space="preserve">HORMIGÓN ARMADO EN: F'c=280 KG/CM2 (INCLUYE VIBRADO Y ADITIVO) </t>
  </si>
  <si>
    <t>BOTE DE ESCOMBROS CON CAMION (DIST. 5KM) (INCLUYE CARGUIO Y ESPARCIMIENTO EN BOTADERO)</t>
  </si>
  <si>
    <t>LINEA DE CONDUCCION DESDE PLANTA POTABILIZADORA HASTA DEPÓSITO REGULADOR CARRERA DE YEGUA</t>
  </si>
  <si>
    <t>DE Ø12" PVC SRD-26 C/J. G. + 4%  PERDIDA POR CAMP.</t>
  </si>
  <si>
    <t xml:space="preserve">ANCLAJE  H.S PARA PIEZAS (SEGUN DETALLE) FC'= 210 KG/CM2 </t>
  </si>
  <si>
    <t xml:space="preserve">REGISTRO PARA VALVULAS </t>
  </si>
  <si>
    <t xml:space="preserve">DE DESAGÜE DE Ø3" H.F. EN TUB. Ø3" DE 200 PSI </t>
  </si>
  <si>
    <t xml:space="preserve">DE AIRE COMBINADA DE Ø3/4" H.F. DE 200 PSI </t>
  </si>
  <si>
    <t>SUB-TOTAL B</t>
  </si>
  <si>
    <t>SUB-TOTAL FASE  H</t>
  </si>
  <si>
    <t xml:space="preserve">LECHO DE SECADO </t>
  </si>
  <si>
    <t>MUROS DE 25 CM  2.60 QQ/M3</t>
  </si>
  <si>
    <t>LOSA  20 CM 1.00 QQ/M3</t>
  </si>
  <si>
    <t>CANTO</t>
  </si>
  <si>
    <t>SUMINISTRO E INSTALACION DE:</t>
  </si>
  <si>
    <t xml:space="preserve">EXCAVACION  MATERIAL A MANO </t>
  </si>
  <si>
    <t>LINEA MATRIZ Y RED DE DISTRIBUCION  D/DEPOSITO REGULADOR A COMUNIDADES LOS LADRILLOS-POZO HONDO</t>
  </si>
  <si>
    <t xml:space="preserve">DE COMPUERTA DE Ø4" H.F. DE 150 PSI </t>
  </si>
  <si>
    <t xml:space="preserve">DE COMPUERTA DE Ø3" H.F. DE 150 PSI </t>
  </si>
  <si>
    <t xml:space="preserve">HIDRANTES </t>
  </si>
  <si>
    <t xml:space="preserve">EN TUBERIA DE 4"  </t>
  </si>
  <si>
    <t>UN</t>
  </si>
  <si>
    <t xml:space="preserve">VI-A </t>
  </si>
  <si>
    <t xml:space="preserve">HORMIGON ARMADO EN: FC'= 280 KG/CM2 </t>
  </si>
  <si>
    <t xml:space="preserve">VALVULA DE MARIPOSA  DE Ø8" H.F. </t>
  </si>
  <si>
    <t xml:space="preserve">REGISTRO EN TUBO DE H.A DE 36"  H= 2.50 M </t>
  </si>
  <si>
    <t>VI-B</t>
  </si>
  <si>
    <t xml:space="preserve">DESARENADOR </t>
  </si>
  <si>
    <t xml:space="preserve">VALVULA DE COMPPUERTA DE 6" H.F. DE 150 PSI PLATILLADA COMPLETA </t>
  </si>
  <si>
    <t>LOSA DE FONDO 25  CM  1.80 QQ/M3</t>
  </si>
  <si>
    <t xml:space="preserve">HORMIGON ARMADO  EN: FC'= 280 KG/CM2 </t>
  </si>
  <si>
    <t xml:space="preserve">CAJAS TELESCOPICAS </t>
  </si>
  <si>
    <t xml:space="preserve">MICELANEOS </t>
  </si>
  <si>
    <t xml:space="preserve">ASFALTO </t>
  </si>
  <si>
    <t xml:space="preserve">MOVIMIENTO DE TIERRA </t>
  </si>
  <si>
    <t>BOTE C/ CAMION DE CARPETA ASFALTICA 2"</t>
  </si>
  <si>
    <t>SUMINISTRO MATERIAL DE BASE D=20 KM</t>
  </si>
  <si>
    <t>RELLENO COMPACTADO C/COMPACTADOR MECANICO EN CAPA DE 0.20M. DE ESPESOR</t>
  </si>
  <si>
    <t>IMPRIMACION SENCILLA</t>
  </si>
  <si>
    <t>RIEGO ADHERENCIA</t>
  </si>
  <si>
    <t xml:space="preserve">REPOSICION DE ASFALTO 2" </t>
  </si>
  <si>
    <t xml:space="preserve">COLOCACION CARPETA  ASFALTICA 2" </t>
  </si>
  <si>
    <t>M3C</t>
  </si>
  <si>
    <t>TRANSPORTE ASFALTO (60 km)</t>
  </si>
  <si>
    <t>KM-M3E</t>
  </si>
  <si>
    <t>ACERA PERIMETRAL (0.80M)</t>
  </si>
  <si>
    <t>CONTEN</t>
  </si>
  <si>
    <t xml:space="preserve">ENCACHES 0.20 M </t>
  </si>
  <si>
    <t>4.1.5</t>
  </si>
  <si>
    <t>4.1.6</t>
  </si>
  <si>
    <t>4.1.7</t>
  </si>
  <si>
    <t>4.1.8</t>
  </si>
  <si>
    <t>4.1.9</t>
  </si>
  <si>
    <t xml:space="preserve">                   ING. NOELIA E. BOTELLO DOMINICI</t>
  </si>
  <si>
    <t xml:space="preserve">                 ING. JOEL FRANCISCO RIVERA </t>
  </si>
  <si>
    <t xml:space="preserve">         ING. PAULINO TURBI RAMIREZ  </t>
  </si>
  <si>
    <t xml:space="preserve">DE COMPUERTA DE Ø8" H.F. DE 150 PSI PLATILLADA COMPLETA ( INCLUYE CUERPO DE LA VALVULA, JUNTA DE CERA, TORINILLOS, NIPLE, JUNTAS MECANICA TIPO DRESSER, MOVIMIENTO DE TIERRA Y MANO DE OBRA) </t>
  </si>
  <si>
    <t>REGISTRO PARA VALVULA PARA VALVULA DE 8"</t>
  </si>
  <si>
    <r>
      <t>ARENA T</t>
    </r>
    <r>
      <rPr>
        <vertAlign val="subscript"/>
        <sz val="10"/>
        <rFont val="Times New Roman"/>
        <family val="1"/>
      </rPr>
      <t>10</t>
    </r>
    <r>
      <rPr>
        <sz val="10"/>
        <rFont val="Times New Roman"/>
        <family val="1"/>
      </rPr>
      <t>=0.47-0.65 MM, CU=1.50-1.70 TS=1.41 MM, TI=0,425 MM Γ= 2,600 KG/M3 CE=0.80, ESPESOR LECHO=0.80 M</t>
    </r>
  </si>
  <si>
    <t>LOSA DE FONDO 30  CM  1.60 QQ/M3</t>
  </si>
  <si>
    <t>LOSA DE FONDO 25  CM  1.60 QQ/M3</t>
  </si>
  <si>
    <t>LOSA DE FONDO 30  CM  1.80 QQ/M3</t>
  </si>
  <si>
    <t>VERJA DE MURO DE BLOCK CON PAÑO EN BLOCK CALADO</t>
  </si>
  <si>
    <t xml:space="preserve">MATERIAL COMPACTO C/EQUIPO </t>
  </si>
  <si>
    <t xml:space="preserve">MATERIAL ROCA DURA C/EQUIPO (INCLUYE EXTRACCION DE ROCA)  </t>
  </si>
  <si>
    <t>MANO DE OBRA PARA EMPALME A TUBERIA EXISTENTE, 
( INC. CORTE DE TUBERIA Y MOVIMIENTO DE TIERRA)</t>
  </si>
  <si>
    <t xml:space="preserve">PLANTA DE TRATAMIENTO DE FILTRACION RAPIDA DE 40 LPS DE CAPACIDAD </t>
  </si>
  <si>
    <t>MATERIAL ROCA DURA C/EQUIPO</t>
  </si>
  <si>
    <t>12.3.6.1</t>
  </si>
  <si>
    <t>12.3.6.2</t>
  </si>
  <si>
    <t>12.3.7</t>
  </si>
  <si>
    <t>ESCALERA METALICA DE 0.80X2.30 M (SEGUN DETALLE)</t>
  </si>
  <si>
    <t>VII</t>
  </si>
  <si>
    <t>SUB-TOTAL VII</t>
  </si>
  <si>
    <t xml:space="preserve">MATERIAL NO CLASIFICADO C/EQUIPO </t>
  </si>
  <si>
    <t>SUMINISTRO MATERIAL DE MINA (PREVIA APROBACION DE LA SUPERVISION)</t>
  </si>
  <si>
    <t xml:space="preserve">TUBERIA Ø3" PVC SRD - 21 C/JUNTA GOMA </t>
  </si>
  <si>
    <t>EXCAVACION MATERIAL NO CLASIFICADO C/EQUIPO</t>
  </si>
  <si>
    <t>SUB-TOTAL F</t>
  </si>
  <si>
    <t xml:space="preserve">EXCAVACION MATERIAL ROCA DURA C/EQUIPO (INCLUYE EXTRACCION DE ROCA)  </t>
  </si>
  <si>
    <t>SUMINISTRO MATERIAL DE MINA (PREVIA APROBACION DE LA SUPERVISION),</t>
  </si>
  <si>
    <t>DE Ø6" PVC SRD-21 C/J. G.</t>
  </si>
  <si>
    <t>DE Ø4" PVC SRD-21 C/J. G.</t>
  </si>
  <si>
    <t>DE Ø3" PVC SRD-21 C/J. G.</t>
  </si>
  <si>
    <t>USO BOMBA DE ACHIQUE Ø3" (5.5 HP)</t>
  </si>
  <si>
    <t>DE Ø12" PVC SRD-26 C/J. G.</t>
  </si>
  <si>
    <t>Presupuesto: No. 55/20  d/f 11/02/2020</t>
  </si>
  <si>
    <t>AMPLIACION ACUEDUCTO CARRERA DE YEGUA Y CONSTRUCCION ACUEDUCTO MULLTIPLE LOS LADRILLOS- POZO HONDO</t>
  </si>
  <si>
    <t>Muros 0.30m -2.47 qq/m3</t>
  </si>
  <si>
    <t>Muros 0.25m -2.81  qq/m3</t>
  </si>
  <si>
    <t>Muros 0.20m -1.27 qq/m3</t>
  </si>
  <si>
    <t>Bote de escombros con camión (dist. 5km) (incluye carguío y  esparcimiento en botadero)</t>
  </si>
  <si>
    <t>Fino losa de techo</t>
  </si>
  <si>
    <t>Pañete interior pulido</t>
  </si>
  <si>
    <t>Pañete exterior</t>
  </si>
  <si>
    <t>Acera perimetral 0.80 m</t>
  </si>
  <si>
    <t>Toberas  en polipropileno inyectado p/lavado, con ranuras 0.30mm en cabezal y diámetro de 1"</t>
  </si>
  <si>
    <t>Arena t10=0.47-0.65 mm, cu=1.50-1.70 ts=1.41 mm, ti=0,425 mm γ= 2,600 kg/m3 ce=0.80, espesor lecho=0.80 m</t>
  </si>
  <si>
    <t xml:space="preserve">Envasado </t>
  </si>
  <si>
    <t xml:space="preserve">Colocación </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</si>
  <si>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</si>
  <si>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Pintura acrílica</t>
  </si>
  <si>
    <t>Replanteo</t>
  </si>
  <si>
    <t>Columna c2  0.35x0.35 - 5.02 qq/m3</t>
  </si>
  <si>
    <t>Viga (0.25x0.50) 3.19 qq/m3</t>
  </si>
  <si>
    <t>Viga (0.25x0.40) 4.68 qq/m3</t>
  </si>
  <si>
    <t>Viga fundación  0.30x0.45 - 3.60  qq/m3</t>
  </si>
  <si>
    <t>Losa de entrepiso  0.15 - 1.16 qq/m3</t>
  </si>
  <si>
    <t>Losa de techo  0.15 - 1.16 qq/m3</t>
  </si>
  <si>
    <t xml:space="preserve">Pañete interior y exterior </t>
  </si>
  <si>
    <t>Fino techo</t>
  </si>
  <si>
    <t>Antepecho</t>
  </si>
  <si>
    <t>Pañete losa alrededor tina</t>
  </si>
  <si>
    <t>Pañete interior pulido muros tina</t>
  </si>
  <si>
    <t>Fino fondo pulido tina</t>
  </si>
  <si>
    <t>Revestido fibra de vidrio tina</t>
  </si>
  <si>
    <t xml:space="preserve">Piso de mosaicos corrientes (25 x 25 )  </t>
  </si>
  <si>
    <t xml:space="preserve">Zócalos  de mosaicos corrientes </t>
  </si>
  <si>
    <t xml:space="preserve">Pintura base blanca </t>
  </si>
  <si>
    <t xml:space="preserve">Tarima de madera p/ sulfato  (2.00 x 1.00 x 0.20 ) </t>
  </si>
  <si>
    <t xml:space="preserve">Difusor de sulfato </t>
  </si>
  <si>
    <t>Piletas/ azulejos</t>
  </si>
  <si>
    <t>Ducha (c/llave a empotrar)</t>
  </si>
  <si>
    <t xml:space="preserve">Desagüe de piso de 2"  </t>
  </si>
  <si>
    <t xml:space="preserve">Fregadero doble acero inoxidable  </t>
  </si>
  <si>
    <t>Cámara de inspección</t>
  </si>
  <si>
    <t>Gabinete de pared</t>
  </si>
  <si>
    <t>Gabinete de piso</t>
  </si>
  <si>
    <t>Meseta de marmolite</t>
  </si>
  <si>
    <t>Comparador de cloro libre y combinado</t>
  </si>
  <si>
    <t xml:space="preserve">Jarra plástica de 2 litros cuadrados </t>
  </si>
  <si>
    <t>Matraz aforado de 100 m vidrio</t>
  </si>
  <si>
    <t>Manómetro manual</t>
  </si>
  <si>
    <t xml:space="preserve">Colorímetro de cloro digital </t>
  </si>
  <si>
    <t xml:space="preserve">Pala de construcción </t>
  </si>
  <si>
    <t>Cepillo de alambre</t>
  </si>
  <si>
    <t>Espátula de acero</t>
  </si>
  <si>
    <t>Machetes</t>
  </si>
  <si>
    <t>Azadas</t>
  </si>
  <si>
    <t>Manguera de alta presión 11/2"</t>
  </si>
  <si>
    <t>Detergente</t>
  </si>
  <si>
    <t>Escobillones</t>
  </si>
  <si>
    <t>Rastrillos de hojas (hojalata)</t>
  </si>
  <si>
    <t xml:space="preserve">Replanteo </t>
  </si>
  <si>
    <t xml:space="preserve">Pañete exterior </t>
  </si>
  <si>
    <t xml:space="preserve">Pañete interior </t>
  </si>
  <si>
    <t>Fino de techo</t>
  </si>
  <si>
    <t xml:space="preserve">Excavación  material no clasificado a mano </t>
  </si>
  <si>
    <t>Relleno compactado  a mano con material producto de excavación</t>
  </si>
  <si>
    <t>Bote de material con camión (dist.=5.0km) incluye esparcimiento</t>
  </si>
  <si>
    <t>Calados</t>
  </si>
  <si>
    <t>Pañete interior</t>
  </si>
  <si>
    <t>Excavación mat. No clasificado a mano</t>
  </si>
  <si>
    <t xml:space="preserve">Bloques de 4" </t>
  </si>
  <si>
    <t>Pañete</t>
  </si>
  <si>
    <t xml:space="preserve">Zócalos </t>
  </si>
  <si>
    <t>Acera perimetral 1.00 m</t>
  </si>
  <si>
    <t>Pintura</t>
  </si>
  <si>
    <t>Pileta bañera</t>
  </si>
  <si>
    <t>Inodoro completo</t>
  </si>
  <si>
    <t>Lavamanos completo</t>
  </si>
  <si>
    <t>Barra para cortina</t>
  </si>
  <si>
    <t>Ducha</t>
  </si>
  <si>
    <t>Desagüe de piso</t>
  </si>
  <si>
    <t>Trampa de grasa</t>
  </si>
  <si>
    <t>Tuberías y piezas</t>
  </si>
  <si>
    <t>Salidas cenitales</t>
  </si>
  <si>
    <t>Ventana de aluminio</t>
  </si>
  <si>
    <t xml:space="preserve">Compactado mecánica de relleno </t>
  </si>
  <si>
    <t>Muros de 25 cm  2.60 qq/m3</t>
  </si>
  <si>
    <t>Losa de fondo 30  cm  1.60 qq/m3</t>
  </si>
  <si>
    <t>Losa  20 cm 1.00 qq/m3</t>
  </si>
  <si>
    <t>Fino losa de fondo</t>
  </si>
  <si>
    <t>Losa de fondo 30  cm  1.80 qq/m3</t>
  </si>
  <si>
    <t>Alimentador eléctrico para iluminación con alambre de vinil no. 8/2</t>
  </si>
  <si>
    <t xml:space="preserve">Mano de obra eléctrica primaria  </t>
  </si>
  <si>
    <t>Centro de cargas de 8 espacios, (inc. Breakers)</t>
  </si>
  <si>
    <t xml:space="preserve">Mano de obra eléctrica  secundaria </t>
  </si>
  <si>
    <t>Mano de obra eléctrica</t>
  </si>
  <si>
    <t>M³</t>
  </si>
  <si>
    <t>M³C</t>
  </si>
  <si>
    <t>M²</t>
  </si>
  <si>
    <t>Ud</t>
  </si>
  <si>
    <t>Muro  0.25 - 3.24  qq/m3 (1/2" @ 0.20 y 1/2" @ 0.15)</t>
  </si>
  <si>
    <t>Fino de fondo pulido</t>
  </si>
  <si>
    <t>Piso monolítico para instalación de boquillas</t>
  </si>
  <si>
    <t>Tapa metálica material aluminio galvanizado (0.90x0.90 m), angulares 1"x1"x3/8", ocho (8) pernos de fijación (tamaño acorde a plano)</t>
  </si>
  <si>
    <t>Suministro y colocación tubería 12" acero SCH-40 sin costura con recubrimiento anticorrosivo</t>
  </si>
  <si>
    <t>Codo 12'' x 90 acero SCH-40  s/costura con recubrimiento anticorrosivo</t>
  </si>
  <si>
    <t>Tubería 12" acero SCH-40 sin costura con recubrimiento anticorrosivo</t>
  </si>
  <si>
    <t>Tee 12'' x 12" acero SCH-40  s/costura con recubrimiento anticorrosivo</t>
  </si>
  <si>
    <t>H.A. en losa de fondo 0.20 - 3.88 qq/m3</t>
  </si>
  <si>
    <t>H.A. en losa de techo 0.15 - 3.61 qq/m3</t>
  </si>
  <si>
    <t>NUEVAS</t>
  </si>
  <si>
    <t>COSTO/m2</t>
  </si>
  <si>
    <t>Columna C1  0.40x0.40 - 5.04 qq/m3</t>
  </si>
  <si>
    <t>Zapata de columna - esp. = 0.45m - 0.86qq/m3 -1.50x1.50</t>
  </si>
  <si>
    <t>PANEL DISTRIBUCION 8 CIRCUITOS:</t>
  </si>
  <si>
    <t xml:space="preserve">ALIMENTADOR ELECTRICO PARA ILUMINACION </t>
  </si>
  <si>
    <t>ALAMBRE DE VINIL # 8/2</t>
  </si>
  <si>
    <t>M.O .</t>
  </si>
  <si>
    <t>COSTO/M RD$</t>
  </si>
  <si>
    <r>
      <t xml:space="preserve">ALIMENTADOR ELECTRICO </t>
    </r>
    <r>
      <rPr>
        <b/>
        <sz val="10"/>
        <color indexed="10"/>
        <rFont val="Arial"/>
        <family val="2"/>
      </rPr>
      <t>DESDE</t>
    </r>
    <r>
      <rPr>
        <b/>
        <sz val="10"/>
        <rFont val="Arial"/>
        <family val="2"/>
      </rPr>
      <t xml:space="preserve"> TRANSFORMADORES </t>
    </r>
    <r>
      <rPr>
        <b/>
        <sz val="10"/>
        <color indexed="10"/>
        <rFont val="Arial"/>
        <family val="2"/>
      </rPr>
      <t>HASTA</t>
    </r>
    <r>
      <rPr>
        <b/>
        <sz val="10"/>
        <rFont val="Arial"/>
        <family val="2"/>
      </rPr>
      <t xml:space="preserve"> MAIN BREAKER</t>
    </r>
  </si>
  <si>
    <t>ALAMBRE THW # 2</t>
  </si>
  <si>
    <t>ALAMBRE THW # 4</t>
  </si>
  <si>
    <t>ALAMBRE THW # 2 A 7 HILOS TRENZADOS</t>
  </si>
  <si>
    <t xml:space="preserve">TUBERIA IMC Ø2" </t>
  </si>
  <si>
    <t xml:space="preserve">TUBERIA PVC Ø2" </t>
  </si>
  <si>
    <r>
      <t xml:space="preserve">ALIMENTADOR ELECTRICO </t>
    </r>
    <r>
      <rPr>
        <b/>
        <sz val="10"/>
        <color indexed="10"/>
        <rFont val="Arial"/>
        <family val="2"/>
      </rPr>
      <t>DESDE</t>
    </r>
    <r>
      <rPr>
        <b/>
        <sz val="10"/>
        <rFont val="Arial"/>
        <family val="2"/>
      </rPr>
      <t xml:space="preserve"> MAIN BREAKER HASTA TRANSFER SWICH</t>
    </r>
  </si>
  <si>
    <r>
      <t xml:space="preserve">ALIMENTADOR ELECTRICO </t>
    </r>
    <r>
      <rPr>
        <b/>
        <sz val="10"/>
        <color indexed="10"/>
        <rFont val="Arial"/>
        <family val="2"/>
      </rPr>
      <t>DESDE</t>
    </r>
    <r>
      <rPr>
        <b/>
        <sz val="10"/>
        <rFont val="Arial"/>
        <family val="2"/>
      </rPr>
      <t xml:space="preserve"> TRANSFER SWICH HASTA PANEL BOARD</t>
    </r>
  </si>
  <si>
    <r>
      <t xml:space="preserve">ALIMENTADOR ELECTRICO </t>
    </r>
    <r>
      <rPr>
        <b/>
        <sz val="10"/>
        <color indexed="10"/>
        <rFont val="Arial"/>
        <family val="2"/>
      </rPr>
      <t>DESDE</t>
    </r>
    <r>
      <rPr>
        <b/>
        <sz val="10"/>
        <rFont val="Arial"/>
        <family val="2"/>
      </rPr>
      <t xml:space="preserve"> PANEL BOARD HASTA ARRANCADORES DE ELECTROB. DE RETROL.</t>
    </r>
  </si>
  <si>
    <t>ALAMBRE THW # 6</t>
  </si>
  <si>
    <t>ALAMBRE THW # 8</t>
  </si>
  <si>
    <t xml:space="preserve">TUBERIA PVC Ø 1" </t>
  </si>
  <si>
    <r>
      <t xml:space="preserve">ALIMENTADOR ELECTRICO </t>
    </r>
    <r>
      <rPr>
        <b/>
        <sz val="10"/>
        <color indexed="10"/>
        <rFont val="Arial"/>
        <family val="2"/>
      </rPr>
      <t>DESDE</t>
    </r>
    <r>
      <rPr>
        <b/>
        <sz val="10"/>
        <rFont val="Arial"/>
        <family val="2"/>
      </rPr>
      <t xml:space="preserve"> ARRANCADORES HASTA ELECTROBOMBAS DE RETROL.</t>
    </r>
  </si>
  <si>
    <t>ALAMBRE THW # 10</t>
  </si>
  <si>
    <t xml:space="preserve">TUBERIA EMT Ø 3/4" </t>
  </si>
  <si>
    <t xml:space="preserve">TUBERIA L.T. Ø 3/4" </t>
  </si>
  <si>
    <r>
      <t xml:space="preserve">ALIMENTADOR ELECTRICO </t>
    </r>
    <r>
      <rPr>
        <b/>
        <sz val="10"/>
        <color indexed="10"/>
        <rFont val="Arial"/>
        <family val="2"/>
      </rPr>
      <t>DESDE</t>
    </r>
    <r>
      <rPr>
        <b/>
        <sz val="10"/>
        <rFont val="Arial"/>
        <family val="2"/>
      </rPr>
      <t xml:space="preserve"> PANEL BOARD HASTA ARRANCADORES DE ELECTROB. SUMERG.</t>
    </r>
  </si>
  <si>
    <r>
      <t xml:space="preserve">ALIMENTADOR ELECTRICO </t>
    </r>
    <r>
      <rPr>
        <b/>
        <sz val="10"/>
        <color indexed="10"/>
        <rFont val="Arial"/>
        <family val="2"/>
      </rPr>
      <t>DESDE</t>
    </r>
    <r>
      <rPr>
        <b/>
        <sz val="10"/>
        <rFont val="Arial"/>
        <family val="2"/>
      </rPr>
      <t xml:space="preserve"> ARRANCADORES HASTA ELECTROBOMBAS SUMERG.</t>
    </r>
  </si>
  <si>
    <r>
      <t xml:space="preserve">ALIMENTADOR ELECTRICO </t>
    </r>
    <r>
      <rPr>
        <b/>
        <sz val="10"/>
        <color indexed="10"/>
        <rFont val="Arial"/>
        <family val="2"/>
      </rPr>
      <t>DESDE</t>
    </r>
    <r>
      <rPr>
        <b/>
        <sz val="10"/>
        <rFont val="Arial"/>
        <family val="2"/>
      </rPr>
      <t xml:space="preserve"> PANEL BOARD HASTA CENTRO DE CARGA DE 8 E.(CASA QUIM.)</t>
    </r>
  </si>
  <si>
    <r>
      <t xml:space="preserve">ALIMENTADOR ELECTRICO </t>
    </r>
    <r>
      <rPr>
        <b/>
        <sz val="10"/>
        <color indexed="10"/>
        <rFont val="Arial"/>
        <family val="2"/>
      </rPr>
      <t>DESDE</t>
    </r>
    <r>
      <rPr>
        <b/>
        <sz val="10"/>
        <rFont val="Arial"/>
        <family val="2"/>
      </rPr>
      <t xml:space="preserve"> PANEL BOARD HASTA PANEL DE EDIFICIO DE CLORO</t>
    </r>
  </si>
  <si>
    <r>
      <t xml:space="preserve">ALIMENTADOR ELECTRICO </t>
    </r>
    <r>
      <rPr>
        <b/>
        <sz val="10"/>
        <color indexed="10"/>
        <rFont val="Arial"/>
        <family val="2"/>
      </rPr>
      <t>DESDE</t>
    </r>
    <r>
      <rPr>
        <b/>
        <sz val="10"/>
        <rFont val="Arial"/>
        <family val="2"/>
      </rPr>
      <t xml:space="preserve"> PANEL BOARD HASTA PANEL DE CASA DE OPERADOR</t>
    </r>
  </si>
  <si>
    <r>
      <t xml:space="preserve">ALIMENTADOR ELECTRICO </t>
    </r>
    <r>
      <rPr>
        <b/>
        <sz val="10"/>
        <color indexed="10"/>
        <rFont val="Arial"/>
        <family val="2"/>
      </rPr>
      <t>DESDE</t>
    </r>
    <r>
      <rPr>
        <b/>
        <sz val="10"/>
        <rFont val="Arial"/>
        <family val="2"/>
      </rPr>
      <t xml:space="preserve"> CENTRO DE CARGA DE 8 ESP. HASTA CCM. </t>
    </r>
  </si>
  <si>
    <r>
      <t xml:space="preserve">ALIMENTADOR ELECTRICO </t>
    </r>
    <r>
      <rPr>
        <b/>
        <sz val="10"/>
        <color indexed="10"/>
        <rFont val="Arial"/>
        <family val="2"/>
      </rPr>
      <t>DESDE</t>
    </r>
    <r>
      <rPr>
        <b/>
        <sz val="10"/>
        <rFont val="Arial"/>
        <family val="2"/>
      </rPr>
      <t xml:space="preserve"> CCM HASTA AGITADORES </t>
    </r>
  </si>
  <si>
    <t>ALAMBRE THW # 12</t>
  </si>
  <si>
    <r>
      <t xml:space="preserve">ALIMENTADOR ELECTRICO </t>
    </r>
    <r>
      <rPr>
        <b/>
        <sz val="10"/>
        <color indexed="10"/>
        <rFont val="Arial"/>
        <family val="2"/>
      </rPr>
      <t>DESDE</t>
    </r>
    <r>
      <rPr>
        <b/>
        <sz val="10"/>
        <rFont val="Arial"/>
        <family val="2"/>
      </rPr>
      <t xml:space="preserve"> CCM HASTA DOSIFICADORES </t>
    </r>
  </si>
  <si>
    <r>
      <t xml:space="preserve">ALIMENTADOR ELECTRICO </t>
    </r>
    <r>
      <rPr>
        <b/>
        <sz val="10"/>
        <color indexed="10"/>
        <rFont val="Arial"/>
        <family val="2"/>
      </rPr>
      <t>DESDE</t>
    </r>
    <r>
      <rPr>
        <b/>
        <sz val="10"/>
        <rFont val="Arial"/>
        <family val="2"/>
      </rPr>
      <t xml:space="preserve"> CENTRO DE CARGA DE 8 ESP. HASTA PANEL DE CONSUMO DEL EDIFICIO</t>
    </r>
  </si>
  <si>
    <r>
      <t xml:space="preserve">ALIMENTADOR ELECTRICO </t>
    </r>
    <r>
      <rPr>
        <b/>
        <sz val="10"/>
        <color indexed="10"/>
        <rFont val="Arial"/>
        <family val="2"/>
      </rPr>
      <t>DESDE</t>
    </r>
    <r>
      <rPr>
        <b/>
        <sz val="10"/>
        <rFont val="Arial"/>
        <family val="2"/>
      </rPr>
      <t xml:space="preserve"> CENTRO DE CARGA DE 8 ESP. HASTA ARRANC. DE DIFER. DE 3 TON</t>
    </r>
  </si>
  <si>
    <r>
      <t xml:space="preserve">ALIMENTADOR ELECTRICO </t>
    </r>
    <r>
      <rPr>
        <b/>
        <sz val="10"/>
        <color indexed="10"/>
        <rFont val="Arial"/>
        <family val="2"/>
      </rPr>
      <t>DESDE</t>
    </r>
    <r>
      <rPr>
        <b/>
        <sz val="10"/>
        <rFont val="Arial"/>
        <family val="2"/>
      </rPr>
      <t xml:space="preserve"> CENTRO DE CARGA HASTA ELECTROB. PARA LAVADO</t>
    </r>
  </si>
  <si>
    <r>
      <t xml:space="preserve">ALIMENTADOR ELECTRICO </t>
    </r>
    <r>
      <rPr>
        <b/>
        <sz val="10"/>
        <color indexed="10"/>
        <rFont val="Arial"/>
        <family val="2"/>
      </rPr>
      <t>DESDE</t>
    </r>
    <r>
      <rPr>
        <b/>
        <sz val="10"/>
        <rFont val="Arial"/>
        <family val="2"/>
      </rPr>
      <t xml:space="preserve"> TRANSFER SWICH HASTA PANEL DE GENERADOR ELECTRICO</t>
    </r>
  </si>
  <si>
    <t xml:space="preserve">TUBERIA EMT Ø2" </t>
  </si>
  <si>
    <t>TORNILLO CABEZA HEXAGONAL 5/8" X 10"</t>
  </si>
  <si>
    <t>TORNILLO DE ESPACIAMIENTO, 4 TUERCAS CUADRADAS, 5/8" X 14"</t>
  </si>
  <si>
    <t>GRAPA DE RETENCION DE 1/0</t>
  </si>
  <si>
    <t>TUERCA DE OJO PARA TORNILLO 5/8</t>
  </si>
  <si>
    <t>AISLADOR DE SUSPENSION TIPO CLEVIS</t>
  </si>
  <si>
    <t xml:space="preserve">ABRAZADERA PERNO DE 5/8" </t>
  </si>
  <si>
    <t>ARANDELA CUADRADA 21/4" X 21/4"</t>
  </si>
  <si>
    <t xml:space="preserve">ARANDELA DE PRESION 5/8" </t>
  </si>
  <si>
    <r>
      <t xml:space="preserve">  </t>
    </r>
    <r>
      <rPr>
        <b/>
        <sz val="10"/>
        <color indexed="12"/>
        <rFont val="Times New Roman"/>
        <family val="1"/>
      </rPr>
      <t>SNP</t>
    </r>
    <r>
      <rPr>
        <b/>
        <sz val="10"/>
        <rFont val="Times New Roman"/>
        <family val="1"/>
      </rPr>
      <t xml:space="preserve"> COSTO/M2R.D.$</t>
    </r>
  </si>
  <si>
    <t>PELOTA DE HORMIGON, GRANDE</t>
  </si>
  <si>
    <t>ANCLA AMERICANA DE 5/8" X 8</t>
  </si>
  <si>
    <t>MANGA PREFORMADA 7/16",  AMERICANA</t>
  </si>
  <si>
    <t>TUERCA DE OJO VICO DE 5/8"</t>
  </si>
  <si>
    <t>TORNILLO CABEZA HEXAGONAL 5/8" X 12"</t>
  </si>
  <si>
    <t>ARANDELA PLANA 4" X 4"</t>
  </si>
  <si>
    <t>CABLE GAY 7/16"</t>
  </si>
  <si>
    <t>CONDUCTOR No. 4 AWG, COBRE DESNUDO</t>
  </si>
  <si>
    <t>CONECTOR DE COMPRESION DE 3/0-1/0 AL 1-6 CU</t>
  </si>
  <si>
    <t>GUARDA CABLE DE PVC DE 7 X 3/16"</t>
  </si>
  <si>
    <t xml:space="preserve"> COSTO R.D.$</t>
  </si>
  <si>
    <t>ESTRUCTURA PR-101C</t>
  </si>
  <si>
    <t xml:space="preserve">VARILLA DE TIERRA 5/8" X 8 </t>
  </si>
  <si>
    <t>CONECTOR PARA VARILLA DE TIERRA</t>
  </si>
  <si>
    <t>ALAMBRE HDB No. 2, TRENSADO DESNUDO</t>
  </si>
  <si>
    <t>CONECTOR BIMETALICO DE PERNO PARTIDO No. 2</t>
  </si>
  <si>
    <t>ARANDELA PLANA 2" X 2"</t>
  </si>
  <si>
    <t>ARANDELA DE PRESION 5/8"</t>
  </si>
  <si>
    <t>MANO DE OBRA (2 HOMBRES @800.00/DIA)</t>
  </si>
  <si>
    <t>HERRAMIENTAS MENORES</t>
  </si>
  <si>
    <t xml:space="preserve"> COSTO/U    R.D.$</t>
  </si>
  <si>
    <t>MANO DE OBRA (2 HOMBRES @600.00/DIA)</t>
  </si>
  <si>
    <t>ESTRUCTURA AP-103</t>
  </si>
  <si>
    <t>TORNILLO DE MAQUINA 5/8" X 10"</t>
  </si>
  <si>
    <t>CELULA FOTOELECTRICA 240 V</t>
  </si>
  <si>
    <t>BRAZO GALVANIZADO DE 6 PIES</t>
  </si>
  <si>
    <t>LUMINARIA DE 250 W, 240 V, TIPO COBRA</t>
  </si>
  <si>
    <t>OTROS VARIOS</t>
  </si>
  <si>
    <t>Salidas tomacorriente doble 120v</t>
  </si>
  <si>
    <t>Salidas interruptor sencillo</t>
  </si>
  <si>
    <t>Salidas Panel de distrib. De 6/12 espacio  c/breakers</t>
  </si>
  <si>
    <t>MISCELANEOS</t>
  </si>
  <si>
    <t>Visita</t>
  </si>
  <si>
    <t>M³e</t>
  </si>
  <si>
    <t>M³c</t>
  </si>
  <si>
    <t>M³n</t>
  </si>
  <si>
    <t xml:space="preserve">Analisis de </t>
  </si>
  <si>
    <t>1-</t>
  </si>
  <si>
    <t>Verja Perimetral</t>
  </si>
  <si>
    <t>2-</t>
  </si>
  <si>
    <t>Area Verde</t>
  </si>
  <si>
    <t xml:space="preserve">3- </t>
  </si>
  <si>
    <t>Contenes</t>
  </si>
  <si>
    <t>4-</t>
  </si>
  <si>
    <t>Cunetas</t>
  </si>
  <si>
    <t>5-</t>
  </si>
  <si>
    <t>Capa de rodadura</t>
  </si>
  <si>
    <t>Base</t>
  </si>
  <si>
    <t>Subbase</t>
  </si>
  <si>
    <t>6-</t>
  </si>
  <si>
    <t>Aceras</t>
  </si>
  <si>
    <t>7-</t>
  </si>
  <si>
    <t>Encache en Piedras</t>
  </si>
  <si>
    <t>VIII</t>
  </si>
  <si>
    <t>Asiento de arena</t>
  </si>
  <si>
    <t>Suministro  tubería 12" acero SCH-40 sin costura</t>
  </si>
  <si>
    <t>recubrimiento anticorrosivo</t>
  </si>
  <si>
    <t>Colocación  tubería 12" acero SCH-40 sin costura</t>
  </si>
  <si>
    <t>m</t>
  </si>
  <si>
    <t>ml</t>
  </si>
  <si>
    <t>suministro Codo 12'' x 90 acero SCH-40  s/costura con recubrimiento anticorrosivo</t>
  </si>
  <si>
    <t>ud</t>
  </si>
  <si>
    <t>colocacion de codo de 12"</t>
  </si>
  <si>
    <t>Suministro y colocación tubería  ø12" acero (SCH-40 sin costura c/ protección anticorrosiva)</t>
  </si>
  <si>
    <t>Placas de material polipropileno, espesor 0.0254 m (1"). Colocación con perfiles de polipropileno de 1"x 2" con tornillos HILTI inoxidables separados a 0,50 m centro a centro. Altura según planos de diseño</t>
  </si>
  <si>
    <t>Fino fondo Pulido</t>
  </si>
  <si>
    <t>Piso H.S. pulido</t>
  </si>
  <si>
    <t>* * * INAPA * * *</t>
  </si>
  <si>
    <t>DEPARTAMENTO DE EVALUACION DE COSTOS DE OBRAS</t>
  </si>
  <si>
    <t>X</t>
  </si>
  <si>
    <t>Piso H.S. Pulido</t>
  </si>
  <si>
    <t>CANT</t>
  </si>
  <si>
    <t>SUM. ARENA</t>
  </si>
  <si>
    <t>h</t>
  </si>
  <si>
    <t>Gl</t>
  </si>
  <si>
    <t>Fraguache</t>
  </si>
  <si>
    <t>Corte de Material No Clasificado 0.37&lt;H&lt;0.65</t>
  </si>
  <si>
    <t>H prom</t>
  </si>
  <si>
    <t>Area 1</t>
  </si>
  <si>
    <t>Area 2</t>
  </si>
  <si>
    <t>Area 3</t>
  </si>
  <si>
    <t>Area 4a Corte de encache</t>
  </si>
  <si>
    <t>Area 4 fondo acota 377.50</t>
  </si>
  <si>
    <t>Area 4a cache identico Area 4a</t>
  </si>
  <si>
    <t>Encache de Area mas Profunda</t>
  </si>
  <si>
    <t>Area 5</t>
  </si>
  <si>
    <t>Volumen a cortar en relleno compactado area de planta BNP</t>
  </si>
  <si>
    <t>Long</t>
  </si>
  <si>
    <t>Planta 1</t>
  </si>
  <si>
    <t>Planta 2</t>
  </si>
  <si>
    <t>Planta 3</t>
  </si>
  <si>
    <t>Longitud+0.60 Offset</t>
  </si>
  <si>
    <t>Volumen a Cortar Espesador de Lodos BNP</t>
  </si>
  <si>
    <t>Volumen a cortar en Secador de Lodos</t>
  </si>
  <si>
    <t>************RELLENO************</t>
  </si>
  <si>
    <t>Relleno hasta cota 380</t>
  </si>
  <si>
    <t>Relleno Sobre Zapatas de Planta</t>
  </si>
  <si>
    <t>ancho</t>
  </si>
  <si>
    <t>Planta 2a</t>
  </si>
  <si>
    <t>Planta 3a</t>
  </si>
  <si>
    <t>Planta 3b</t>
  </si>
  <si>
    <t>Planta 3c</t>
  </si>
  <si>
    <t>Letrero y logo de INAPA</t>
  </si>
  <si>
    <t>Logo y letrero INAPA</t>
  </si>
  <si>
    <t>IX</t>
  </si>
  <si>
    <t>VOLUMETRIA TANQUE</t>
  </si>
  <si>
    <t>Pintura Base</t>
  </si>
  <si>
    <t>Agua</t>
  </si>
  <si>
    <t>***********CORTE*********EXPLANACION</t>
  </si>
  <si>
    <t>P²</t>
  </si>
  <si>
    <t>Lb</t>
  </si>
  <si>
    <t>T1</t>
  </si>
  <si>
    <t>Capa torpedo</t>
  </si>
  <si>
    <t>Muro de 20cm en Tina 2.45qq/m3</t>
  </si>
  <si>
    <t>Losa de Fondo de 15 pasarela a tina 1.16qq/m3 Vuelo</t>
  </si>
  <si>
    <t>CASA DE QUIMICOS</t>
  </si>
  <si>
    <t>Area en Planta</t>
  </si>
  <si>
    <t>DF</t>
  </si>
  <si>
    <t>Relleno</t>
  </si>
  <si>
    <t>Volumen de Concreto BNP</t>
  </si>
  <si>
    <t>CASA DE OPERADOR</t>
  </si>
  <si>
    <t>ZAPATA DE MUROS</t>
  </si>
  <si>
    <t>LONG</t>
  </si>
  <si>
    <t>ANCHO</t>
  </si>
  <si>
    <t>ALTURA</t>
  </si>
  <si>
    <t>VOL</t>
  </si>
  <si>
    <t>M³s</t>
  </si>
  <si>
    <t>Zapatas de Muros</t>
  </si>
  <si>
    <t>Volumen de Concreto en Zapatas</t>
  </si>
  <si>
    <t>Relleno Bajo Losa de Piso</t>
  </si>
  <si>
    <t>CONCRETO</t>
  </si>
  <si>
    <t xml:space="preserve">Muros de Bloques </t>
  </si>
  <si>
    <t>Bloques de 6" BNP</t>
  </si>
  <si>
    <t>Bloque de 6" SNP</t>
  </si>
  <si>
    <t>Hueco de Puertas</t>
  </si>
  <si>
    <t>DINTEL (0.15 x 0.20) - 5.2 qq/m³</t>
  </si>
  <si>
    <t>Ventanas</t>
  </si>
  <si>
    <t>ILUMINACIÓN PERIFERICA ( LUCES EXTERIORES )</t>
  </si>
  <si>
    <t>Centro de cargas de 4 espacios, (inc. Breakers)</t>
  </si>
  <si>
    <t>Centro de cargas de 12 espacios, (inc. Breakers)</t>
  </si>
  <si>
    <t>Centro de cargas de 16 espacios, (inc. Breakers)</t>
  </si>
  <si>
    <t>OBSERVACIONES</t>
  </si>
  <si>
    <t>Terminacion de Superficie</t>
  </si>
  <si>
    <t>Panete Interior y exterior</t>
  </si>
  <si>
    <t>OK</t>
  </si>
  <si>
    <t>ESTRUCTURA MT-101</t>
  </si>
  <si>
    <t>TORNILLO DE ESPACIAMIENTO, 4 TUERCAS CUADRADAS, 5/8" X 12"</t>
  </si>
  <si>
    <t>CONECTOR DE CONPRESION DE 3/0-1/0 AL 1-6CU</t>
  </si>
  <si>
    <t>AISLADOR TIPO CARRETE 3" X 31/8"</t>
  </si>
  <si>
    <t xml:space="preserve">ESPIGA PARA AISLADOR EN CABEZA DE POSTE DE 1" </t>
  </si>
  <si>
    <t>ESTRUCTURA MT-102</t>
  </si>
  <si>
    <t>GRAPA TERMINAL No. 2/0</t>
  </si>
  <si>
    <t>ESTRUCTURA MT-104</t>
  </si>
  <si>
    <t>ESTRUCTURA MT-301</t>
  </si>
  <si>
    <t>CRUCETA DE METAL DE 6</t>
  </si>
  <si>
    <t>FLEJES GALVANIZADOS DE 28"</t>
  </si>
  <si>
    <t xml:space="preserve">TORNILLOS FLEJES </t>
  </si>
  <si>
    <t>AISLADOR TIPO PIN 55/5, GAMMA CORONA</t>
  </si>
  <si>
    <t>TORNILLO PARA PIN EN CRUCETA</t>
  </si>
  <si>
    <t>BASE PARA CLEVIS PRIMARIO</t>
  </si>
  <si>
    <t>AISLADOR TIPO CLEVIS PRIMARIO</t>
  </si>
  <si>
    <t xml:space="preserve">  COSTO R.D.$</t>
  </si>
  <si>
    <t>ESTRUCTURA MT-302</t>
  </si>
  <si>
    <t>TORNILLO ROSCA CORRIDA 5/8" X 14"</t>
  </si>
  <si>
    <t xml:space="preserve">TUERCA DE 5/8" PARA TORNILLO ROSCA CORRIDA </t>
  </si>
  <si>
    <t>ESTRUCTURA MT-305</t>
  </si>
  <si>
    <t xml:space="preserve">TUERCA DE OJO DE 5/8" </t>
  </si>
  <si>
    <t>GRAPA TERMINAL 4/0</t>
  </si>
  <si>
    <t>ESTRUCTURA MT-307</t>
  </si>
  <si>
    <t>AISLADOR TIPO CAMPANA, GAMMA CORONA</t>
  </si>
  <si>
    <t>GRAPA TERMINAL No. 4/0</t>
  </si>
  <si>
    <t>TUERCA DE OJO</t>
  </si>
  <si>
    <t>ESTRUCTURA MT-316</t>
  </si>
  <si>
    <t xml:space="preserve">   COSTO R.D.$</t>
  </si>
  <si>
    <t>ESTRUCTURA TR-306</t>
  </si>
  <si>
    <t>TORNILLO CABEZA CUADRADA 3/8" X 2"</t>
  </si>
  <si>
    <t>TORNILLO CABEZA CUADRADA 1/2" X 10"</t>
  </si>
  <si>
    <t>TORNILLO CABEZA CUADRADA 5/8" X 8"</t>
  </si>
  <si>
    <t>TORNILLO CABEZA CUADRADA 1/2" X 2"</t>
  </si>
  <si>
    <t>ARANDELA CUADRADA 2" X 2"</t>
  </si>
  <si>
    <t>ARANDELA DE PRESION DE 3/8"</t>
  </si>
  <si>
    <t>ARANDELA DE PRESION DE 1/2"</t>
  </si>
  <si>
    <t>ARANDELA DE PRESION DE 5/8"</t>
  </si>
  <si>
    <t>PARARRAYO 9KV</t>
  </si>
  <si>
    <t>SECCIONADOR CUT-OUT 200 AMPERE</t>
  </si>
  <si>
    <t>SOPORTE DOBLE UNIDAD SECCIONADOR-PARRARAYO</t>
  </si>
  <si>
    <t xml:space="preserve">TRANSFORMADOR DE 37,5 KVA </t>
  </si>
  <si>
    <t>SOPORTE DE TRANSFORMADORES</t>
  </si>
  <si>
    <t>CONECTOR DE COMPRESION DE ACUERDO AL CALIBRE DEL CONDUCTOR</t>
  </si>
  <si>
    <t>GRAPA DE DERIVACIÓN SEGÚN CALIBRE DEL CONDUCTOR</t>
  </si>
  <si>
    <t>TERMINAL DE COMPRESION COBRE No. 2</t>
  </si>
  <si>
    <t xml:space="preserve">CONECTOR DE COMPRESIÓN DE 4 CU A 4 CU </t>
  </si>
  <si>
    <t>ESTRUCTURA TR-105</t>
  </si>
  <si>
    <t>CRUCETA SIMPLE DE ACERO PARA MEDIA TENSION</t>
  </si>
  <si>
    <t>ESPIGA TRANVERSAL EN POSTE PARA MEDIA TENSION</t>
  </si>
  <si>
    <t>CONECTOR DE COMPRESIÓN DE 3/0-1/0 AL 1/6 cu</t>
  </si>
  <si>
    <t>TERMINAR DE COMPRESIÓN COBRE NO.2</t>
  </si>
  <si>
    <t xml:space="preserve">CONECTOR DE COMPRESIÓN DE 4 cu </t>
  </si>
  <si>
    <t xml:space="preserve">TRANSFORMADOR DE 25 KVA </t>
  </si>
  <si>
    <t>CUT-OUT 200 AMPERE</t>
  </si>
  <si>
    <t>ESTRUCTURA PR-202/C</t>
  </si>
  <si>
    <t>TORNILLO CABEZA CUADRADA 3/8" X 10"</t>
  </si>
  <si>
    <t>TORNILLO CABEZA CUADRADA 3/8" X 8"</t>
  </si>
  <si>
    <t>ARANDELA CUADRADA 21/4" X 2"</t>
  </si>
  <si>
    <t>ESTRUCTURA PR-208</t>
  </si>
  <si>
    <t>CUT-OUT DE 100 AMP.</t>
  </si>
  <si>
    <t>ESTRUCTURA EQ-MT (MEDICION EN ALTA TENSIÓN)</t>
  </si>
  <si>
    <t xml:space="preserve">TRANSFORMADOR DE CORRIENTE (CTS.), TIPO INTERPERIE, 100:5A </t>
  </si>
  <si>
    <t xml:space="preserve">TRANSFORMADOR DE POTENCIA (PTS.), TIPO BOQUILLA, 70/120:1 </t>
  </si>
  <si>
    <t>SOPORTE PARA TRANSFORMADORES (CTS. Y PTS.)</t>
  </si>
  <si>
    <t>TERMINAL DE COMPRESION COBRE No. 4</t>
  </si>
  <si>
    <t>ESTRUCTURA F1-BT</t>
  </si>
  <si>
    <t>TORNILLO DE ESPACIAMIENTO, 4 TUERCA, 5/8" X 10"</t>
  </si>
  <si>
    <t>GRAPA DE RETENCION No. 1/0 AL</t>
  </si>
  <si>
    <t>TUERCA DE OJO DE 5/8"</t>
  </si>
  <si>
    <t>ESTRUCTURA F2-BT</t>
  </si>
  <si>
    <t>TORNILLO DE ESPACIAMIENTO, 4 TUERCA, 5/8" X 12"</t>
  </si>
  <si>
    <t>CONECTOR DE COMPRESION DE 3/0-1/0 AL 2/0-1/0 AL</t>
  </si>
  <si>
    <t>ESTRUCTURA SU-BT</t>
  </si>
  <si>
    <t>TORNILLO DE MAQUINA DE CABEZA CUADRADA 5/8" X 10"</t>
  </si>
  <si>
    <t>PORTA AISLADOR EN U DE 11/2" X 1/2" X 1/8"</t>
  </si>
  <si>
    <t>ESTRUCTURA AL-BT</t>
  </si>
  <si>
    <t>TORNILLO PARA AISLADOR TIPO CARRETE, 3 TUERCA, 1 ARANDELA 5/8</t>
  </si>
  <si>
    <t>ELECTRIFICACION SECUNDARIA EN PLANTA</t>
  </si>
  <si>
    <r>
      <t xml:space="preserve">ALIMENTADOR ELECTRICO </t>
    </r>
    <r>
      <rPr>
        <b/>
        <sz val="10"/>
        <color indexed="10"/>
        <rFont val="Arial"/>
        <family val="2"/>
      </rPr>
      <t>DESDE</t>
    </r>
    <r>
      <rPr>
        <b/>
        <sz val="10"/>
        <rFont val="Arial"/>
        <family val="2"/>
      </rPr>
      <t xml:space="preserve"> PANEL BOARD HASTA CENTRO DE CARGA DE 12 ESPACIOS (CASA DE CLORO)</t>
    </r>
  </si>
  <si>
    <t xml:space="preserve">TUBERIA PVC Ø 11/2" </t>
  </si>
  <si>
    <r>
      <t xml:space="preserve">ALIMENTADOR ELECTRICO </t>
    </r>
    <r>
      <rPr>
        <b/>
        <sz val="10"/>
        <color indexed="10"/>
        <rFont val="Arial"/>
        <family val="2"/>
      </rPr>
      <t>DESDE</t>
    </r>
    <r>
      <rPr>
        <b/>
        <sz val="10"/>
        <rFont val="Arial"/>
        <family val="2"/>
      </rPr>
      <t xml:space="preserve"> PANEL BOARD HASTA CENTRO DE CARGA DE 8 (PC) ESPACIOS (CASA DE CONTROLES)</t>
    </r>
  </si>
  <si>
    <r>
      <t xml:space="preserve">ALIMENTADOR ELECTRICO </t>
    </r>
    <r>
      <rPr>
        <b/>
        <sz val="10"/>
        <color indexed="10"/>
        <rFont val="Arial"/>
        <family val="2"/>
      </rPr>
      <t>DESDE</t>
    </r>
    <r>
      <rPr>
        <b/>
        <sz val="10"/>
        <rFont val="Arial"/>
        <family val="2"/>
      </rPr>
      <t xml:space="preserve"> CENTRO DE CARGA DE 8 ESPACIOS (PC) HASTA PANEL DE DISTRIBUCION 4/8 ESPACIOS (EB) </t>
    </r>
  </si>
  <si>
    <t>ALAMBRE TRIPLEX #4</t>
  </si>
  <si>
    <r>
      <t xml:space="preserve">ALIMENTADOR ELECTRICO </t>
    </r>
    <r>
      <rPr>
        <b/>
        <sz val="10"/>
        <color indexed="10"/>
        <rFont val="Arial"/>
        <family val="2"/>
      </rPr>
      <t xml:space="preserve">DESDE </t>
    </r>
    <r>
      <rPr>
        <b/>
        <sz val="10"/>
        <rFont val="Arial"/>
        <family val="2"/>
      </rPr>
      <t>PANEL DE DISTRIBUCION 4/8 ESPACIOS (EB) HASTA  CARGA DE ESTACION DE BOMBAS</t>
    </r>
  </si>
  <si>
    <t xml:space="preserve">TUBERIA PVC Ø 3/4" </t>
  </si>
  <si>
    <r>
      <t xml:space="preserve">ALIMENTADOR ELECTRICO </t>
    </r>
    <r>
      <rPr>
        <b/>
        <sz val="10"/>
        <color indexed="10"/>
        <rFont val="Arial"/>
        <family val="2"/>
      </rPr>
      <t xml:space="preserve">DESDE PANEL BOARD HASTA </t>
    </r>
    <r>
      <rPr>
        <b/>
        <sz val="10"/>
        <rFont val="Arial"/>
        <family val="2"/>
      </rPr>
      <t xml:space="preserve">CENTRO DE CARGA DE 4 ESPACIOS (PO) EN CASA DE OPERADOR  </t>
    </r>
  </si>
  <si>
    <r>
      <t xml:space="preserve">ALIMENTADOR ELECTRICO </t>
    </r>
    <r>
      <rPr>
        <b/>
        <sz val="10"/>
        <color indexed="10"/>
        <rFont val="Arial"/>
        <family val="2"/>
      </rPr>
      <t xml:space="preserve">DESDE PANEL BOARD HASTA </t>
    </r>
    <r>
      <rPr>
        <b/>
        <sz val="10"/>
        <rFont val="Arial"/>
        <family val="2"/>
      </rPr>
      <t xml:space="preserve">CENTRO DE CARGA DE 16 ESPACIOS (PQ) EN CASA DE QUIMICOS  </t>
    </r>
  </si>
  <si>
    <t>ELECTRIFICACION SECUNDARIA EN CARCAMO</t>
  </si>
  <si>
    <t>ALAMBRE THW # 2/0</t>
  </si>
  <si>
    <t>ALAMBRE # 2 A 7 HILOS TRENZADOS</t>
  </si>
  <si>
    <r>
      <t xml:space="preserve">ALIMENTADOR ELECTRICO </t>
    </r>
    <r>
      <rPr>
        <b/>
        <sz val="10"/>
        <color indexed="10"/>
        <rFont val="Arial"/>
        <family val="2"/>
      </rPr>
      <t>DESDE</t>
    </r>
    <r>
      <rPr>
        <b/>
        <sz val="10"/>
        <rFont val="Arial"/>
        <family val="2"/>
      </rPr>
      <t xml:space="preserve"> MAIN BREAKER HASTA PANEL BOARD</t>
    </r>
  </si>
  <si>
    <r>
      <t xml:space="preserve">ALIMENTADOR ELECTRICO </t>
    </r>
    <r>
      <rPr>
        <b/>
        <sz val="10"/>
        <color indexed="10"/>
        <rFont val="Arial"/>
        <family val="2"/>
      </rPr>
      <t>DESDE</t>
    </r>
    <r>
      <rPr>
        <b/>
        <sz val="10"/>
        <rFont val="Arial"/>
        <family val="2"/>
      </rPr>
      <t xml:space="preserve"> PANEL BOARD HASTA ARRANCADORES SUAVE DE ELECTROBOMBAS.</t>
    </r>
  </si>
  <si>
    <t>ALAMBRE THW # 1/0</t>
  </si>
  <si>
    <r>
      <t xml:space="preserve">ALIMENTADOR ELECTRICO </t>
    </r>
    <r>
      <rPr>
        <b/>
        <sz val="10"/>
        <color indexed="10"/>
        <rFont val="Arial"/>
        <family val="2"/>
      </rPr>
      <t>DESDE</t>
    </r>
    <r>
      <rPr>
        <b/>
        <sz val="10"/>
        <rFont val="Arial"/>
        <family val="2"/>
      </rPr>
      <t xml:space="preserve"> ARRANCADORES SUAVE HASTA ELECTROBOMBAS </t>
    </r>
  </si>
  <si>
    <r>
      <t xml:space="preserve">ALIMENTADOR ELECTRICO </t>
    </r>
    <r>
      <rPr>
        <b/>
        <sz val="10"/>
        <color indexed="10"/>
        <rFont val="Arial"/>
        <family val="2"/>
      </rPr>
      <t>DESDE</t>
    </r>
    <r>
      <rPr>
        <b/>
        <sz val="10"/>
        <rFont val="Arial"/>
        <family val="2"/>
      </rPr>
      <t xml:space="preserve"> PANEL BOARD HASTA ARRANCADORES DIRECTO A LINEA DE ELECTROBOMBAS SUMERGIBLES NO ATASCABLE.</t>
    </r>
  </si>
  <si>
    <r>
      <t xml:space="preserve">ALIMENTADOR ELECTRICO </t>
    </r>
    <r>
      <rPr>
        <b/>
        <sz val="10"/>
        <color indexed="10"/>
        <rFont val="Arial"/>
        <family val="2"/>
      </rPr>
      <t xml:space="preserve">DESDE PANEL BOARD HASTA </t>
    </r>
    <r>
      <rPr>
        <b/>
        <sz val="10"/>
        <rFont val="Arial"/>
        <family val="2"/>
      </rPr>
      <t xml:space="preserve">CENTRO DE CARGA DE 4 ESPACIOS EN CASA DE BOMBAS PARA SERVICIOS DE LA ESTACION  </t>
    </r>
  </si>
  <si>
    <t>PANEL DISTRIBUCION 4 CIRCUITOS:</t>
  </si>
  <si>
    <t>PANEL DISTRIBUCION 12 CIRCUITOS:</t>
  </si>
  <si>
    <t>PANEL DISTRIBUCION 16 CIRCUITOS:</t>
  </si>
  <si>
    <t>Registro para válvula de 12" (1.20x1.20@1.60)</t>
  </si>
  <si>
    <t>Niple de 8"X4" Soldado en tubería de 12" para tolvas</t>
  </si>
  <si>
    <t>280 INDUSTRIAL</t>
  </si>
  <si>
    <t>Completivo trasporte de Postes Eléctricos</t>
  </si>
  <si>
    <t>PORTAJES Y VENTANAS</t>
  </si>
  <si>
    <t>DEPARTAMENTO DISEÑO Y SUPERVISION PLANTAS DE TRATAMIENTO</t>
  </si>
  <si>
    <t>DIVISION DISEÑO Y SUPERVISION PLANTAS POTABILIZADORAS</t>
  </si>
  <si>
    <t>LISTADO ESPECIFICACIONES TECNICAS EQUIPOS Y MATERIALES</t>
  </si>
  <si>
    <t xml:space="preserve">PLANTA DE TRATAMIENTO FILTRACION RAPIDA ACUEDUCTO VILLARPANDO, CAP. 40 LPS </t>
  </si>
  <si>
    <t>TIPO EQUIPO</t>
  </si>
  <si>
    <t>ESPECIFICACIONES TECNICAS</t>
  </si>
  <si>
    <t>USO</t>
  </si>
  <si>
    <t>Agitadores</t>
  </si>
  <si>
    <t>Motor 1 Hp, Frecuencia 60 Hz</t>
  </si>
  <si>
    <t xml:space="preserve">  1 en Operación y otra en Stock</t>
  </si>
  <si>
    <t xml:space="preserve">Sulfato de </t>
  </si>
  <si>
    <t>Monofasico 115/240 V.</t>
  </si>
  <si>
    <t xml:space="preserve">A utilizar en Tinas para </t>
  </si>
  <si>
    <t>Aluminio</t>
  </si>
  <si>
    <t>1750 rpm con moto-reductor a 600 rpm</t>
  </si>
  <si>
    <t>preparacion solucion de</t>
  </si>
  <si>
    <t>quimico</t>
  </si>
  <si>
    <t>(Mixers)</t>
  </si>
  <si>
    <t>Vastago Ø¾" Acero Inoxidable</t>
  </si>
  <si>
    <t>Sulfato de Aluminio</t>
  </si>
  <si>
    <t>Aspas  4 Aletas Acero Inoxidable L=6'</t>
  </si>
  <si>
    <t>Bombas resistentes a Polímeros y Floculantes</t>
  </si>
  <si>
    <t>Cuerpo en Acero, teflón en Diafragma y/o Campanas</t>
  </si>
  <si>
    <t>Carga Positiva de Succión</t>
  </si>
  <si>
    <t>Tamaño de Conexión 1" a 1½"</t>
  </si>
  <si>
    <t xml:space="preserve"> 1 en Operación y otra en Stock</t>
  </si>
  <si>
    <t xml:space="preserve">Bomba  </t>
  </si>
  <si>
    <t>corriente alterna dura inversión.</t>
  </si>
  <si>
    <t>Dosificadora</t>
  </si>
  <si>
    <t>Control para Medición de Bomba:</t>
  </si>
  <si>
    <t>Encendido de Entrada 115 voltios, 60 Hz,</t>
  </si>
  <si>
    <t>Pantalla digital y control</t>
  </si>
  <si>
    <t>Capacidad  500-1,000 gpd-90 psi.</t>
  </si>
  <si>
    <t>Para aplicar Sulfato de Aluminio concentración 2-4%</t>
  </si>
  <si>
    <t xml:space="preserve">Diferencial </t>
  </si>
  <si>
    <t xml:space="preserve">Capacidad de Carga 1 Tonelada </t>
  </si>
  <si>
    <t xml:space="preserve">Eléctrico para </t>
  </si>
  <si>
    <t>Cadena para Desplazamiento a 10.00 m</t>
  </si>
  <si>
    <t>Sulfato de</t>
  </si>
  <si>
    <t>Controles con interruptores Automáticos</t>
  </si>
  <si>
    <t xml:space="preserve"> Aluminio</t>
  </si>
  <si>
    <t xml:space="preserve">Motor 3 Hp, Monofásica, Caudal 300 gpm,  </t>
  </si>
  <si>
    <t>Voltaje 110-220 V,</t>
  </si>
  <si>
    <t>Frecuencia 60 Hz</t>
  </si>
  <si>
    <t xml:space="preserve">Sistema Lavado </t>
  </si>
  <si>
    <t>Eficiencia 85%</t>
  </si>
  <si>
    <t>Planta</t>
  </si>
  <si>
    <t>TDH 15 Pies, Velocidad 1,730 rpm</t>
  </si>
  <si>
    <t>Pág.1</t>
  </si>
  <si>
    <t xml:space="preserve">PLANTA DE TRATAMIENTO FILTRACION RAPIDA ACUEDUCTO VILLARPANDO, CAPACIDAD 40 LPS </t>
  </si>
  <si>
    <r>
      <t>T</t>
    </r>
    <r>
      <rPr>
        <vertAlign val="subscript"/>
        <sz val="11"/>
        <color indexed="8"/>
        <rFont val="Times New Roman"/>
        <family val="1"/>
      </rPr>
      <t>10</t>
    </r>
    <r>
      <rPr>
        <sz val="11"/>
        <color indexed="8"/>
        <rFont val="Times New Roman"/>
        <family val="1"/>
      </rPr>
      <t xml:space="preserve">=0.47-0.65 mm, Cu=1.50-1.70 </t>
    </r>
  </si>
  <si>
    <r>
      <t>T</t>
    </r>
    <r>
      <rPr>
        <vertAlign val="subscript"/>
        <sz val="11"/>
        <color indexed="8"/>
        <rFont val="Times New Roman"/>
        <family val="1"/>
      </rPr>
      <t>s</t>
    </r>
    <r>
      <rPr>
        <sz val="11"/>
        <color indexed="8"/>
        <rFont val="Times New Roman"/>
        <family val="1"/>
      </rPr>
      <t xml:space="preserve">=1.41 mm </t>
    </r>
  </si>
  <si>
    <t>Lecho</t>
  </si>
  <si>
    <t xml:space="preserve">Arena </t>
  </si>
  <si>
    <r>
      <t>T</t>
    </r>
    <r>
      <rPr>
        <vertAlign val="subscript"/>
        <sz val="11"/>
        <color indexed="8"/>
        <rFont val="Times New Roman"/>
        <family val="1"/>
      </rPr>
      <t>i</t>
    </r>
    <r>
      <rPr>
        <sz val="11"/>
        <color indexed="8"/>
        <rFont val="Times New Roman"/>
        <family val="1"/>
      </rPr>
      <t>=0,425 mm</t>
    </r>
  </si>
  <si>
    <t>Filtrante</t>
  </si>
  <si>
    <r>
      <t>(m</t>
    </r>
    <r>
      <rPr>
        <vertAlign val="superscript"/>
        <sz val="11"/>
        <color indexed="8"/>
        <rFont val="Times New Roman"/>
        <family val="1"/>
      </rPr>
      <t>3</t>
    </r>
    <r>
      <rPr>
        <sz val="11"/>
        <color indexed="8"/>
        <rFont val="Times New Roman"/>
        <family val="1"/>
      </rPr>
      <t>)</t>
    </r>
  </si>
  <si>
    <t>γ= 2,600 Kg/m3</t>
  </si>
  <si>
    <t>Ce=0.80, Espesor Lecho=0.80 m</t>
  </si>
  <si>
    <t>Vástago Fijo, Cuadrante</t>
  </si>
  <si>
    <t>Entrada a Planta</t>
  </si>
  <si>
    <t>Diámetro 8"</t>
  </si>
  <si>
    <t xml:space="preserve">Cuerpo y Tapa en Hierro Fundido </t>
  </si>
  <si>
    <t>revestido de Epoxy</t>
  </si>
  <si>
    <t xml:space="preserve">Desagüe Floculador </t>
  </si>
  <si>
    <t>Compuerta</t>
  </si>
  <si>
    <t>Tuercas de Maniobra en Latón</t>
  </si>
  <si>
    <t>Cuerpo en Hierro Fundido (ASTM A126)</t>
  </si>
  <si>
    <t>Especificaciones AWWA E504</t>
  </si>
  <si>
    <t>Sedimentación Directa.</t>
  </si>
  <si>
    <t>Fabricación Americana o Israelí</t>
  </si>
  <si>
    <t>Compuertas</t>
  </si>
  <si>
    <t>Compuertas tipo Channel, marcos de mas de 2"</t>
  </si>
  <si>
    <t xml:space="preserve">Entrada Floculador </t>
  </si>
  <si>
    <t xml:space="preserve"> Dimensiones 0,60 m x 0,40 m</t>
  </si>
  <si>
    <t>en tolas de 1/4", Materiales Standard</t>
  </si>
  <si>
    <t>Fabricación acero inoxidable AISI 316/304</t>
  </si>
  <si>
    <t xml:space="preserve">Salida Floculador </t>
  </si>
  <si>
    <t>Espesor tola ¼". Vástago en Hg 1½"</t>
  </si>
  <si>
    <t>Cabina de 0,95 X 0,85 X 1.50 de Altura.</t>
  </si>
  <si>
    <t xml:space="preserve">Cajuela </t>
  </si>
  <si>
    <t>Piso en Tola Corrugada y Puerta para Montaje</t>
  </si>
  <si>
    <t>Metálica</t>
  </si>
  <si>
    <t>A deslizarse por dos (2) Rieles de Tubo H.G.</t>
  </si>
  <si>
    <t>Ø1½" en ambos laterales y dos (2) Resortes</t>
  </si>
  <si>
    <t>fijados en piso para amortiguar caída</t>
  </si>
  <si>
    <t>Sistema de aplicacion directa</t>
  </si>
  <si>
    <t>Caseta de Cloracion</t>
  </si>
  <si>
    <t>Sistema de</t>
  </si>
  <si>
    <t xml:space="preserve">Dosificador de Cloro, con rango de aplicación </t>
  </si>
  <si>
    <t>Desinfección</t>
  </si>
  <si>
    <t>de 0-50 lbs/día.</t>
  </si>
  <si>
    <t>Cilindros de cloro con capacidad 150 lbs</t>
  </si>
  <si>
    <t>Compuertas Sumergibles, marcos más de 2"</t>
  </si>
  <si>
    <t>Entrada Filtros</t>
  </si>
  <si>
    <t>Dimensiones 0,40 m x 0,40 m</t>
  </si>
  <si>
    <t>en tolas de 1/4" Reforzadas</t>
  </si>
  <si>
    <t>Materiales Standard</t>
  </si>
  <si>
    <t>Desagüe Retrolavado</t>
  </si>
  <si>
    <t>Filtros</t>
  </si>
  <si>
    <t>Pág.2</t>
  </si>
  <si>
    <t>Dimensiones acorde a planos</t>
  </si>
  <si>
    <t>Sedimentadores</t>
  </si>
  <si>
    <t xml:space="preserve">Paneles </t>
  </si>
  <si>
    <t>Espesor Lámina 1 mm y Tubo Hexagonal 5-10 mm</t>
  </si>
  <si>
    <t>Lamelares</t>
  </si>
  <si>
    <t>Colocación con Angulares de Tola Acero</t>
  </si>
  <si>
    <t>Esta cantidad tiene incluidos</t>
  </si>
  <si>
    <r>
      <t>(pie</t>
    </r>
    <r>
      <rPr>
        <vertAlign val="superscript"/>
        <sz val="11"/>
        <color indexed="8"/>
        <rFont val="Times New Roman"/>
        <family val="1"/>
      </rPr>
      <t>3</t>
    </r>
    <r>
      <rPr>
        <sz val="11"/>
        <color indexed="8"/>
        <rFont val="Times New Roman"/>
        <family val="1"/>
      </rPr>
      <t>)</t>
    </r>
  </si>
  <si>
    <t>Inoxidable de 2"x6"x⅜" para soporte módulos</t>
  </si>
  <si>
    <t>los desperdicios</t>
  </si>
  <si>
    <t xml:space="preserve"> con Tornillos Hilter separados a 0,50 m</t>
  </si>
  <si>
    <t xml:space="preserve"> de centro a centro</t>
  </si>
  <si>
    <t>Cumplimiento Normas NSF-361</t>
  </si>
  <si>
    <t>Material Glass Reinforced Plastic (GRP)</t>
  </si>
  <si>
    <t>Registro Canal Desagüe</t>
  </si>
  <si>
    <t xml:space="preserve"> Dimensiones ( 1.00 m x 1.00m)</t>
  </si>
  <si>
    <t xml:space="preserve"> Tapas</t>
  </si>
  <si>
    <t>Angulares 1"x1"x3/8"</t>
  </si>
  <si>
    <t>Metalicas</t>
  </si>
  <si>
    <t>Ocho (8) Pernos de Fijacion</t>
  </si>
  <si>
    <t>Registro Válvula Entrada</t>
  </si>
  <si>
    <t>Válvulas de Engranaje</t>
  </si>
  <si>
    <t>Filtración directa</t>
  </si>
  <si>
    <t xml:space="preserve"> Diametro Ø8"</t>
  </si>
  <si>
    <t>Salida Agua Filtrada</t>
  </si>
  <si>
    <t xml:space="preserve">Disco de Hierro Fundido con borde en </t>
  </si>
  <si>
    <t xml:space="preserve">Acero Inoxidable </t>
  </si>
  <si>
    <t>Refuerzo Poliéster relleno con Fibra de Vidrio</t>
  </si>
  <si>
    <t xml:space="preserve"> Diametro Ø6"</t>
  </si>
  <si>
    <t>Mariposa</t>
  </si>
  <si>
    <t>Vástago en acero inoxidable</t>
  </si>
  <si>
    <t>Entrada Aire Retrolavado</t>
  </si>
  <si>
    <t>Casquillo Superior Vástago en Poliéster</t>
  </si>
  <si>
    <t xml:space="preserve">Filtros  </t>
  </si>
  <si>
    <t>Cojinetes Internos en Acero Inoxidable</t>
  </si>
  <si>
    <t xml:space="preserve">Entrada Agua </t>
  </si>
  <si>
    <t>Diametro Ø6"</t>
  </si>
  <si>
    <t>Capacidad de trabajar Sumergidas</t>
  </si>
  <si>
    <t>Retrolavado Filtros</t>
  </si>
  <si>
    <t xml:space="preserve">Estructuras de Arriostre y articulacion cada 10' </t>
  </si>
  <si>
    <t>Articulaciones en engranaje para evitar</t>
  </si>
  <si>
    <t>Desagüe Fondo</t>
  </si>
  <si>
    <t>daños por excentricidad.</t>
  </si>
  <si>
    <r>
      <t>Placas (pie</t>
    </r>
    <r>
      <rPr>
        <vertAlign val="superscript"/>
        <sz val="11"/>
        <color indexed="8"/>
        <rFont val="Times New Roman"/>
        <family val="1"/>
      </rPr>
      <t>2</t>
    </r>
    <r>
      <rPr>
        <sz val="11"/>
        <color indexed="8"/>
        <rFont val="Times New Roman"/>
        <family val="1"/>
      </rPr>
      <t>)</t>
    </r>
  </si>
  <si>
    <t>Material Polipropileno, Espesor 0,0127 m (½").</t>
  </si>
  <si>
    <t>Floculadores</t>
  </si>
  <si>
    <t>Incluidos los desperdicios</t>
  </si>
  <si>
    <t>Colocación con Perfiles de Polipropileno de 3"x 3"</t>
  </si>
  <si>
    <t xml:space="preserve">con Tornillos Hiltii Inoxidables Separados a </t>
  </si>
  <si>
    <t>0,50 m centro a centro.</t>
  </si>
  <si>
    <t>Altura Según Planos de Diseño</t>
  </si>
  <si>
    <t>Pág.3</t>
  </si>
  <si>
    <t>Interior (Acrílico)</t>
  </si>
  <si>
    <t>Techo: Blanco 00.</t>
  </si>
  <si>
    <t xml:space="preserve">Vigas, Columnas: Azul positivo 43 tropical </t>
  </si>
  <si>
    <t>o Similar.</t>
  </si>
  <si>
    <t>Paredes: Azul alba  41 de Tropical o Similar.</t>
  </si>
  <si>
    <t xml:space="preserve">Muros Planta y </t>
  </si>
  <si>
    <t>Acorde a</t>
  </si>
  <si>
    <t>Puertas: Blanco</t>
  </si>
  <si>
    <t>Edificaciones</t>
  </si>
  <si>
    <t>Presupuesto</t>
  </si>
  <si>
    <t>Exterior (Acrílico)</t>
  </si>
  <si>
    <t>o similar.</t>
  </si>
  <si>
    <t>Barandas (m)</t>
  </si>
  <si>
    <t xml:space="preserve">Material Glass Reinforced Plastic (GRP), Ø1½" en </t>
  </si>
  <si>
    <t>Longitud Aproximada</t>
  </si>
  <si>
    <t>todas las tuberías, tanto verticales como horizontales</t>
  </si>
  <si>
    <t>Altura 1.00 m (2 tuberías horizontales separadas a</t>
  </si>
  <si>
    <t>Pasarelas</t>
  </si>
  <si>
    <t>0,50 m centro a centro)</t>
  </si>
  <si>
    <t>Unidades Planta</t>
  </si>
  <si>
    <t xml:space="preserve">Tuberías Verticales separadas a 1.00 m </t>
  </si>
  <si>
    <t>Fijadas con placas acero Esp. ⅜" 11 cms x 11 cms</t>
  </si>
  <si>
    <t>con 4 pernos Ø½"</t>
  </si>
  <si>
    <t>Generales</t>
  </si>
  <si>
    <t>Cerámica criolla en baño</t>
  </si>
  <si>
    <t>Casa Operador</t>
  </si>
  <si>
    <t>Lavamanos/inodoro blanco, pedestal  completo.</t>
  </si>
  <si>
    <t>Fregadero sencillo completo, Meseta marmolite.</t>
  </si>
  <si>
    <t>Puerta Everglass, Ventanas Aluminio.</t>
  </si>
  <si>
    <t>Piso de Baldosa de Granito</t>
  </si>
  <si>
    <t xml:space="preserve">Revestimiento Pared en  Baño y Cocina: </t>
  </si>
  <si>
    <t>Cerámica  H=2.00m</t>
  </si>
  <si>
    <t>Entrada Floculador</t>
  </si>
  <si>
    <t>Dimensiones 0,40 m x 0,50 m</t>
  </si>
  <si>
    <t>en tolas de 1/4"</t>
  </si>
  <si>
    <t>Salida Floculador</t>
  </si>
  <si>
    <t>Dimensiones 1.00 m x 0,50 m</t>
  </si>
  <si>
    <t>Pág.4</t>
  </si>
  <si>
    <t>Pág.5</t>
  </si>
  <si>
    <t>Motor ¼ Hp, monofásico, 115/230 voltios Motor ¼ Hp, monofásico, 115/230 voltios</t>
  </si>
  <si>
    <t>Puertas polimetal (incluye instalación) incluye llavín</t>
  </si>
  <si>
    <t>DESCRIPCIÓN</t>
  </si>
  <si>
    <t>Trampa de Grasa</t>
  </si>
  <si>
    <t>Zapatas de Columnas</t>
  </si>
  <si>
    <t>Area</t>
  </si>
  <si>
    <t>Exc</t>
  </si>
  <si>
    <t>Vol Concreto</t>
  </si>
  <si>
    <t>Zap Col</t>
  </si>
  <si>
    <t>Zap Muro</t>
  </si>
  <si>
    <t>Bote</t>
  </si>
  <si>
    <t>Balanza electrónica para pesaje de cilindros</t>
  </si>
  <si>
    <t>Rodillos de gomas ( para apoyo de cilindro )</t>
  </si>
  <si>
    <t>Mano de obra</t>
  </si>
  <si>
    <t>INSTALACIÓN DE VIGA RIEL EN TECHO:</t>
  </si>
  <si>
    <t>Viga W 8x21 H.N., L=30 Pies</t>
  </si>
  <si>
    <t>Angular 3/8'x5"x5" H.N.</t>
  </si>
  <si>
    <t>Pernos expansivos 3/4"x4" (INC. TUERCA)</t>
  </si>
  <si>
    <t>Tornillos ( A325 ) 3/4"x 1½"  (INC. TUERCA)</t>
  </si>
  <si>
    <t>Troley Mecánico  P/diferencial de 3 TON</t>
  </si>
  <si>
    <t>Mano de Obra</t>
  </si>
  <si>
    <t>Excavación material compacto a mano</t>
  </si>
  <si>
    <t xml:space="preserve">Bote de material con camión d= 5 km (incluye esparcimiento en botadero) </t>
  </si>
  <si>
    <t>Pa</t>
  </si>
  <si>
    <t>TUBERÍAS Y PIEZAS</t>
  </si>
  <si>
    <t xml:space="preserve">Codo 3/4" x 90º  PVC </t>
  </si>
  <si>
    <t>Primer Nivel</t>
  </si>
  <si>
    <t>Segundo Nivel</t>
  </si>
  <si>
    <t>Puertas</t>
  </si>
  <si>
    <t>Perimetro Exterior</t>
  </si>
  <si>
    <t xml:space="preserve">Bloques </t>
  </si>
  <si>
    <t>SNP</t>
  </si>
  <si>
    <t>Construcción Planta Potabilizadora Acueducto Villar Pando 40 L/S</t>
  </si>
  <si>
    <t>Bote de material con camión (dist. 5km) (incluye carguío y  esparcimiento en botadero)</t>
  </si>
  <si>
    <t xml:space="preserve">Relleno de reposición </t>
  </si>
  <si>
    <t>**EXCAVACION DE CAPA VEGETAL</t>
  </si>
  <si>
    <t xml:space="preserve">REGISTRO ENTRADA AGUA CRUDA </t>
  </si>
  <si>
    <t>Losa de Fondo 0.20 - 2.08 QQ/M3</t>
  </si>
  <si>
    <t>Losa de techo 0.15 -0.97QQ/M3</t>
  </si>
  <si>
    <t>MURO DE BLOCK 6":</t>
  </si>
  <si>
    <t>Muro Bloques de 6",  3/8"@0.40mts BNP</t>
  </si>
  <si>
    <t>REGISTRO ENTRADA SEDIMENTACION DIRECTA</t>
  </si>
  <si>
    <t>Excavacion de Registros</t>
  </si>
  <si>
    <t>Registros de Entrada Cruda</t>
  </si>
  <si>
    <t>Registro de Sedimentacion Directa</t>
  </si>
  <si>
    <t>Excavación material compactado c/equipo</t>
  </si>
  <si>
    <t xml:space="preserve">Nivelación de zanja  </t>
  </si>
  <si>
    <t>Relleno compactado  c/compactador mecánico en capas de 0.20m</t>
  </si>
  <si>
    <t>Bote de escombros con camión (dist. 5km) (incluye esparcimiento en botadero)</t>
  </si>
  <si>
    <t xml:space="preserve">Relleno compactado </t>
  </si>
  <si>
    <t>Excavacion de Zapatas de Muros</t>
  </si>
  <si>
    <t>Relleno Reposicion</t>
  </si>
  <si>
    <t>Hormigon Concreto</t>
  </si>
  <si>
    <t>Zapata</t>
  </si>
  <si>
    <t>Muros de Bloques BNP</t>
  </si>
  <si>
    <t>Excavación zapatas  a mano</t>
  </si>
  <si>
    <t xml:space="preserve">Reposición material compactado </t>
  </si>
  <si>
    <t>Bote de material con camión in situ</t>
  </si>
  <si>
    <t>HORMIGÓN ARMADO EN:</t>
  </si>
  <si>
    <t>Zapata de muros (0.45 x 0.25)mts  - 0.71 qq/m3, F᾽c=180 KG/CM²</t>
  </si>
  <si>
    <t>Zapata  de  columnas  (0.60 x 0.60 x 0.25)mts - 2.08 QQ/m3 F᾽c=180 Kg/cm²</t>
  </si>
  <si>
    <t xml:space="preserve">Viga apoyo riel Puerta corrediza L=8.40M- 2.32 QQ/M3,F᾽c=240 KG/CM² </t>
  </si>
  <si>
    <t>MUROS</t>
  </si>
  <si>
    <t>Pañete en vigas y columnas</t>
  </si>
  <si>
    <t>Pintura base blanca en vigas y columnas</t>
  </si>
  <si>
    <t>Suministro y colocación de alambre galvanizado tipo trinchera</t>
  </si>
  <si>
    <t>Suministro y colocación de junta expansiva (colocada cada 30mts en columna adicional según detalle) tira de Foam 1/2"</t>
  </si>
  <si>
    <t>Suministro y colocación de angulares de 1 1/2"x 3/16" (colocado en columna adicional según detalle)</t>
  </si>
  <si>
    <t xml:space="preserve">Puerta corrediza L=4.0 mts </t>
  </si>
  <si>
    <t>ROLLO</t>
  </si>
  <si>
    <t>Excavación  material con equipo</t>
  </si>
  <si>
    <t>Volumen a ocupar por estructura</t>
  </si>
  <si>
    <t>Volumen de HA</t>
  </si>
  <si>
    <t>Losa de Piso</t>
  </si>
  <si>
    <t>long</t>
  </si>
  <si>
    <t>Ancho</t>
  </si>
  <si>
    <t>e</t>
  </si>
  <si>
    <t>Muro de HA de 0.25</t>
  </si>
  <si>
    <t>Cant</t>
  </si>
  <si>
    <t>Lateral 1 y 2</t>
  </si>
  <si>
    <t>Lateral 3</t>
  </si>
  <si>
    <t>Lateral 4</t>
  </si>
  <si>
    <t>Lateral 5 #4@20</t>
  </si>
  <si>
    <t>Muros de 25 cm  1.60 qq/m3</t>
  </si>
  <si>
    <t>Muros de 25 cm  1.90 qq/m3</t>
  </si>
  <si>
    <t>Zapatas de Muros de 0.25</t>
  </si>
  <si>
    <t>Muros de 0.25</t>
  </si>
  <si>
    <t>h=2.60</t>
  </si>
  <si>
    <t>h=1.40</t>
  </si>
  <si>
    <t>h=1.00 e=0.15</t>
  </si>
  <si>
    <t>Muros de 25 cm  2.27 qq/m3</t>
  </si>
  <si>
    <t>Panete Exterior</t>
  </si>
  <si>
    <t>Panete Interior</t>
  </si>
  <si>
    <t>PASARELA PLANTA</t>
  </si>
  <si>
    <t>Fregadero sencillo Inox</t>
  </si>
  <si>
    <t>REGISTROS TUBULARES</t>
  </si>
  <si>
    <t>Cota S</t>
  </si>
  <si>
    <t>Estructura</t>
  </si>
  <si>
    <t>Cota Inferior</t>
  </si>
  <si>
    <t>2.01-2.50</t>
  </si>
  <si>
    <t>2.50-3.00</t>
  </si>
  <si>
    <t>1.00-1.50</t>
  </si>
  <si>
    <t>4.50-5.00</t>
  </si>
  <si>
    <t>5.00-5.30</t>
  </si>
  <si>
    <t>3.00-3.50</t>
  </si>
  <si>
    <t>R-01</t>
  </si>
  <si>
    <t>R-02</t>
  </si>
  <si>
    <t>R-03</t>
  </si>
  <si>
    <t>R-04</t>
  </si>
  <si>
    <t>R-05</t>
  </si>
  <si>
    <t>R-06</t>
  </si>
  <si>
    <t>R-07</t>
  </si>
  <si>
    <t>R-08</t>
  </si>
  <si>
    <t>R-09</t>
  </si>
  <si>
    <t>R-10</t>
  </si>
  <si>
    <t>R-11</t>
  </si>
  <si>
    <t>T2</t>
  </si>
  <si>
    <t>T3</t>
  </si>
  <si>
    <t>CI</t>
  </si>
  <si>
    <t>L</t>
  </si>
  <si>
    <t>CF</t>
  </si>
  <si>
    <t>TUBERIAS DESDE PLANTA HASTA TRATAMIENTO A LODOS</t>
  </si>
  <si>
    <t>TUBERIAS DESDE TRATAMIENTO A LODOS HASTA R6</t>
  </si>
  <si>
    <t>TUBERIAS DESDE R6 HASTA CABEZAL DE DESCARGA</t>
  </si>
  <si>
    <t>ALCANTARILLADO DE VILLA VASQUEZ, PROV: MONTECRISTI - ZONA I  RED 1</t>
  </si>
  <si>
    <t>No R1</t>
  </si>
  <si>
    <t>No R2</t>
  </si>
  <si>
    <t>LONG.</t>
  </si>
  <si>
    <t>Ø TUB.</t>
  </si>
  <si>
    <t>ANCHO ZANJA</t>
  </si>
  <si>
    <t>COEF. ARENA</t>
  </si>
  <si>
    <t>H1 (tub.)</t>
  </si>
  <si>
    <t>H2(tub.)</t>
  </si>
  <si>
    <t>VOL. ROV EXCAV.</t>
  </si>
  <si>
    <t>VOL. TUBO</t>
  </si>
  <si>
    <t>VOL. ARENA</t>
  </si>
  <si>
    <t>VOL. EXCAV.</t>
  </si>
  <si>
    <t>VOL. RELLENO</t>
  </si>
  <si>
    <t>VOL. BOTE</t>
  </si>
  <si>
    <t>COTA (R1) TERREN.</t>
  </si>
  <si>
    <t>COTA (R1) REGIST.</t>
  </si>
  <si>
    <t>COTA (R2) TERREN.</t>
  </si>
  <si>
    <t>COTA (R2) REGIST.</t>
  </si>
  <si>
    <t>EXC.MAT.    &lt;1.50</t>
  </si>
  <si>
    <t>EXC.MAT.    &gt;1.50</t>
  </si>
  <si>
    <t>Niv. Fonod zanja</t>
  </si>
  <si>
    <t>DIAM</t>
  </si>
  <si>
    <t>VOL TUBO.</t>
  </si>
  <si>
    <t>NOMBRE: COLECTOR DESDE REG. 1L-A HASTA CARCAMO DE BOMBEO</t>
  </si>
  <si>
    <t>R-1L-A</t>
  </si>
  <si>
    <t>Carc.</t>
  </si>
  <si>
    <t>+4%</t>
  </si>
  <si>
    <t>Sum</t>
  </si>
  <si>
    <t>Regularizacion de fondo de zanja</t>
  </si>
  <si>
    <t>EMISOR DESDE FILTROS HASTA POZOS FILTRANTE</t>
  </si>
  <si>
    <t>Ptar</t>
  </si>
  <si>
    <t>Codo</t>
  </si>
  <si>
    <t>Tee</t>
  </si>
  <si>
    <t>Reg.1</t>
  </si>
  <si>
    <t>Reg.2</t>
  </si>
  <si>
    <t>Pozo 1</t>
  </si>
  <si>
    <t>Pozo 2</t>
  </si>
  <si>
    <t>Pozo 3</t>
  </si>
  <si>
    <t>Tub.Ø12</t>
  </si>
  <si>
    <t>Sum.</t>
  </si>
  <si>
    <t>Tub.Ø10</t>
  </si>
  <si>
    <t>+3%</t>
  </si>
  <si>
    <t>MOVIMIENTO DE TIERRA PARA AVERIAS EN REDES</t>
  </si>
  <si>
    <t>Replanteo:y control top.</t>
  </si>
  <si>
    <t>Long. Tub</t>
  </si>
  <si>
    <t>Excavación material:</t>
  </si>
  <si>
    <t>Ø8":</t>
  </si>
  <si>
    <t>Nivelación Fomdo d Zanja;</t>
  </si>
  <si>
    <t>Ø16":</t>
  </si>
  <si>
    <t>Asiemto de Arena;</t>
  </si>
  <si>
    <t>Ø20":</t>
  </si>
  <si>
    <t>Relleno Compactado:</t>
  </si>
  <si>
    <t>Bote de Material:</t>
  </si>
  <si>
    <t>Suministro de tub.:Ø8" PVC 32.5</t>
  </si>
  <si>
    <t>Colocación de tub.:Ø8" PVC 32.5</t>
  </si>
  <si>
    <t>Limpieza de registros:</t>
  </si>
  <si>
    <t>Demolición De Registros:</t>
  </si>
  <si>
    <t>Reconstrucción de Registros:</t>
  </si>
  <si>
    <t xml:space="preserve">ALCANTARILLADO SANITARIO COTUI PROV: SANCHEZ RAMIREZ - ZONA III   </t>
  </si>
  <si>
    <t>RED 1 Y RED 2</t>
  </si>
  <si>
    <t>Regado Perfilado y Nivelado c/equipo</t>
  </si>
  <si>
    <t>SISTEMA DEPURADOR DE AGUAS RESIDUALES</t>
  </si>
  <si>
    <t>MAMPOSTERIA</t>
  </si>
  <si>
    <t>Pañete Interior</t>
  </si>
  <si>
    <t>CUARTO DE CONTROL</t>
  </si>
  <si>
    <t>Muros 8" de Bloques BNP</t>
  </si>
  <si>
    <t>Acero de Techo Casa de Operador</t>
  </si>
  <si>
    <t>LOSA</t>
  </si>
  <si>
    <t>N</t>
  </si>
  <si>
    <t>S</t>
  </si>
  <si>
    <t>O</t>
  </si>
  <si>
    <t>XX</t>
  </si>
  <si>
    <t>YY</t>
  </si>
  <si>
    <t>Assx1</t>
  </si>
  <si>
    <t>Assx2</t>
  </si>
  <si>
    <t>Asyy1</t>
  </si>
  <si>
    <t>Asyy2</t>
  </si>
  <si>
    <t>Vn</t>
  </si>
  <si>
    <t>Vs</t>
  </si>
  <si>
    <t>Ve</t>
  </si>
  <si>
    <t>Vo</t>
  </si>
  <si>
    <t>Adicionales</t>
  </si>
  <si>
    <t>XX1</t>
  </si>
  <si>
    <t>XX2</t>
  </si>
  <si>
    <t>XX3</t>
  </si>
  <si>
    <t>YY1</t>
  </si>
  <si>
    <t>YY2</t>
  </si>
  <si>
    <t>Casa de control</t>
  </si>
  <si>
    <t>Excavacion Zapata de Columnas</t>
  </si>
  <si>
    <t>Zapata de Columnas</t>
  </si>
  <si>
    <t>Viga BNP</t>
  </si>
  <si>
    <t>Dintel 0.20 x 0.20   5.00 qq/m3</t>
  </si>
  <si>
    <t>DEPÓSITO REGULADOR H.A. SUPERFICIAL DE 150 M³</t>
  </si>
  <si>
    <t>PRELIMINAR</t>
  </si>
  <si>
    <t>Excavación material no clasificado c/retropala 416E o similar</t>
  </si>
  <si>
    <t>M³N</t>
  </si>
  <si>
    <t>Relleno compactado c/compactador mecánico en capa de 0.30 m</t>
  </si>
  <si>
    <t>M³E</t>
  </si>
  <si>
    <t>Zapata de columna central C1 0.40 - 1.28 qq/M³</t>
  </si>
  <si>
    <t xml:space="preserve">Columna central C1 ( 0.35 x 0.35 ) -5.58 qq/M³ </t>
  </si>
  <si>
    <t>Columnas perimetral C2 ( 0.30 x 0.30 ) - 5.54 qq M³</t>
  </si>
  <si>
    <t>Muros 0.30 - 1.94 qq/M³</t>
  </si>
  <si>
    <t>Viga ( 0.25 x 0.40 ) -  3.44 qqM³</t>
  </si>
  <si>
    <t xml:space="preserve">Bordillo de H.S.  en registro de techo 0.15  </t>
  </si>
  <si>
    <t xml:space="preserve">Suministro y colocación de banda de gomas hidrofílica extensible p/construcción, impermeable 5 mm x20 mm </t>
  </si>
  <si>
    <t>Fino de losa de fondo pulido</t>
  </si>
  <si>
    <t>Fino de losa de techo</t>
  </si>
  <si>
    <t>Pintura acrílica económica ( base blanca )</t>
  </si>
  <si>
    <t xml:space="preserve">Pintura acrílica azul </t>
  </si>
  <si>
    <t>Tubería de Ø6" acero SCH-40 sin costura c/protección anticorrosivo</t>
  </si>
  <si>
    <t>9.1.3</t>
  </si>
  <si>
    <t>9.1.4</t>
  </si>
  <si>
    <t>9.1.5</t>
  </si>
  <si>
    <t>9.1.6</t>
  </si>
  <si>
    <t>9.1.7</t>
  </si>
  <si>
    <t>9.1.8</t>
  </si>
  <si>
    <t>9.1.9</t>
  </si>
  <si>
    <t>Excavación material no clasificado con retropala 416 o similar</t>
  </si>
  <si>
    <t>M³S</t>
  </si>
  <si>
    <t>9.2.4</t>
  </si>
  <si>
    <t>9.2.5</t>
  </si>
  <si>
    <t>9.3.1</t>
  </si>
  <si>
    <t>9.3.2</t>
  </si>
  <si>
    <t>Escalera exterior  H.G. , H=2.00 M</t>
  </si>
  <si>
    <t>9.3.3</t>
  </si>
  <si>
    <t>Tapa metálica en registro de techo 1.00x1.00 M</t>
  </si>
  <si>
    <t>9.3.4</t>
  </si>
  <si>
    <t>Ventilación de techo</t>
  </si>
  <si>
    <t>Acera perimetral H.S. 0.50 m, e=0.10</t>
  </si>
  <si>
    <t>Relleno compactado c/equipo en capa de 0.20m. De espesor</t>
  </si>
  <si>
    <t>SUM. VÁLVULA DE BOLA Ø2" BRONCE</t>
  </si>
  <si>
    <t>ALQ. PULIDORA</t>
  </si>
  <si>
    <t>PAR</t>
  </si>
  <si>
    <t>*** INAPA***</t>
  </si>
  <si>
    <t>DIRECCIÓN DE INGENIERÍA</t>
  </si>
  <si>
    <t>Presupuesto  No. xxx d/f 20/03/2021</t>
  </si>
  <si>
    <t>Obra: CONSTRUCCIÓN DEP. REG. Y LINEAS DE CONDUCCIÓN ACUEDUCTO VILLAR PANDO</t>
  </si>
  <si>
    <t>Provincia: AZUA</t>
  </si>
  <si>
    <t>No.</t>
  </si>
  <si>
    <t>D E S C R I P C I Ó N</t>
  </si>
  <si>
    <t>RD$ P.U.</t>
  </si>
  <si>
    <t>P R O C E D E N C I A</t>
  </si>
  <si>
    <t>1- MAESTRO AREA</t>
  </si>
  <si>
    <t>Resolución No. 12 -2018, M.T.</t>
  </si>
  <si>
    <t xml:space="preserve">2- OPERADOR DE 1º </t>
  </si>
  <si>
    <t xml:space="preserve">3- OPERADOR DE 2º </t>
  </si>
  <si>
    <t xml:space="preserve">4- OPERADOR DE 3º </t>
  </si>
  <si>
    <t>5- AYUDANTES</t>
  </si>
  <si>
    <t>6- TRABAJADOR CALIFICADO</t>
  </si>
  <si>
    <t>7- TRABAJADOR NO CALIFICADO</t>
  </si>
  <si>
    <t>8- BRIGADA TOPOGRAFICA</t>
  </si>
  <si>
    <t>ALQ. BOMBA DE ACHIQUE  4"</t>
  </si>
  <si>
    <t>DCP</t>
  </si>
  <si>
    <t>ALQ. RETRO PALA 80 H.P. 416E</t>
  </si>
  <si>
    <t>Cot. Cabinsa, 8-02-2021</t>
  </si>
  <si>
    <t>ALQ. RODILLO</t>
  </si>
  <si>
    <t>M.O  PLOMERO ACOMETIDAS RURALES</t>
  </si>
  <si>
    <t>Listado DCP , Oct-2019</t>
  </si>
  <si>
    <t>M.O  PLOMERO ACOMETIDAS URBANAS</t>
  </si>
  <si>
    <t>M.O. ACERO (ARMADURA EN PARRILLA DE MUROS)</t>
  </si>
  <si>
    <t>Resolución No. 22 -2017, M.T.</t>
  </si>
  <si>
    <t>M.O. ACERO VARILLA TRABAJADA</t>
  </si>
  <si>
    <t>M.O. APLICACION PINTURA ACRILICA DOS MANOS</t>
  </si>
  <si>
    <t>Resolución No. 07 -2018, M.T.</t>
  </si>
  <si>
    <t>M.O. APLICACION PINTURA OXIDO ( DOS MANOS )</t>
  </si>
  <si>
    <t>List. Precio DCP- Jun-2021</t>
  </si>
  <si>
    <t xml:space="preserve">M.O. JUNTA TAPÓN Ø03" ACERO </t>
  </si>
  <si>
    <t xml:space="preserve">M.O. JUNTA TAPÓN Ø04" ACERO </t>
  </si>
  <si>
    <t xml:space="preserve">M.O. JUNTA TAPÓN Ø10" ACERO </t>
  </si>
  <si>
    <t>M.O. PIEZAS 03" ACERO SOLDADO</t>
  </si>
  <si>
    <t>M.O. PIEZAS 04" ACERO SOLDADO</t>
  </si>
  <si>
    <t>M.O. PIEZAS 06" ACERO SOLDADO</t>
  </si>
  <si>
    <t>M.O. PIEZAS 10" ACERO SOLDADO</t>
  </si>
  <si>
    <t>M.O. TUBERÍA Ø03'' PVC SCDR-26 C/J.G.</t>
  </si>
  <si>
    <t>Resolución No. 02 -2018, M.T.</t>
  </si>
  <si>
    <t>M.O. TUBERÍA Ø04'' PVC SCDR-26 C/J.G.</t>
  </si>
  <si>
    <t>M.O. TUBERÍA Ø06'' ACERO SCH-40</t>
  </si>
  <si>
    <t>List. Precio DCP- Jun-2019</t>
  </si>
  <si>
    <t>M.O. TUBERÍA Ø06'' PVC SCDR-26 C/J.G.</t>
  </si>
  <si>
    <t>M.O. TUBERÍA Ø10'' ACERO SCH-40</t>
  </si>
  <si>
    <t>M.O. TUBERÍA Ø10'' PVC SCDR-26 C/J.G.</t>
  </si>
  <si>
    <t xml:space="preserve">M.O. VÁLVULA COMPUERTA Ø03'' HF PLATILLADA </t>
  </si>
  <si>
    <t>List. Precio DCP- Mar-2020</t>
  </si>
  <si>
    <t xml:space="preserve">M.O. VÁLVULA COMPUERTA Ø04'' HF PLATILLADA </t>
  </si>
  <si>
    <t xml:space="preserve">M.O. VÁLVULA COMPUERTA Ø06'' HF PLATILLADA </t>
  </si>
  <si>
    <t xml:space="preserve">M.O. VÁLVULA COMPUERTA Ø10'' HF PLATILLADA </t>
  </si>
  <si>
    <t>M/O/ TUBERIA Ø¾" PVC SCH-40</t>
  </si>
  <si>
    <t>SUM. ACERO</t>
  </si>
  <si>
    <t>List. Precio DCP- Feb-2021</t>
  </si>
  <si>
    <t xml:space="preserve">SUM. ADATADOR HEMBRA Ø 1/2" ROSCADO </t>
  </si>
  <si>
    <t xml:space="preserve">SUM. ADATADOR MACHO Ø 1/2" ROSCADO </t>
  </si>
  <si>
    <t>SUM. ADATADOR MACHO Ø 1/2" ROSCADO A MANGUERA</t>
  </si>
  <si>
    <t>SUM. ADITIVOS SX-PELL</t>
  </si>
  <si>
    <t>Vinaldom, cot.1412-18, d/f 11-12-2018</t>
  </si>
  <si>
    <t>SUM. AGUA</t>
  </si>
  <si>
    <t>SUM. ALAMBRE No. 18</t>
  </si>
  <si>
    <t>SUM. ANCLAJE DE H.S. (ACOMETIDAS)</t>
  </si>
  <si>
    <t>SUM. ARENA PARA PAÑETE</t>
  </si>
  <si>
    <t>SUM. BLOCK 4</t>
  </si>
  <si>
    <t>SUM. BLOCK 6</t>
  </si>
  <si>
    <t>SUM. BLOCK 8</t>
  </si>
  <si>
    <t>SUM. BLOCK CALADO</t>
  </si>
  <si>
    <t>SUM. CAJA DE ACOMETIDA PLASTICA EN POLIETILENO DE Ø 10"</t>
  </si>
  <si>
    <t>SUM. CAJA TELESCÓPICA</t>
  </si>
  <si>
    <t>Empresas Torpeso</t>
  </si>
  <si>
    <t xml:space="preserve">SUM. CARRETILLA </t>
  </si>
  <si>
    <t>SUM. CEMENTO BLANCO</t>
  </si>
  <si>
    <t>SUM. CEMENTO GRIS</t>
  </si>
  <si>
    <t xml:space="preserve">SUM. CEMENTO PVC CRIOLLO, PINTA </t>
  </si>
  <si>
    <t>PTA</t>
  </si>
  <si>
    <t>Costru Costo</t>
  </si>
  <si>
    <t>SUM. CEMENTO SOLVENTE Y TEFLON (ACOMETIDAS)</t>
  </si>
  <si>
    <t xml:space="preserve">SUM. CLAVOS CORRIENTES 2½" </t>
  </si>
  <si>
    <t>SUM. CODO 03" x 22º ACERO SCH-40</t>
  </si>
  <si>
    <t>List. Precio Herreria Gerónimo-2021</t>
  </si>
  <si>
    <t>SUM. CODO 03" x 45º ACERO SCH-40</t>
  </si>
  <si>
    <t>SUM. CODO 03" x 90º ACERO SCH-40</t>
  </si>
  <si>
    <t>SUM. CODO 04" x 22º ACERO SCH-40</t>
  </si>
  <si>
    <t>SUM. CODO 04" x 45º ACERO SCH-40</t>
  </si>
  <si>
    <t>SUM. CODO 04" x 90º ACERO SCH-40</t>
  </si>
  <si>
    <t>SUM. CODO 06" x 22º ACERO SCH-40</t>
  </si>
  <si>
    <t>SUM. CODO 06" x 45º ACERO SCH-40</t>
  </si>
  <si>
    <t>SUM. CODO 06" x 90º ACERO SCH-40</t>
  </si>
  <si>
    <t>SUM. CODO 10" x 22º ACERO SCH-40</t>
  </si>
  <si>
    <t>SUM. CODO 10" x 45º ACERO SCH-40</t>
  </si>
  <si>
    <t>SUM. CODO 10" x 90º ACERO SCH-40</t>
  </si>
  <si>
    <t>SUM. CODO Ø ½" x 90º H.G.</t>
  </si>
  <si>
    <t>SUM. COLLARIN EN POLIETILENO DE Ø 3" ( ABRAZADERA)</t>
  </si>
  <si>
    <t>SUM. COLLARIN EN POLIETILENO DE Ø 4" ( ABRAZADERA)</t>
  </si>
  <si>
    <t>SUM. COUPLING DE Ø ½" H.G.</t>
  </si>
  <si>
    <t>SUM. CRUZ 03"x03" ACERO SCH-40</t>
  </si>
  <si>
    <t>SUM. CRUZ 04"x03" ACERO SCH-40</t>
  </si>
  <si>
    <t>SUM. CRUZ 06"x06" ACERO SCH-40</t>
  </si>
  <si>
    <t xml:space="preserve">SUM. CUBETAS PARA MEDIR EL AGUA </t>
  </si>
  <si>
    <t>SUM. GRAVA</t>
  </si>
  <si>
    <t>SUM. GRAVILLA</t>
  </si>
  <si>
    <t xml:space="preserve">SUM. JUNTA TAPÓN Ø03" ACERO </t>
  </si>
  <si>
    <t xml:space="preserve">SUM. JUNTA TAPÓN Ø04" ACERO </t>
  </si>
  <si>
    <t xml:space="preserve">SUM. JUNTA TAPÓN Ø10" ACERO </t>
  </si>
  <si>
    <t>SUM. JUNTAS HIDROFILICA 5 mm x 20 mm</t>
  </si>
  <si>
    <t>Karay</t>
  </si>
  <si>
    <t xml:space="preserve">SUM. LLAVE DE CHORRO DE Ø ½" DE BONCE </t>
  </si>
  <si>
    <t>SUM. LLAVE DE PASO DE Ø 1/2"</t>
  </si>
  <si>
    <t xml:space="preserve">SUM. MADERA  2"x10"x12', </t>
  </si>
  <si>
    <t>SUM. MATERIAL DE MINA</t>
  </si>
  <si>
    <t>Sindicadto de Azua</t>
  </si>
  <si>
    <t>SUM. NIPLE DE Ø ½" H.G.</t>
  </si>
  <si>
    <t>SUM. PALAS (7 MESES DE USO)</t>
  </si>
  <si>
    <t>SUM. PEDESTAL DE H.S. ( 0.80 x 0.15) (ACOMETIDAS)</t>
  </si>
  <si>
    <t xml:space="preserve">SUM. PINTURA AZUL ACRILICA </t>
  </si>
  <si>
    <t>SUM. PINTURA BLANCA ACRILICA (BASE)</t>
  </si>
  <si>
    <t xml:space="preserve">SUM. PINTURA OXIDO ROJO </t>
  </si>
  <si>
    <t>SUM. RED. 04"x03" ACERO SCH-40</t>
  </si>
  <si>
    <t>SUM. RED. 06"x03" ACERO SCH-40</t>
  </si>
  <si>
    <t>SUM. RED. 06"x04" ACERO SCH-40</t>
  </si>
  <si>
    <t xml:space="preserve">SUM. TANQUES DE AGUA </t>
  </si>
  <si>
    <t>Simó</t>
  </si>
  <si>
    <t xml:space="preserve">SUM. TAPON HEMBRA DE 1/2" PVC </t>
  </si>
  <si>
    <t>SUM. TEE 03"x03" ACERO SCH-40</t>
  </si>
  <si>
    <t>SUM. TEE 04"x03" ACERO SCH-40</t>
  </si>
  <si>
    <t>SUM. TEE 04"x04" ACERO SCH-40</t>
  </si>
  <si>
    <t>SUM. TEE 06"x04" ACERO SCH-40</t>
  </si>
  <si>
    <t>SUM. TEE 06"x06" ACERO SCH-40</t>
  </si>
  <si>
    <t xml:space="preserve">SUM. TEFLÓN </t>
  </si>
  <si>
    <t xml:space="preserve">SUM. TUBERIA ½" H.G. PARA BASTONE (ACOMETIDAS) </t>
  </si>
  <si>
    <t xml:space="preserve">SUM. TUBERIA 1/2" SCH-40 PVC </t>
  </si>
  <si>
    <t xml:space="preserve">SUM. TUBERIA DE POLIETILENO ALTA DENSIDAD, Ø 1/2" INTERNO </t>
  </si>
  <si>
    <t>SUM. TUBERÍA Ø03'' PVC SCDR-26 C/J.G.</t>
  </si>
  <si>
    <t>Listado DCP , Corvi Feb-2021</t>
  </si>
  <si>
    <t>SUM. TUBERÍA Ø04'' PVC SCDR-26 C/J.G.</t>
  </si>
  <si>
    <t>SUM. TUBERÍA Ø06'' ACERO SCH-40</t>
  </si>
  <si>
    <t>Listado DCP , Feb-2021</t>
  </si>
  <si>
    <t>SUM. TUBERÍA Ø06'' PVC SCDR-26 C/J.G.</t>
  </si>
  <si>
    <t>SUM. TUBERIA Ø¾" PVC SCH-40</t>
  </si>
  <si>
    <t>SUM. TUBERÍA Ø10'' ACERO SCH-40</t>
  </si>
  <si>
    <t>SUM. TUBERÍA Ø10'' PVC SCDR-26 C/J.G.</t>
  </si>
  <si>
    <t>SUM. VALVULA CHECK DE ½" DE BRONCE</t>
  </si>
  <si>
    <t xml:space="preserve">SUM. VÁLVULA COMPUERTA Ø03'' HF PLATILLADA </t>
  </si>
  <si>
    <t>SUM. VÁLVULA COMPUERTA Ø04'' HF PLATILLADA</t>
  </si>
  <si>
    <t xml:space="preserve">SUM. VÁLVULA COMPUERTA Ø06'' HF PLATILLADA </t>
  </si>
  <si>
    <t xml:space="preserve">SUM. VÁLVULA COMPUERTA Ø10'' HF PLATILLADA </t>
  </si>
  <si>
    <t>SUM. VÁLVULA DE BOLA DE 0¾" H.G.</t>
  </si>
  <si>
    <t>Simó 2020</t>
  </si>
  <si>
    <t>SUM. CAL HIDRATADA</t>
  </si>
  <si>
    <t>Ministerio de Industria y Comercio</t>
  </si>
  <si>
    <t>del 16-03-21 al 19-03-2021</t>
  </si>
  <si>
    <t>M.O. OPERADOR DE EQUIPO PESADO DE 0.00-100 H.P.</t>
  </si>
  <si>
    <t>Resolución No. 11 -2017, M.T.</t>
  </si>
  <si>
    <t>M.O. OPERADOR DE EQUIPO PESADO DE 101-150 H.P.</t>
  </si>
  <si>
    <t>M.O. PRUEBA HIROSTATICAS EN TUBERIA DE Ø03" C/ACOMETIDAS</t>
  </si>
  <si>
    <t>Listado de Precios de DCP, Simó 2020</t>
  </si>
  <si>
    <t>M.O. PRUEBA HIROSTATICAS EN TUBERIA DE Ø04" C/ACOMETIDAS</t>
  </si>
  <si>
    <t>M.O. PRUEBA HIROSTATICAS EN TUBERIA DE Ø06" S/ACOMETIDAS</t>
  </si>
  <si>
    <t>M.O. PRUEBA HIROSTATICAS EN TUBERIA DE Ø10" S/ACOMETIDAS</t>
  </si>
  <si>
    <t>ALQ. COMPACTADOR MECÁNICO</t>
  </si>
  <si>
    <t>ALQ. CARGADOR FRONTAL CAT-950 (130 H.P.)</t>
  </si>
  <si>
    <t>ALQ. TRACTOR CAT-8K (300 H.P)</t>
  </si>
  <si>
    <t>SUM. PLYWOOD DE 3/4"x4'x8'</t>
  </si>
  <si>
    <t>Ferreteria luciano On lLine</t>
  </si>
  <si>
    <t xml:space="preserve">SUM. VÁLVULA DE AIRE ROSCADA COMBINADA Ø01'' </t>
  </si>
  <si>
    <t>Cot.7141 Hidrotec, 10-03-2021</t>
  </si>
  <si>
    <t xml:space="preserve">SUM. CLAMP 10" x1" ACERO </t>
  </si>
  <si>
    <t xml:space="preserve">M.O. VÁLVULA DE AIRE COMBINADA Ø01'' </t>
  </si>
  <si>
    <t>SUM. PINTURA ESMALTE (Base en aceite)</t>
  </si>
  <si>
    <t>M.O. APLICACION PINTURA ESMALTE (BASE EN ACEITE) ( DOS MANOS )</t>
  </si>
  <si>
    <t>SUM. THINNER</t>
  </si>
  <si>
    <t>SUM INPERMEABILIZANTE SUPRAWELD</t>
  </si>
  <si>
    <t>Vinaldom, cot.1412-18, d/f 11-12-2018, precio en US$</t>
  </si>
  <si>
    <t>SUM. TUBERÍA Ø4'' ACERO SCH-40</t>
  </si>
  <si>
    <t>M.O. TUBERÍA Ø4'' ACERO SCH-40</t>
  </si>
  <si>
    <t xml:space="preserve">SUM. TUBERIA ½" x 20'  H.G. </t>
  </si>
  <si>
    <t>Listado Insumo Simó</t>
  </si>
  <si>
    <t>ALQ. MOTOSOLDADORA</t>
  </si>
  <si>
    <t>Cot. Email- TOP CAT- 29-03-2021</t>
  </si>
  <si>
    <t>SUM ELECTRODOS 7010</t>
  </si>
  <si>
    <t xml:space="preserve">ALQ. TALADRO </t>
  </si>
  <si>
    <t>ALQ. GENERADOR ELECTRICO DE 5 KW</t>
  </si>
  <si>
    <t>SUM. BARRA DE ½" x ½"  20' H.N (Cuadrada)</t>
  </si>
  <si>
    <t>Listado Casa Rodriguez Oct-2020</t>
  </si>
  <si>
    <t xml:space="preserve">SUM. ZINC ACANALADO, 3'x6', CAL. 26 </t>
  </si>
  <si>
    <t xml:space="preserve">SUM. CLAVO DE ZINC 2 1/2" </t>
  </si>
  <si>
    <t>SUM. BISAGRAS "STANLEY" 3 1/2"x3 1/2", TIPO LIBRO, DORADAS 82-100</t>
  </si>
  <si>
    <t>SUM. PESTILLO 60 MM CORRIENTE BICROMADO 384-60</t>
  </si>
  <si>
    <t>SUM. PORTACANDADO 4" CORRIENTE</t>
  </si>
  <si>
    <t xml:space="preserve">SUM. CANDADO 50 mm </t>
  </si>
  <si>
    <t>M.O. INTERRIPTOR SENCILLO (Eléctrica)</t>
  </si>
  <si>
    <t>M.O. LUZ CENITAL (El\ectrica)</t>
  </si>
  <si>
    <t>M.O. TOMACORRIENTE DOBLE (Eléctrica)</t>
  </si>
  <si>
    <t>SUM. ACCESORIO (INTERRUPTOR) (Eléctrica)</t>
  </si>
  <si>
    <t>Mundo Eléctrico</t>
  </si>
  <si>
    <t>SUM. ACCESORIO (TOMACORRIENTE) (Eléctrica)</t>
  </si>
  <si>
    <t>SUM. ALAMBRE #12 TW (Eléctrica)</t>
  </si>
  <si>
    <t>SUM. CAJA OCTAGONAL (Eléctrica)</t>
  </si>
  <si>
    <t>SUM. CAJA RECTANGULAR ½" ( Eléctrica )</t>
  </si>
  <si>
    <t>SUM. CEMENTO PVC + 30% DESP. (¼ GL.) (Eléctrica)</t>
  </si>
  <si>
    <t>SUM. CINTA ADHESIVA "3M" (ROLLO) (Eléctrica)</t>
  </si>
  <si>
    <t>SUM. CODOS PLÁSTICOS ½" (Eléctrica)</t>
  </si>
  <si>
    <t>SUM. ROSETA DE PORCELANA (Eléctrica)</t>
  </si>
  <si>
    <t>SUM. TUBO ½"x20' PVC SDR-26 + 15% DESP.(Eléctrica)</t>
  </si>
  <si>
    <t>SUM. PLANCHUELA DE ¼" x 2" x 20' H.N</t>
  </si>
  <si>
    <t>SUM. BARRA DE ½" x 20' H.N (Redonda)</t>
  </si>
  <si>
    <t>M.O. CONFECCIÓN DE MOLDE COL. &gt;0.30 &lt; 0.40</t>
  </si>
  <si>
    <t>Resolución No. 01 -2018, M.T.</t>
  </si>
  <si>
    <t>M.O. INSTALACIÓN DE MOLDE COL. &gt;0.30 &lt; 0.40</t>
  </si>
  <si>
    <t>M.O. DESENCOFRADO EN COLUMNA</t>
  </si>
  <si>
    <t xml:space="preserve">TRA. TRANSPORTE DE CAMIÓN DE 6 M3 </t>
  </si>
  <si>
    <t>VIAJE</t>
  </si>
  <si>
    <t>Listado Constru-Costos 2019</t>
  </si>
  <si>
    <t>M.O. CONFECCIÓN DE MOLDE MUROS</t>
  </si>
  <si>
    <t>M.O. INSTALACIÓN DE MOLDE MUROS</t>
  </si>
  <si>
    <t>M.O. DESENCOFRADO EN MUROS</t>
  </si>
  <si>
    <t>M.O. DESENCOFRADO EN VIGA</t>
  </si>
  <si>
    <t>M.O. CONFECCIÓN E INSTALACIÓN DE MOLDE DE VIGA 0.25x0.40</t>
  </si>
  <si>
    <t>M.O. HECHURA DE FALSO PISO .&gt; 2.75 M</t>
  </si>
  <si>
    <t>M.O. DESENCOFRADO EN FALSO PISO</t>
  </si>
  <si>
    <t>M.O. HECHURA DE FALSO PISO .&lt;= 2.75 M</t>
  </si>
  <si>
    <t xml:space="preserve">SUM. PINTURA OXIGARD NO TOXICA </t>
  </si>
  <si>
    <t>ALQ. LIGADORA DE 2 FUNDA</t>
  </si>
  <si>
    <t>Ingeteca</t>
  </si>
  <si>
    <t xml:space="preserve">SUM. VÁLVULA DE AIRE ROSCADA COMBINADA Ø02'' </t>
  </si>
  <si>
    <t>List. Precio DCP- Mar-2021</t>
  </si>
  <si>
    <t xml:space="preserve">SUM. CLAMP 10" x 2" ACERO </t>
  </si>
  <si>
    <t xml:space="preserve">M.O. VÁLVULA DE AIRE COMBINADA Ø02'' </t>
  </si>
  <si>
    <t>SUM. TUBERÍA Ø2'' ACERO SCG-160</t>
  </si>
  <si>
    <t>SUM. EPOXICO ET HP 22  (CARTUCHO DE 22 ONZA )</t>
  </si>
  <si>
    <t>Cot. Karay 1274- 23-03-2021</t>
  </si>
  <si>
    <t xml:space="preserve">SUM. APLICADOR PARA EPOXICO ET HP 22 </t>
  </si>
  <si>
    <t>SUM. NIPLE ROSCADO GALVANIZADO 1"x12"</t>
  </si>
  <si>
    <t>Ferreteria Ochoa  On Line 07-04-2021</t>
  </si>
  <si>
    <t>M.O. CONFECCIÓN DE MOLDE VIGA DE AMARRE 0.15 Ó 0.20 , H=0.20</t>
  </si>
  <si>
    <t xml:space="preserve">M.O. DESENCOFRADO DE VIGA </t>
  </si>
  <si>
    <t>M.O. CORTE Y AMARRE DE VARILLA EN MURO DE BLOQUE</t>
  </si>
  <si>
    <t>Resolución No. 03 -2020, M.T.</t>
  </si>
  <si>
    <t>SUM. TUBERÍA Ø08'' PVC SCDR-26 C/J.G.</t>
  </si>
  <si>
    <t>M.O. TUBERÍA Ø08'' PVC SCDR-26 C/J.G.</t>
  </si>
  <si>
    <t>SUM. TAPA DE POLIPROPILENO DE 1.00x1.00 M</t>
  </si>
  <si>
    <t>Cot. Feray LF072- 13-04-2021</t>
  </si>
  <si>
    <t>M.O RANURADO EN TUBERIA DE Ø8" PVC</t>
  </si>
  <si>
    <t>SUM TAPÓN DE Ø4" PVC</t>
  </si>
  <si>
    <t>Listado piezas Corvi</t>
  </si>
  <si>
    <t>M.O. TAPÓN DE Ø4" PVC</t>
  </si>
  <si>
    <t>SUM. ESCALERA EN ACERO INOX. PARA INTERIOR</t>
  </si>
  <si>
    <t>Cot. RAPALMARE1780- 05-02-2021</t>
  </si>
  <si>
    <t xml:space="preserve">SUM. TAPA 0.80 x 0.80 M EN ALUMINIO FUNDIDO </t>
  </si>
  <si>
    <t>Cot. FUNDICIONES CIBAO Enmail 13-04-2021</t>
  </si>
  <si>
    <t xml:space="preserve">SUM. TAPA 1.00 x 1.00 M EN ALUMINIO FUNDIDO </t>
  </si>
  <si>
    <t>SUM, DISCO DE CORTE PARA METAL</t>
  </si>
  <si>
    <t>Ferreteria Ochoa On lLine</t>
  </si>
  <si>
    <t>Excavación material  a mano</t>
  </si>
  <si>
    <r>
      <t>Zapata Muro  0.88 qq/m</t>
    </r>
    <r>
      <rPr>
        <vertAlign val="superscript"/>
        <sz val="11"/>
        <rFont val="Arial"/>
        <family val="2"/>
      </rPr>
      <t>3</t>
    </r>
    <r>
      <rPr>
        <sz val="11"/>
        <rFont val="Arial"/>
        <family val="2"/>
      </rPr>
      <t xml:space="preserve"> </t>
    </r>
  </si>
  <si>
    <r>
      <t>Zapata de Columna C1 2.33 QQ/M</t>
    </r>
    <r>
      <rPr>
        <vertAlign val="superscript"/>
        <sz val="11"/>
        <rFont val="Arial"/>
        <family val="2"/>
      </rPr>
      <t xml:space="preserve">3  </t>
    </r>
  </si>
  <si>
    <r>
      <t>Viga Amarre BNP (0.20 x 0.20 )m-  2.93 QQ/M</t>
    </r>
    <r>
      <rPr>
        <vertAlign val="superscript"/>
        <sz val="11"/>
        <rFont val="Arial"/>
        <family val="2"/>
      </rPr>
      <t>3</t>
    </r>
  </si>
  <si>
    <r>
      <t>Columna (0.30 x 0.30 )m-  4.11QQ/M</t>
    </r>
    <r>
      <rPr>
        <vertAlign val="superscript"/>
        <sz val="11"/>
        <rFont val="Arial"/>
        <family val="2"/>
      </rPr>
      <t>3</t>
    </r>
  </si>
  <si>
    <r>
      <t>Viga Amarre SNP ( 0.30 x 0.30 )m-  3.78 QQ/M</t>
    </r>
    <r>
      <rPr>
        <vertAlign val="superscript"/>
        <sz val="11"/>
        <rFont val="Arial"/>
        <family val="2"/>
      </rPr>
      <t>3</t>
    </r>
  </si>
  <si>
    <r>
      <t>Losa de Techo  e=0.15- 1.56 QQ/M</t>
    </r>
    <r>
      <rPr>
        <vertAlign val="superscript"/>
        <sz val="11"/>
        <rFont val="Arial"/>
        <family val="2"/>
      </rPr>
      <t>3</t>
    </r>
  </si>
  <si>
    <t xml:space="preserve">Base H.S. P/Sopladores e = 0.15 , (2.00 x 0.70)  m </t>
  </si>
  <si>
    <t>MURO DE BLOQUES</t>
  </si>
  <si>
    <t>Pañete en techo ( inc. vuelo )</t>
  </si>
  <si>
    <t xml:space="preserve">Fino losa de techo  </t>
  </si>
  <si>
    <t xml:space="preserve">Cantos </t>
  </si>
  <si>
    <t>Pintura acrílica (incluye Base Blanca)</t>
  </si>
  <si>
    <t>Acera perimetral 0.60 M</t>
  </si>
  <si>
    <t>INSTALACIONES (SUMINISTRO Y COLOCACIÓN)</t>
  </si>
  <si>
    <t xml:space="preserve">Puerta doble de tola (2.70 x 2.00)m </t>
  </si>
  <si>
    <t>Ventana Salomónicas de aluminio</t>
  </si>
  <si>
    <t>ELÉCTRICA</t>
  </si>
  <si>
    <t>Salidas luces cenitales en PVC</t>
  </si>
  <si>
    <t>Salida interruptores sencillo</t>
  </si>
  <si>
    <t>Salida toma corriente doble 120V  PVC</t>
  </si>
  <si>
    <t>SUMINISTRO E INSTALACIÓN DE EQUIPOS, TUBERIAS Y PIEZAS:</t>
  </si>
  <si>
    <t>Bomba de Servicio 1 HP</t>
  </si>
  <si>
    <t xml:space="preserve">Tubería  Ø2" PVC SDR-26 </t>
  </si>
  <si>
    <t>Movimiento de tierra p/tuberías</t>
  </si>
  <si>
    <t>Logo y  letrero de INAPA</t>
  </si>
  <si>
    <t xml:space="preserve">CASETA  DE BOMBAS </t>
  </si>
  <si>
    <t>Muro Canal entrada 0.10</t>
  </si>
  <si>
    <t>Muros 0.15m -2.8 qq/m3</t>
  </si>
  <si>
    <t>Mes</t>
  </si>
  <si>
    <t>P³</t>
  </si>
  <si>
    <t>Tubería colectora 6" PVC L=2.64, c/orificio de Ø¾" @ 0.14m</t>
  </si>
  <si>
    <t>Relleno compactado con  material de excavación.</t>
  </si>
  <si>
    <t xml:space="preserve">Tubería ø3/4"  PVC (SCH-40)  </t>
  </si>
  <si>
    <t xml:space="preserve">Tubería acero ø12" SCH-40 </t>
  </si>
  <si>
    <t>Tubería acero ø8" SCH-40</t>
  </si>
  <si>
    <t xml:space="preserve">M.O. JUNTA MECÁNICA TIPO Dresser Ø03" ACERO </t>
  </si>
  <si>
    <t xml:space="preserve">M.O. JUNTA MECÁNICA TIPO Dresser Ø04" ACERO </t>
  </si>
  <si>
    <t xml:space="preserve">M.O. JUNTA MECÁNICA TIPO Dresser Ø06" ACERO </t>
  </si>
  <si>
    <t xml:space="preserve">M.O. JUNTA MECÁNICA TIPO Dresser Ø10" ACERO </t>
  </si>
  <si>
    <t>M.O. PIEZAS 03" ACERO x Dresser</t>
  </si>
  <si>
    <t>M.O. PIEZAS 04" ACERO x Dresser</t>
  </si>
  <si>
    <t>M.O. PIEZAS 06" ACERO x Dresser</t>
  </si>
  <si>
    <t>M.O. PIEZAS 10" ACERO x Dresser</t>
  </si>
  <si>
    <t xml:space="preserve">SUM. JUNTA MECÁNICA TIPO Dresser Ø03" ACERO </t>
  </si>
  <si>
    <t xml:space="preserve">SUM. JUNTA MECÁNICA TIPO Dresser Ø04" ACERO </t>
  </si>
  <si>
    <t xml:space="preserve">SUM. JUNTA MECÁNICA TIPO Dresser Ø06" ACERO </t>
  </si>
  <si>
    <t xml:space="preserve">SUM. JUNTA MECÁNICA TIPO Dresser Ø10" ACERO </t>
  </si>
  <si>
    <t>Válvula de Compuerta con cuadrante 12" H.F. completa (inc. 2 niples platillados, 2 juegos tornillos y 2 juntas Dresser</t>
  </si>
  <si>
    <t xml:space="preserve">Junta mecánica tipo Dresser Ø6" </t>
  </si>
  <si>
    <t>Codo ø12" x 90° PVC drenaje</t>
  </si>
  <si>
    <t>Codo ø8" x 45° PVC drenaje</t>
  </si>
  <si>
    <t>Yee ø12" x ø8" PVC drenaje</t>
  </si>
  <si>
    <t>Yee ø8" x ø8" PVC drenaje</t>
  </si>
  <si>
    <t>Sifón 2", PVC.</t>
  </si>
  <si>
    <t>Sifón 4", PVC dren.</t>
  </si>
  <si>
    <t>Sifón 1 ½", PVC.</t>
  </si>
  <si>
    <t>Arandela PVC 4", para fijar inodoro.</t>
  </si>
  <si>
    <t>Cemento PVC criollo, PINTA + 25% desp..</t>
  </si>
  <si>
    <t>Desagüe doble para fregadero, PVC.</t>
  </si>
  <si>
    <t>IMBORNALES</t>
  </si>
  <si>
    <t>Imbornal de 1 parrilla sin filtrante c/ muros de bloques</t>
  </si>
  <si>
    <t>&lt;?xml version="1.0" encoding="utf-8"?&gt;_x000D_
&lt;QuantityLinks Version="3"&gt;_x000D_
  &lt;Links /&gt;_x000D_
  &lt;Filesets /&gt;_x000D_
  &lt;Guids /&gt;_x000D_
&lt;/QuantityLinks&gt;</t>
  </si>
  <si>
    <t>Replanteo y topografía</t>
  </si>
  <si>
    <t>SUMINISTRO TUBERÍA PVC SDR-26</t>
  </si>
  <si>
    <t>COLOCACIÓN TUBERÍA PVC SDR-26</t>
  </si>
  <si>
    <t>SUMINISTRO E INSTALACIÓN PIEZAS DE PVC PRESIÓN</t>
  </si>
  <si>
    <t xml:space="preserve">Mano de obra plomero </t>
  </si>
  <si>
    <t>Codo ø12" x 45° PVC drenaje</t>
  </si>
  <si>
    <t>Zapata de muro - 0.79 qq/m3</t>
  </si>
  <si>
    <t>Zapata de Columnas Z1- 2.33 qq/m3</t>
  </si>
  <si>
    <t>Columna 0.30 x 0.30  4.16 qq/m3</t>
  </si>
  <si>
    <t>Viga B.N.P  0.20 x 0.20  2.95 qq/m3</t>
  </si>
  <si>
    <t>Viga V1  0.40 x 0.25  4.32 qq/m3</t>
  </si>
  <si>
    <t>Losa de techo  e=0.12  2.12 qq/m3</t>
  </si>
  <si>
    <t>De 8" B.N.P Ø3/8 @ 0.60 m</t>
  </si>
  <si>
    <t>De 8" S.N.P Ø3/8" @ 0.60 m</t>
  </si>
  <si>
    <t>Cantos y Mochetas</t>
  </si>
  <si>
    <t>Sabaleta techo</t>
  </si>
  <si>
    <t>Sabaleta en techo</t>
  </si>
  <si>
    <t>Sabaleta</t>
  </si>
  <si>
    <t>Sabaleta H.S.</t>
  </si>
  <si>
    <t>Sabaleta DE 20"</t>
  </si>
  <si>
    <t>Desagüe de techo en tubería de Ø3 PVC SDR-26</t>
  </si>
  <si>
    <t>SUMINISTRO E INSTALACIÓN DE:</t>
  </si>
  <si>
    <t>Puerta metálica (2.10 X 1.50) M</t>
  </si>
  <si>
    <t>Salida Panel de Distribución de 2/4 espacio  c/breakers</t>
  </si>
  <si>
    <t>SUMINISTRO E INSTALACIÓN PIEZAS DE PVC DRENAJE</t>
  </si>
  <si>
    <t xml:space="preserve">Tee ø4" x ø3" </t>
  </si>
  <si>
    <t xml:space="preserve">Tee ø4" x ø2" </t>
  </si>
  <si>
    <t>DRENAJE SANITARIO</t>
  </si>
  <si>
    <t>TERMINACIÓN DE SUPERFICIE EN PLANTA:</t>
  </si>
  <si>
    <t>Zapata de columna - esp. = 0.30m - 0.86qq/m3</t>
  </si>
  <si>
    <t>Zapata de Muro</t>
  </si>
  <si>
    <t>Relleno Losa de Piso</t>
  </si>
  <si>
    <t>Acero en Losa Casa de Quimicos Entrepiso</t>
  </si>
  <si>
    <t>Refuerzos Planos</t>
  </si>
  <si>
    <t>Volumen de Losa</t>
  </si>
  <si>
    <t>qq/m3</t>
  </si>
  <si>
    <t>Acero en Losa Casa de Quimicos Losa de Techo</t>
  </si>
  <si>
    <t>Perchas 15%</t>
  </si>
  <si>
    <t>caja de escalera</t>
  </si>
  <si>
    <t>SUMINISTRO DE ESCALERAS, TAPA Y VENTILACIÓN DE TECHO</t>
  </si>
  <si>
    <t>SUMINISTRO E INSTALACIÓN DE TUBERÍAS DE ENTRADA, SALIDA, BY-PASS, REBOSE Y DESAGUE</t>
  </si>
  <si>
    <t xml:space="preserve">Reducción ø2" x ø1" PVC </t>
  </si>
  <si>
    <t>Codo ø2" x 45° PVC drenaje</t>
  </si>
  <si>
    <t>Yee ø2" x ø2" PVC drenaje</t>
  </si>
  <si>
    <t>Reducción ø4" x ø2"</t>
  </si>
  <si>
    <t>Contén</t>
  </si>
  <si>
    <t>Piso c/malla electrosoldada (Inc. pulido)</t>
  </si>
  <si>
    <t>Bote de material c/camión @5 km (inc. carguío y esparcimiento en botadero)</t>
  </si>
  <si>
    <t>Relleno compactado c/compactador mecánico en capa de 0.20 m</t>
  </si>
  <si>
    <t xml:space="preserve">Acrílica azul turquesa en vigas y columnas </t>
  </si>
  <si>
    <t>Interconexión con EDESUR</t>
  </si>
  <si>
    <t>Pintura acrílica (incluye base blanca)</t>
  </si>
  <si>
    <t>Honorarios Profesionales</t>
  </si>
  <si>
    <t xml:space="preserve"> Supervisión de INAPA</t>
  </si>
  <si>
    <t>Gastos Administrativos</t>
  </si>
  <si>
    <t>Seguro, Pólizas y Fianzas</t>
  </si>
  <si>
    <t>Gastos Transporte</t>
  </si>
  <si>
    <t>Ley 6-86</t>
  </si>
  <si>
    <t>Mantenimiento y Operación de Sistema INAPA</t>
  </si>
  <si>
    <t xml:space="preserve">Medida de Compensación Ambiental </t>
  </si>
  <si>
    <t>Imprevistos</t>
  </si>
  <si>
    <t>Tramitación de Planos Eléctricos EDESUR</t>
  </si>
  <si>
    <t>Excavaciones para fundación</t>
  </si>
  <si>
    <t>Tapa Aluminio Galvanizado 1.20 x 1.20 m</t>
  </si>
  <si>
    <t>REGISTROS DESAGÜE FLOCULADOR (INCL. SUMINISTRO Y COLOCACIÓN ):</t>
  </si>
  <si>
    <t xml:space="preserve">Tubería 8" Acero SCH-30 c/protección anticorrosiva </t>
  </si>
  <si>
    <t xml:space="preserve">Niple 8"x12" Acero SCH-40 c/protección anticorrosiva </t>
  </si>
  <si>
    <t xml:space="preserve">Codo 8'' x 45° Acero SCH-30   c/protección anticorrosiva </t>
  </si>
  <si>
    <t>Compuerta  tipo Mural (0.50 m x 0.70) m, marcos de más de 2" en tolas de 1/4" reforzadas materiales standard fabricación Acero Inoxidable 316/304 espesor tola ¼". vástago en HG 1½")</t>
  </si>
  <si>
    <t xml:space="preserve">HORMIGON CICLÓPEO </t>
  </si>
  <si>
    <t>Válvulas Mariposa  de engranaje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t>
  </si>
  <si>
    <t>Junta tapón 12" acero con recubrimiento anticorrosivo</t>
  </si>
  <si>
    <t xml:space="preserve">Tapón Ø6" PVC </t>
  </si>
  <si>
    <t xml:space="preserve">Orificios de Ø6" </t>
  </si>
  <si>
    <t>Niple 12'' x 12" acero SCH-40  s/costura con recubrimiento anticorrosivo</t>
  </si>
  <si>
    <t>SUMINISTRO Y COLOCACIÓN DE:</t>
  </si>
  <si>
    <t xml:space="preserve">Niple 4" x 3" acero SCH-40 c/protección anticorrosiva  </t>
  </si>
  <si>
    <t>Tee 12" x 8" acero sin costura con recubrimiento anticorrosivo</t>
  </si>
  <si>
    <t>Válvula Mariposa de engranaje,  diámetro Ø8",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</si>
  <si>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</si>
  <si>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t>
  </si>
  <si>
    <t>Válvula Mariposa de engranaje, diámetro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t>
  </si>
  <si>
    <t>Compuerta sumergible dimensiones 0.40m x 0.30m, marcos de más de 2" en Tolas de 1/4" reforzadas materiales standard fabricación Acero Inoxidable AISI 316/304 espesor tola ¼". vástago en HG 1½"  (huecos de Ø16") Salida Agua Filtrada</t>
  </si>
  <si>
    <t>Compuerta   tipo Channel (1.00x 0.40 )m  en el vertedor de Salida de los Filtros, marcos de más de 3" en tolas de 1/4 (materiales en Acero Inoxidable según  AISI 304 altura de operación 2.20 m)</t>
  </si>
  <si>
    <t>INSTALACIONES EN REGISTROS:</t>
  </si>
  <si>
    <t>Tapa  1.00 x 1.00  Aluminio</t>
  </si>
  <si>
    <t xml:space="preserve">Tubería 12" Acero SCH-30 sin costura </t>
  </si>
  <si>
    <t>Movimiento de tierra p/Tubería</t>
  </si>
  <si>
    <t>Rejilla de Acero inoxidable (0.70 x 0.70)m</t>
  </si>
  <si>
    <t>Tapa metálica material aluminio (0.70x0.70) m</t>
  </si>
  <si>
    <t xml:space="preserve">SUMINISTRO E INSTALACIÓN DE MECANISMOS Y PEDESTALES PARA VÁLVULAS CON TUBOS DE 1 1/2" ACERO INOXIDABLE  (15 PIES ) </t>
  </si>
  <si>
    <t>De 8"  Entrada Filtro</t>
  </si>
  <si>
    <t>Bloques de 6" SNP</t>
  </si>
  <si>
    <t>Puerta doble en tola de 1/4" (1.62 x 2.10) m (ver detalle)</t>
  </si>
  <si>
    <t>Ventana Salomónicas de Aluminio con palanca</t>
  </si>
  <si>
    <t xml:space="preserve">Suministro e instalación Agitadores (Mixers) Sulfato de Aluminio, motor 1 HP, frecuencia 60 HZ, monofásico 115/240 v. 1750 RPM con moto-reductor a 600 RPM vástago ø¾" Acero Inoxidable aspas  4 aletas Acero Inoxidable l=6' </t>
  </si>
  <si>
    <t>Perfil tipo Channel 4" x 6" x 1/4" (incluye colocación)</t>
  </si>
  <si>
    <t>Suministro e instalación de placas y tornillos para sujetar perfil metálico</t>
  </si>
  <si>
    <t>Tubería PVC ø1" x 19' SDR-26 + 3% perdida</t>
  </si>
  <si>
    <t>Tubería PVC ø1" x 19' SDR-26</t>
  </si>
  <si>
    <t>Tubería PVC ø4" x 19' SDR-26 + 4% perdida</t>
  </si>
  <si>
    <t>Tubería PVC ø2" x 19' SDR-26 + 3% perdida</t>
  </si>
  <si>
    <t xml:space="preserve">Tubería PVC ø2" x 19' SDR-26 </t>
  </si>
  <si>
    <t xml:space="preserve">Tubería PVC ø4" x 19' SDR-26 </t>
  </si>
  <si>
    <t>Salidas cenitales 110V</t>
  </si>
  <si>
    <t xml:space="preserve">Turbidimetro Potable 2100Q RANT 0.1000 NTY </t>
  </si>
  <si>
    <t xml:space="preserve">Equipo de prueba de Jarras </t>
  </si>
  <si>
    <t>Balanza de semiprecisión de 2610 GRS</t>
  </si>
  <si>
    <t>Termómetro de vidrio de 20 @ 120 C</t>
  </si>
  <si>
    <t xml:space="preserve">Banqueta de pino </t>
  </si>
  <si>
    <t>Escritorio Secretarial de metal laminado</t>
  </si>
  <si>
    <t>Sillón Secretarial sistema neumático</t>
  </si>
  <si>
    <t>Archivo de tres Gavetas</t>
  </si>
  <si>
    <t>Coladores con palos 3.00m</t>
  </si>
  <si>
    <t>Cubos para limpieza</t>
  </si>
  <si>
    <t>Rastrillos de H.F. (con  dientes)</t>
  </si>
  <si>
    <t>Filtro de Cloro</t>
  </si>
  <si>
    <t>Manómetro en Glicerina</t>
  </si>
  <si>
    <t>Válvula de Globo PVC Ø1"</t>
  </si>
  <si>
    <t>Soporte Manifold, en GRP.</t>
  </si>
  <si>
    <t>Manifold conducción cloro gas, ( Tubería Ø1" PVC SCH-80)</t>
  </si>
  <si>
    <t>Bomba Dosificadora 2 H.P tipo Booster</t>
  </si>
  <si>
    <t>Diferencial manual de 2.00 Ton (10 pies alzada )</t>
  </si>
  <si>
    <t>Riel en piso para rodaje de Cilindros ( angular 1/4"x3"x3") H.N, L=40 pies</t>
  </si>
  <si>
    <t>Salidas tomacorriente doble 120V</t>
  </si>
  <si>
    <t xml:space="preserve">Bloques de 6" BNP </t>
  </si>
  <si>
    <t>Piso granito corriente</t>
  </si>
  <si>
    <t>Tinaco de 250 Gls</t>
  </si>
  <si>
    <t xml:space="preserve">Tubería PVC ø1" x 19' SDR-26 </t>
  </si>
  <si>
    <t>Codo ø1" x 90° PVC SCH-40</t>
  </si>
  <si>
    <t>Codo ø1" x 45° PVC SCH-40</t>
  </si>
  <si>
    <t>Tee ø1" PVC  SCH-40</t>
  </si>
  <si>
    <t>Tubería PVC ø1.1/2" x 19' SDR-26 + 3% perdida</t>
  </si>
  <si>
    <t>Tubería PVC ø1.1/2" x 19' SDR-26</t>
  </si>
  <si>
    <t>Sabaleta de piso</t>
  </si>
  <si>
    <t>De 8'' S.N.P @0.60mt</t>
  </si>
  <si>
    <t>De 8'' B.N.P @0.60mt</t>
  </si>
  <si>
    <t xml:space="preserve">Bomba 2 HP para llenado de Tina y Sistema de limpieza </t>
  </si>
  <si>
    <t>Tanque Hidroneumático en Fibra, capacidad 75 GLS.</t>
  </si>
  <si>
    <t>Codo 2"x90ᵒ</t>
  </si>
  <si>
    <t>Codo 2"x45ᵒ</t>
  </si>
  <si>
    <t>Tee 2"x2"</t>
  </si>
  <si>
    <t>Yee 2"x2"</t>
  </si>
  <si>
    <t xml:space="preserve">Adaptador Ø2"  </t>
  </si>
  <si>
    <t>Manguera de 5/8"x75'</t>
  </si>
  <si>
    <t xml:space="preserve">Mano de obra instalación </t>
  </si>
  <si>
    <t>SUB-TOTAL VIII</t>
  </si>
  <si>
    <t>Postes en H.A.,V 40´ 800 DAM</t>
  </si>
  <si>
    <t>Postes en H.A.,V 40´ 500 DAM</t>
  </si>
  <si>
    <t>Alambre  AAAC No. 2/0</t>
  </si>
  <si>
    <t>Estructura MT-101</t>
  </si>
  <si>
    <t xml:space="preserve">Postes H.A. V, 30´ 300 DAM </t>
  </si>
  <si>
    <t>Suministro e instalación de lámpara H.P.S tipo Cobra /250 W, 220 V</t>
  </si>
  <si>
    <t>Estructura MT-102</t>
  </si>
  <si>
    <t>Estructura MT-104</t>
  </si>
  <si>
    <t>Estructura MT-105</t>
  </si>
  <si>
    <t>Estructura PR-101</t>
  </si>
  <si>
    <t>Estructura AP-103</t>
  </si>
  <si>
    <t>Estructura TR-105</t>
  </si>
  <si>
    <t>Estructura F1-BT</t>
  </si>
  <si>
    <t>Estructura F2-BT</t>
  </si>
  <si>
    <t>Estructura SU-BT</t>
  </si>
  <si>
    <t>Estructura AL-BT</t>
  </si>
  <si>
    <t>Instalación de Postes</t>
  </si>
  <si>
    <t>Hoyo para Postes</t>
  </si>
  <si>
    <t>SUMINISTRO E INSTALACIÓN PARA CONEXIÓN GENERADOR ELÉCTRICO</t>
  </si>
  <si>
    <t>Zapata de Muro 0.35 - 1.68 qq/M³</t>
  </si>
  <si>
    <t>Losa de Fondo 0.20 -  2.73 qq/M³</t>
  </si>
  <si>
    <t>Losa de Techo 0.12 - 2.65 qqM³</t>
  </si>
  <si>
    <t>HORMIGÓN ARMADO F'C=280 KG/CM²</t>
  </si>
  <si>
    <r>
      <t>Hormigón de limpieza F</t>
    </r>
    <r>
      <rPr>
        <sz val="11"/>
        <rFont val="Calibri"/>
        <family val="2"/>
      </rPr>
      <t>´</t>
    </r>
    <r>
      <rPr>
        <sz val="10"/>
        <rFont val="Arial"/>
        <family val="2"/>
      </rPr>
      <t>C</t>
    </r>
    <r>
      <rPr>
        <sz val="12.65"/>
        <rFont val="Arial"/>
        <family val="2"/>
      </rPr>
      <t>=</t>
    </r>
    <r>
      <rPr>
        <sz val="11"/>
        <rFont val="Arial"/>
        <family val="2"/>
      </rPr>
      <t>180 kg/CM²</t>
    </r>
  </si>
  <si>
    <t>Tubería de Ø6" PVC SDR-26 c/J.G.</t>
  </si>
  <si>
    <t xml:space="preserve">Niple de Ø6" x 36" acero SCH-40, c/ protección anticorrosiva </t>
  </si>
  <si>
    <t>Codo de Ø6" x 90º acero SCH-40, c/protección anticorrosiva soldado</t>
  </si>
  <si>
    <t>Tee de 6""x 6º acero SCH-40, c/protección anticorrosiva soldado</t>
  </si>
  <si>
    <t>Anclaje para piezas (según diseño)</t>
  </si>
  <si>
    <t>Válvula Compuerta Ø6" platillada H.F.</t>
  </si>
  <si>
    <t>MOVIMIENTO DE TIERRA PARA TUBERÍAS:</t>
  </si>
  <si>
    <t xml:space="preserve">Alimentador eléctrico desde transformadores hasta Main Breaker con 2 conductores THW No.2, 1 conductor THW No.4 y 1 conductor no.2 a 7 hilos trenzados en tuberías IMC y PVC de 2" con accesorios. </t>
  </si>
  <si>
    <t xml:space="preserve">Alimentador eléctrico desde Transfer Swich hasta Panel Board con 2 conductores  THW No.2, 1 conductor THW No.4 y 1 conductor No.2 a 7 hilos trenzado en tubería PVC de 2" con accesorios.  </t>
  </si>
  <si>
    <t xml:space="preserve">Alimentador eléctrico desde Panel Board hasta Centro de Cargas de 12 espacios (Casa de Cloro) con 2 conductores THW No.6 y 2 conductor  THW No.8 en tubería PVC de 1 1/2".  </t>
  </si>
  <si>
    <t xml:space="preserve">Alimentador eléctrico desde Panel Board hasta Centro de Carga de 8 espacios (PC) en Casa de Controles con 2 conductores THW No.8 y 1 conductor THW No.10 en tubería PVC de 1".  </t>
  </si>
  <si>
    <t xml:space="preserve">Alimentador eléctrico desde Centro de Cargas de 8 espacios (PC) hasta Panel de Distribución 4/8 espacios (EB) con 1 conductor Triplex No.4 en tuberías IMC y PVC de 1".  </t>
  </si>
  <si>
    <t xml:space="preserve">Alimentador eléctrico desde panel de distribución de 4/8 espacios (eb) hasta Carga de Estación de Bombas con 2 conductores  THW No.8 y 2 conductores  THW No.10 en tubería PVC de 3/4".  </t>
  </si>
  <si>
    <t xml:space="preserve">Alimentador eléctrico desde Panel Board hasta Centro de carga de 4 espacios (PO) en Casa de Operador con 2 conductores THW No.8 y 2 conductores  THW No.10 en tubería PVC de 1".  </t>
  </si>
  <si>
    <t xml:space="preserve">Alimentador eléctrico desde Panel Board hasta Centro de Carga de 16 espacios (PQ) en Casa de Químicos con 2 conductores THW No.4 y 2 conductores THW No.6 en tubería PVC de 11/2".  </t>
  </si>
  <si>
    <t>Main Breaker 125/2 Amp, 240 Volt, Enclosure</t>
  </si>
  <si>
    <t>Panel Board barra de 200 amp. con Main Breaker 125/2 Amp, 240 Volt, 1ø, inc. 2 Breakers 50/2 Amperes, 2 Breakers 30/2 Amperes y 1 Breaker 40/2 Amperes.</t>
  </si>
  <si>
    <t>Registro en bloque de 6" para eléctricos (0.6*0.6*0.6)m</t>
  </si>
  <si>
    <t>Tape plástico 3M Scotch</t>
  </si>
  <si>
    <t>Tape de goma 3M Scotch</t>
  </si>
  <si>
    <t>Transfer Swich manual 150/2 amp. 240 V, 60 Hz. Nema 1R</t>
  </si>
  <si>
    <t>Main Breaker 100/2 Amp, Enclousure</t>
  </si>
  <si>
    <t xml:space="preserve">Alimentador eléctrico desde Transfer Swich hasta Panel del Generador Eléctrico con 2 conductores THW No.2 y 1 conductores THW No.4 en tuberías EMT de 2". </t>
  </si>
  <si>
    <t xml:space="preserve">Block 6"  BNP, ø3/8"@0.60mt  </t>
  </si>
  <si>
    <t>VARIOS:</t>
  </si>
  <si>
    <t>TERMINACIÓN SUPERFICIE:</t>
  </si>
  <si>
    <t>HORMIGON ARMADO FC'= 210 KG/CM2 EN:</t>
  </si>
  <si>
    <t>EQUIPOS :</t>
  </si>
  <si>
    <t>MOVIMIENTO  DE TIERRA</t>
  </si>
  <si>
    <t>HORMIGON ARMADO  FC'= 210 KG/CM2 EN :</t>
  </si>
  <si>
    <t xml:space="preserve">HORMIGON ARMADO FC'= 180 KG/CM2 EN: </t>
  </si>
  <si>
    <t>HORMIGÓN ARMADO  210 KG/CM2 EN:</t>
  </si>
  <si>
    <t xml:space="preserve">HORMIGON ARMADO FC'= 280 KG/CM2 EN: </t>
  </si>
  <si>
    <t>HORMIGON ARMADO   FC'= 280 KG/CM2 EN:</t>
  </si>
  <si>
    <t xml:space="preserve">Registro H= 2.50 m </t>
  </si>
  <si>
    <t xml:space="preserve">Registro  H=3.00 m </t>
  </si>
  <si>
    <t xml:space="preserve">Registro  H=3.50 m </t>
  </si>
  <si>
    <t xml:space="preserve">Registro H=5.50 m </t>
  </si>
  <si>
    <t>REGISTROS DE H.A PREFABRICADOS DE D=1.20 M (SEGÚN DISEÑO)</t>
  </si>
  <si>
    <t>Registro  H=1.50 m</t>
  </si>
  <si>
    <t xml:space="preserve">Encache 0.20 m </t>
  </si>
  <si>
    <t>Registro de Block para Válvula de Compuerta (según diseño)</t>
  </si>
  <si>
    <t>Escalera interior acero Inox. H= 2.70 M</t>
  </si>
  <si>
    <t xml:space="preserve">Impermeabilizante sellador de superficie </t>
  </si>
  <si>
    <t>Tubería PVC ø8" SDR-26 c/J.G.</t>
  </si>
  <si>
    <t xml:space="preserve">Excavación a mano </t>
  </si>
  <si>
    <t>SUMINISTRO TUBERÍA:</t>
  </si>
  <si>
    <t>Tubería PVC ø12" SDR-26 c/J.G.+ 4% perdida</t>
  </si>
  <si>
    <t>Tubería acero ø8" SCH-40 C/protección anticorrosiva</t>
  </si>
  <si>
    <t>Tubería acero ø12" SCH-40 C/protección anticorrosiva</t>
  </si>
  <si>
    <t xml:space="preserve">Tubería PVC ø12" SDR-26 c/J.G. </t>
  </si>
  <si>
    <t>COLOCACIÓN TUBERÍA :</t>
  </si>
  <si>
    <t>Válvula Compuerta ø12" platillada (inc. Niple acople)</t>
  </si>
  <si>
    <t>Válvula Compuerta ø8" platillada (inc. Niple acople)</t>
  </si>
  <si>
    <t xml:space="preserve">Junta Mecánica Tipo Dresser Ø8" </t>
  </si>
  <si>
    <r>
      <t>Registro para V</t>
    </r>
    <r>
      <rPr>
        <sz val="11"/>
        <rFont val="Calibri"/>
        <family val="2"/>
      </rPr>
      <t>á</t>
    </r>
    <r>
      <rPr>
        <sz val="11"/>
        <rFont val="Arial"/>
        <family val="2"/>
      </rPr>
      <t>lvula de Ø8" (según diseño)</t>
    </r>
  </si>
  <si>
    <t>Compuertas Entrada tipo Channel, marcos de más de 2" en tolas de 1/4", materiales standard, fabricación acero inoxidable AISI 316/304 espesor tola ¼". Vástago en HG 1½" (salida) (dimensiones 0.40m x 0.50m)</t>
  </si>
  <si>
    <t>Compuerta Salida tipo Channel, marcos de más de 2" en tolas de 1/4", materiales standard, fabricación acero inoxidable AISI 316/304 espesor tola ¼". Vástago en HG 1½" (entrada ) (dimensiones 1.00m x 0.50m)</t>
  </si>
  <si>
    <t>Muro de bloques 6"  ( 3/8"@0.60 ) B.N.P</t>
  </si>
  <si>
    <t>Muro de bloques 6"  ( 3/8"@0.60 ) S.N.P</t>
  </si>
  <si>
    <r>
      <t>M</t>
    </r>
    <r>
      <rPr>
        <sz val="10"/>
        <rFont val="Calibri"/>
        <family val="2"/>
      </rPr>
      <t>²</t>
    </r>
  </si>
  <si>
    <t>Zapata de Muro ( 0.45 x 0.25 ) - 0.85 qq/m³</t>
  </si>
  <si>
    <t>Viga  de Amarre BNP (0.20 x 0.15 ) - 3.70 qq/m³</t>
  </si>
  <si>
    <t>Viga de Amarre  V1 (0.30 x 0.30 ) - 3.50 qq/m³</t>
  </si>
  <si>
    <t>Viga de Amarre  V2 (0.30 x 0.30 ) - 6.65 qq/m³</t>
  </si>
  <si>
    <t>Losa de Fondo 0.10 c/malla electrosoldada</t>
  </si>
  <si>
    <r>
      <t>M</t>
    </r>
    <r>
      <rPr>
        <sz val="10"/>
        <rFont val="Calibri"/>
        <family val="2"/>
      </rPr>
      <t>³</t>
    </r>
  </si>
  <si>
    <t>Zapata de Columnas (1.20x1.20),e= 0.30-1.17 qq/m³</t>
  </si>
  <si>
    <t>Salida Cenitales</t>
  </si>
  <si>
    <t>Salida Interruptores Doble</t>
  </si>
  <si>
    <t>Salida Tomacorriente 120 V doble</t>
  </si>
  <si>
    <t>MOVIMIENTO DE TIERRRA:</t>
  </si>
  <si>
    <t>Losa de Fondo 0.25 -0.79 qq/m3</t>
  </si>
  <si>
    <t>Viga 0.30 x 0.20 -2.25 qq/m3</t>
  </si>
  <si>
    <t>Losa de Techo 0.12-2.23 qq/m3</t>
  </si>
  <si>
    <t>Fino de Techo</t>
  </si>
  <si>
    <t>MATERIAL DE FILTRO BIOLOGICO:</t>
  </si>
  <si>
    <t xml:space="preserve">Grava de Ø2" @ 3" </t>
  </si>
  <si>
    <t xml:space="preserve">Grava de Ø1" @ 2" </t>
  </si>
  <si>
    <t xml:space="preserve">Cámara de Inspección (0.70 x 0.70)m </t>
  </si>
  <si>
    <t>Pozo Filtrante Ø8" (según detalle)</t>
  </si>
  <si>
    <t>Registro  1.5m x 1.5m. (según detalle)</t>
  </si>
  <si>
    <t>Registro  1.0m x 1.0m. (según detalle)</t>
  </si>
  <si>
    <t>Registro 2.00mx 3.50m (según detalle)</t>
  </si>
  <si>
    <t>Suministro y colocación asiento de arena, H=0.10m</t>
  </si>
  <si>
    <t>Bote de material  c/camión,  distancia de 5Km (incluye esparcimiento en botadero)</t>
  </si>
  <si>
    <t xml:space="preserve">SUMINISTRO E INSTALACIÓN VÁLVULAS Y PIEZAS ESPECIALES: </t>
  </si>
  <si>
    <t>Codo ø12" x 90° acero SCH-40 C/protección anticorrosiva</t>
  </si>
  <si>
    <t>Tee ø12" x ø8" acero SCH-40 C/protección anticorrosiva</t>
  </si>
  <si>
    <t>Yee ø12" x ø12" acero SCH-40 C/protección anticorrosiva</t>
  </si>
  <si>
    <t>Codo ø12" x 45° acero SCH-40 C/protección anticorrosiva</t>
  </si>
  <si>
    <t>Reducción ø12" x ø8" C/protección anticorrosiva</t>
  </si>
  <si>
    <t xml:space="preserve">Junta mecánica tipo Dresser ø12" </t>
  </si>
  <si>
    <t xml:space="preserve">Junta mecánica tipo Dresser ø8" </t>
  </si>
  <si>
    <t>Mano de obra piezas de PVC</t>
  </si>
  <si>
    <t>Registro H=5.00 m</t>
  </si>
  <si>
    <t>Suministro material de mina</t>
  </si>
  <si>
    <t xml:space="preserve">Imprimación Sencilla </t>
  </si>
  <si>
    <t>PAVIMENTO</t>
  </si>
  <si>
    <t>VERJA PERIMETRAL EN BLOQUES DE 6" VIOLINADOS,  L=240.25 M</t>
  </si>
  <si>
    <t xml:space="preserve">Block 6" SNP,  ø3/8"@0.60mt, violinados </t>
  </si>
  <si>
    <t>PARTIDA</t>
  </si>
  <si>
    <t>DESCRIPICIÓN</t>
  </si>
  <si>
    <t>MONTO (RD$)</t>
  </si>
  <si>
    <t>EXPLANACIÓN CON EQUIPO VOL = 4,880.00 M³</t>
  </si>
  <si>
    <t>4.3.1</t>
  </si>
  <si>
    <t>4.3.2</t>
  </si>
  <si>
    <t>4.3.3</t>
  </si>
  <si>
    <t>4.3.4</t>
  </si>
  <si>
    <t>5.3.1</t>
  </si>
  <si>
    <t>5.3.2</t>
  </si>
  <si>
    <t>5.3.3</t>
  </si>
  <si>
    <t>5.3.4</t>
  </si>
  <si>
    <t>Muros 0.20m soportes apoyo de Losa Prefabricada -2.0qq/m3</t>
  </si>
  <si>
    <t>Muros 0.45m soportes apoyo de Losa Prefabricada -1.35qq/m3</t>
  </si>
  <si>
    <t>Muros 0.30m Contra-Fuerte -0.51 qq/m3</t>
  </si>
  <si>
    <t>Muros 0.20m  Canal de Entrada  1.44 qq/m3</t>
  </si>
  <si>
    <t>Muros 0.20m  Canal Entrada Sedimentadores- 2.59 qq/m3</t>
  </si>
  <si>
    <t>Muros 0.20m Registros -4.24 qq/m3</t>
  </si>
  <si>
    <t>Muros 0.20m Apoyo de Losa Prefabricada -2.11 qq/m3</t>
  </si>
  <si>
    <t>Muros 0.15m Vertedor -2.25 qq/m3</t>
  </si>
  <si>
    <t>Losa de Fondo 0.35m -1.37 qq/m3</t>
  </si>
  <si>
    <t>Losa de Fondo 0.20m -3.73 qq/m3</t>
  </si>
  <si>
    <t>Losa de Fondo Registro 0.20m -1.32 qq/m3</t>
  </si>
  <si>
    <t>Losa de Fondo Registro de Entrada 0.20m -1.16 qq/m3</t>
  </si>
  <si>
    <t>Losa de Fondo 0.15m -1.55 qq/m3</t>
  </si>
  <si>
    <t>Losa de Fondo 0.10m -1.70 qq/m3</t>
  </si>
  <si>
    <t>Zapata de muro Canal de Entrada (0.90x0.35)m -0.87 qq/m3</t>
  </si>
  <si>
    <t>Zapata de muro Contra Fuerte (0.90x0.35)m -1.37 qq/m3</t>
  </si>
  <si>
    <t>Losa de techo 0.15m Pasarela -1.27 qq/m3</t>
  </si>
  <si>
    <t>Losa de techo 0.15m Registro -1.89 qq/m3</t>
  </si>
  <si>
    <t>HORMIGÓN ARMADO F`C=210 KG/CM2 EN:</t>
  </si>
  <si>
    <t>HORMIGÓN ARMADO F`C=280 KG/CM2, INDUSTRIAL EN:</t>
  </si>
  <si>
    <t>SEDIMENTACIÓN DIRECTA</t>
  </si>
  <si>
    <t xml:space="preserve">MOVIMIENTO DE TIERRA  PARATUBERÍAS ENTRADA AGUA CRUDA </t>
  </si>
  <si>
    <t>9.2.6</t>
  </si>
  <si>
    <t>Hormigón ciclópeo en tolvas  de los Sedimentadores</t>
  </si>
  <si>
    <t>10.3.1</t>
  </si>
  <si>
    <t>10.3.2</t>
  </si>
  <si>
    <t>10.3.3</t>
  </si>
  <si>
    <t>10.3.4</t>
  </si>
  <si>
    <t>10.3.5</t>
  </si>
  <si>
    <t>10.3.6</t>
  </si>
  <si>
    <t>10.3.7</t>
  </si>
  <si>
    <t>10.3.8</t>
  </si>
  <si>
    <t>10.3.9</t>
  </si>
  <si>
    <t>10.3.10</t>
  </si>
  <si>
    <t>Paneles Lamelares dimensiones PVC 8' x 3' x 1', espesor lámina 1 mm y tubo hexagonal 5-10 mm. Colocación con angulares de tola acero inoxidable de 2"x6"x⅜" para soporte módulos  con tornillos HILTI separados a 0,50 m  de centro a centro cumplimiento normas NSF-361.</t>
  </si>
  <si>
    <t>11.3.2</t>
  </si>
  <si>
    <t>11.3.3</t>
  </si>
  <si>
    <t>11.3.4</t>
  </si>
  <si>
    <t xml:space="preserve">Suministro de material de relleno  </t>
  </si>
  <si>
    <t>Bote de material con camión (dist.=5.0km) incluye esparcimiento en botadero</t>
  </si>
  <si>
    <t>INSTALACIÓN DE AGUA POTABLE</t>
  </si>
  <si>
    <r>
      <t xml:space="preserve">MOVIMIENTO DE TIERRA </t>
    </r>
    <r>
      <rPr>
        <sz val="10"/>
        <rFont val="Arial"/>
        <family val="2"/>
      </rPr>
      <t xml:space="preserve"> (incl. Excavación, relleno compactado, asiento de arena y bote de material)</t>
    </r>
  </si>
  <si>
    <t>10.5.1</t>
  </si>
  <si>
    <t>Tee ø1" PVC SCH-40</t>
  </si>
  <si>
    <t>Tee ø2" PVC SCH-40</t>
  </si>
  <si>
    <t>Mano de obra plomero  para piezas</t>
  </si>
  <si>
    <t>Cámara de Inspección</t>
  </si>
  <si>
    <t>15.3.1</t>
  </si>
  <si>
    <t>15.5.1</t>
  </si>
  <si>
    <t>15.5.2</t>
  </si>
  <si>
    <t>15.5.3</t>
  </si>
  <si>
    <t>15.5.4</t>
  </si>
  <si>
    <t>15.5.5</t>
  </si>
  <si>
    <t>15.6.1</t>
  </si>
  <si>
    <t>15.6.2</t>
  </si>
  <si>
    <t>15.6.3</t>
  </si>
  <si>
    <t>15.6.3.1</t>
  </si>
  <si>
    <t>15.6.3.2</t>
  </si>
  <si>
    <t>15.6.4</t>
  </si>
  <si>
    <t>15.6.4.1</t>
  </si>
  <si>
    <t>15.6.4.2</t>
  </si>
  <si>
    <t>15.6.5</t>
  </si>
  <si>
    <t>15.6.5.1</t>
  </si>
  <si>
    <t>15.6.5.2</t>
  </si>
  <si>
    <t>15.6.5.3</t>
  </si>
  <si>
    <t>15.6.5.4</t>
  </si>
  <si>
    <t>15.6.5.5</t>
  </si>
  <si>
    <t>15.6.5.6</t>
  </si>
  <si>
    <t>15.6.5.7</t>
  </si>
  <si>
    <t xml:space="preserve">Relleno de reposición compactado  a mano </t>
  </si>
  <si>
    <t>Desagüe de techo  Ø3" PVC SDR-26</t>
  </si>
  <si>
    <t>INSTALACIÓN ELÉCTRICA:</t>
  </si>
  <si>
    <t>Entrada Eléctrica ( Panel de Distribución de 2/4" circuitos )</t>
  </si>
  <si>
    <t xml:space="preserve">Mano de obra </t>
  </si>
  <si>
    <t>Dado de apoyo (0.15 x 0.30 x 0.40)m-2.67qq/m3</t>
  </si>
  <si>
    <t>Losa de techo 0.10m-1.71qq/m3</t>
  </si>
  <si>
    <t xml:space="preserve">Zapata de muros- 0.50 qq/m3 </t>
  </si>
  <si>
    <t>Dintel (0.15 x 0.20)m -5.2 qq/m3</t>
  </si>
  <si>
    <t>Corte de Material con equipo (Inc. Capa vegetal)</t>
  </si>
  <si>
    <t xml:space="preserve">SUMINISTRO AGUA POTABLE </t>
  </si>
  <si>
    <t>14.3.1</t>
  </si>
  <si>
    <t>14.4.1</t>
  </si>
  <si>
    <t>14.5.1</t>
  </si>
  <si>
    <t>14.5.2</t>
  </si>
  <si>
    <t>14.5.3</t>
  </si>
  <si>
    <t>14.5.4</t>
  </si>
  <si>
    <t>14.6.1</t>
  </si>
  <si>
    <t>14.6.2</t>
  </si>
  <si>
    <t>14.6.3</t>
  </si>
  <si>
    <t>14.6.3.1</t>
  </si>
  <si>
    <t>14.6.3.2</t>
  </si>
  <si>
    <t>14.6.3.4</t>
  </si>
  <si>
    <t>14.6.4</t>
  </si>
  <si>
    <t>14.6.4.1</t>
  </si>
  <si>
    <t>14.6.4.2</t>
  </si>
  <si>
    <t>14.6.4.4</t>
  </si>
  <si>
    <t>14.6.5</t>
  </si>
  <si>
    <t>14.6.5.1</t>
  </si>
  <si>
    <t>14.6.5.2</t>
  </si>
  <si>
    <t xml:space="preserve">Codo ø1.1/2" x 90° PVC </t>
  </si>
  <si>
    <t xml:space="preserve">Codo ø2" x 90° PVC </t>
  </si>
  <si>
    <t xml:space="preserve">Codo ø4" x 90° PVC </t>
  </si>
  <si>
    <t xml:space="preserve">Yee ø4" x ø2" PVC </t>
  </si>
  <si>
    <t xml:space="preserve">Mano de obra colocación de Piezas </t>
  </si>
  <si>
    <t>14.6.5.3</t>
  </si>
  <si>
    <t>14.6.5.4</t>
  </si>
  <si>
    <t>14.6.5.5</t>
  </si>
  <si>
    <t>15.3.2</t>
  </si>
  <si>
    <t>15.3.3</t>
  </si>
  <si>
    <t>15.4.1</t>
  </si>
  <si>
    <t>Desagüe de techo  de Ø3" PVC SDR-26</t>
  </si>
  <si>
    <t>1.2.1</t>
  </si>
  <si>
    <t>1.2.2</t>
  </si>
  <si>
    <t>1.2.3</t>
  </si>
  <si>
    <t>1.3.1</t>
  </si>
  <si>
    <t>1.3.2</t>
  </si>
  <si>
    <t>1.3.3</t>
  </si>
  <si>
    <t>1.3.4</t>
  </si>
  <si>
    <t>Replanteo y control topográfico en general (incluye Unidad de Tratamiento de Lodos y Depósito Regulador)</t>
  </si>
  <si>
    <t>Relleno de Reposición Compactado</t>
  </si>
  <si>
    <t>1.1.1</t>
  </si>
  <si>
    <t>1.1.2</t>
  </si>
  <si>
    <t>1.1.3</t>
  </si>
  <si>
    <t>1.2.4</t>
  </si>
  <si>
    <t>2.2.1</t>
  </si>
  <si>
    <t>2.2.2</t>
  </si>
  <si>
    <t>2.2.3</t>
  </si>
  <si>
    <t>2.2.4</t>
  </si>
  <si>
    <t>2.2.5</t>
  </si>
  <si>
    <t>2.3.1</t>
  </si>
  <si>
    <t>2.3.2</t>
  </si>
  <si>
    <t>2.3.3</t>
  </si>
  <si>
    <t>2.3.4</t>
  </si>
  <si>
    <t>Tubería PVC ø8" SDR-26 c/J.G. +4% perdida</t>
  </si>
  <si>
    <t>ÁREA EXTERIOR</t>
  </si>
  <si>
    <t>SUBTOTAL IX</t>
  </si>
  <si>
    <t>ELECTRIFICACIÓN</t>
  </si>
  <si>
    <t>Hoyo para Viento</t>
  </si>
  <si>
    <t>Estructura HA-100B</t>
  </si>
  <si>
    <t>SUB-TOTAL X</t>
  </si>
  <si>
    <t>XI</t>
  </si>
  <si>
    <t>SUB-TOTAL XI</t>
  </si>
  <si>
    <t>XII</t>
  </si>
  <si>
    <t>SUB-TOTAL XII</t>
  </si>
  <si>
    <t>XIII</t>
  </si>
  <si>
    <t>SUBTOTAL XIII</t>
  </si>
  <si>
    <t>ITBIS( Ley 07-2007)</t>
  </si>
  <si>
    <t>Completivo de Transporte Material Filtrante</t>
  </si>
  <si>
    <t>Campamento, (inc. Alquiler de solar o casa  y caseta para materiales)</t>
  </si>
  <si>
    <t>Computadora Dell XPS 8930 W10PRO, INTEL I7-8700 (3.2GHZ/12MB CACHÉ/6 CORE) 64GB DDR4-2666GHZ Wireless-N, DVD+/-RW, 2TB SATA 7200 RPM+256GB SSD PCE M.2, USB Keyboarb &amp; Mouse NVI, DIA GTX1060 6GB Graphics, Windows 10 PRO (incluye Monitor y UPS)</t>
  </si>
  <si>
    <t>Tapas selladas H.S. (0.70x0.70)m</t>
  </si>
  <si>
    <t>ELECTRIFICACIÓN PRIMARIA :</t>
  </si>
  <si>
    <t>ELECTRIFICACIÓN SECUNDARIA :</t>
  </si>
  <si>
    <t>DESAGÜE DE  LODOS, DRENAJE PLUVIAL Y DESAGUE EXTERIOR DE LA PLANTA</t>
  </si>
  <si>
    <t>TOTAL GENERAL (RD$)</t>
  </si>
  <si>
    <t>TOTAL A CONTRATAR (RD$)</t>
  </si>
  <si>
    <t>Valla anunciando Obra,  de 16'x 10', impresión Full Color, conteniendo logo de INAPA, nombre del proyecto y contratista. Estructura en tubos galvanizados 1 1/2 x 1 1/2 y soportes en tubo cuadrado 4"x4"</t>
  </si>
  <si>
    <t xml:space="preserve">Puesta en marcha y Operación de la Planta (incluye el costo del personal para la puesta en marcha y la elaboración del Manual de Operación de la Planta)  </t>
  </si>
  <si>
    <t xml:space="preserve">Limpieza final y continua </t>
  </si>
  <si>
    <t>Columnas de amarre (0.20 X 0.20)m - 4.36 QQ/M3, F᾽c=210 KG/CM²</t>
  </si>
  <si>
    <t>Viga de amarre  BNP (0.15 X 0.20)m -3.22 QQ/M3, F᾽c=210 KG/CM²</t>
  </si>
  <si>
    <t>Viga de amarre SNP (0.20 X 0.20)m - 2.45 QQ/M3, F᾽c=210 KG/CM²</t>
  </si>
  <si>
    <t>Pie</t>
  </si>
  <si>
    <r>
      <rPr>
        <sz val="11"/>
        <rFont val="Arial"/>
        <family val="2"/>
      </rPr>
      <t xml:space="preserve">Zona </t>
    </r>
    <r>
      <rPr>
        <b/>
        <sz val="11"/>
        <rFont val="Arial"/>
        <family val="2"/>
      </rPr>
      <t>: II</t>
    </r>
  </si>
  <si>
    <r>
      <t xml:space="preserve">Ubicación: </t>
    </r>
    <r>
      <rPr>
        <b/>
        <sz val="11"/>
        <rFont val="Arial"/>
        <family val="2"/>
      </rPr>
      <t>Provincia Azua</t>
    </r>
  </si>
  <si>
    <r>
      <t xml:space="preserve">Presupuesto: </t>
    </r>
    <r>
      <rPr>
        <b/>
        <sz val="11"/>
        <rFont val="Arial"/>
        <family val="2"/>
      </rPr>
      <t>No. 118/21  d/f 01/03/2021</t>
    </r>
  </si>
  <si>
    <t>M³/km</t>
  </si>
  <si>
    <t xml:space="preserve"> Embellecimiento con gravilla </t>
  </si>
  <si>
    <t>Transporte de Asfalto, distancia aproximada de 75 km</t>
  </si>
  <si>
    <t xml:space="preserve">Zapata de Muro - esp= 0.30 m - 0.75 qq/m3 </t>
  </si>
  <si>
    <t xml:space="preserve">Zapata de Columna Z1- esp= 0.30 m  (1.00 x 1.00) - 1.25 qq/m3 </t>
  </si>
  <si>
    <t xml:space="preserve">Zapata de Escalera-1.12 qq/m3 </t>
  </si>
  <si>
    <t>Columna CA (0.20 x 0.20) - 4.19 qq/m3</t>
  </si>
  <si>
    <t>Columna C1 (0.30 x 0.30) - 4.30 qq/m3</t>
  </si>
  <si>
    <t>Columna C2 (0.35 x 0.20) - 4.52 qq/m3</t>
  </si>
  <si>
    <t>Columna C3 (0.30 x 0.30) - 5.73 qq/m3</t>
  </si>
  <si>
    <t>Viga B.N.P (0.20 x 0.20)m - 3.90 qq/m3</t>
  </si>
  <si>
    <t>Viga V1 (0.25 x 0.50)m - 4.32 qq/m3</t>
  </si>
  <si>
    <t>Viga V2 (0.25 x 0.50)m - 2.88 qq/m3</t>
  </si>
  <si>
    <t>Viga de Amarre (0.20 x 0.20)m - 3.28 qq/m3</t>
  </si>
  <si>
    <t>Dintel 0.25 x 0.20  3.70 qq/m3</t>
  </si>
  <si>
    <t>Losa de fondo en Tina esp.= 0.20m - 1.76 qq/m3</t>
  </si>
  <si>
    <t>Pasarela Tina esp.= 0.15 m - 1.04 qq/m3</t>
  </si>
  <si>
    <t>Muros en Tina de 0.20 1.41 qq/m3</t>
  </si>
  <si>
    <t>Muros Tina de 0.15 1.81 qq/m3</t>
  </si>
  <si>
    <t>Losa de Entrepiso  esp.=0.12 m - 1.70 qq/m3</t>
  </si>
  <si>
    <t>Losa de Techo  esp.=0.12 m - 1.70 qq/m3</t>
  </si>
  <si>
    <t>Losa de Techo Caja de Escalera esp.=0.12 m - 1.16 qq/m3</t>
  </si>
  <si>
    <t>Losa de Piso c/malla electrosoldada</t>
  </si>
  <si>
    <t>Rampa de Escalera (incluye descanso) y escalones 0.15 - 3.79 qq/m3</t>
  </si>
  <si>
    <t xml:space="preserve">Muros bloques de 8" BNP @ 0.60 </t>
  </si>
  <si>
    <t xml:space="preserve">Muros bloques de 8" SNP @ 0.60 </t>
  </si>
  <si>
    <t xml:space="preserve">Muros bloques de 6" SNP @ 0.60 </t>
  </si>
  <si>
    <t>Suministro e instalación Bombas Dosificadoras de Sulfato  tipo Diafragma, con rango de aplicación 0-400 LT/H, carcasa en fibra reforzada con Polipropileno, cuerpo Bomba en PVDF diafragma en PTFE, potencia motor 1/2 HP, juntas de FPM/FKM</t>
  </si>
  <si>
    <t xml:space="preserve">Desagüe en PVC para Tina Sulfato </t>
  </si>
  <si>
    <t>Tola de 4" x 8" x 3/16"</t>
  </si>
  <si>
    <t>Cortes de tola</t>
  </si>
  <si>
    <t>Tubo de 2" H.G espesor grueso</t>
  </si>
  <si>
    <t>Tubo de 2 1/2" H.G. espesor grueso</t>
  </si>
  <si>
    <t>Barra cuadradas 3/4" x 3/4"</t>
  </si>
  <si>
    <t>Barra cuadradas 1/2" x 1/2"</t>
  </si>
  <si>
    <t>Angulares  2" x 2" x 1/4"</t>
  </si>
  <si>
    <t>Angulares 1 1/2" x 1 1/2" x 1/4"</t>
  </si>
  <si>
    <t>Planchas de malla desplegable 3/4"</t>
  </si>
  <si>
    <t>Cable de Acero capacidad 18,960 lbs</t>
  </si>
  <si>
    <t>Grapas p/ cable de 1/2"</t>
  </si>
  <si>
    <t>Grillete de 2 Ton.</t>
  </si>
  <si>
    <t>Guardacabo p/ cable de 1/2"</t>
  </si>
  <si>
    <r>
      <t>Planchuelas de 3" x 3/8" x 20</t>
    </r>
    <r>
      <rPr>
        <sz val="11"/>
        <rFont val="Calibri"/>
        <family val="2"/>
      </rPr>
      <t>'</t>
    </r>
  </si>
  <si>
    <t>Perfil " I ", con ojal de sujeción</t>
  </si>
  <si>
    <t>Spring industrial de 4" p/ soporte</t>
  </si>
  <si>
    <t>Mano obra Estructura Metálica y soldadura</t>
  </si>
  <si>
    <t>Suministro y colocación de Diferencial capacidad 1 Ton</t>
  </si>
  <si>
    <t xml:space="preserve">Salidas Cenitales </t>
  </si>
  <si>
    <t>Salida Tomacorriente Doble 120V</t>
  </si>
  <si>
    <t>Salida Interruptor Sencillo</t>
  </si>
  <si>
    <t>Salida Interruptor Triple</t>
  </si>
  <si>
    <t>Salida Panel de Distribución. de 6/12 espacio  c/Breakers</t>
  </si>
  <si>
    <t xml:space="preserve">Colocación carpeta  Asfáltica 2" </t>
  </si>
  <si>
    <t>Canaleta encachada en 10cm</t>
  </si>
  <si>
    <t xml:space="preserve">Ornamentación :Palma Enana (10 Ud), Arbusto con flores(10Ud), Flor de Jamaica (10 Ud) </t>
  </si>
  <si>
    <t>Estudios (Sociales, Ambientales, Geotécnico, Topográfico, de Calidad, etc.)</t>
  </si>
  <si>
    <t>Válvula  Compuerta de Ø8" con vástago fijo, cuadrante, cuerpo y tapa en Hierro Fundido revestido de Epoxi para Desagüe en Floculador  con tuercas de maniobra en latón, cuerpo en Hierro Fundido (ASTM A126), especificaciones AWWA E504, fabricación americana o israelí</t>
  </si>
  <si>
    <t>De 12" Desagüe Sedimentador</t>
  </si>
  <si>
    <t>De 6" Desagüe Filtros</t>
  </si>
  <si>
    <t>De 12" Desagüe Retrolavado</t>
  </si>
  <si>
    <t>Suape</t>
  </si>
  <si>
    <t>Suministro y compactación material para relleno en interior de caseta</t>
  </si>
  <si>
    <t>Columnas C1 ( 0.30 x 0.30 ) (6u)  - 4.16 qq/m³</t>
  </si>
  <si>
    <t>Losa de Techo  e=0.12 - 2.12 qq/m³</t>
  </si>
  <si>
    <t>Dosificador de Cloro aplicación por solución con rango  de 0-150 Lb. /día (inc. Inyector de Cloro y Regulador de Flujo y Cabezal)</t>
  </si>
  <si>
    <t>Cilindro de Cloro 2,000 Lb, (lleno)</t>
  </si>
  <si>
    <t>Válvula de Paso 2"</t>
  </si>
  <si>
    <t xml:space="preserve">Alimentador eléctrico desde Main Breaker hasta Transfer Stich con 2 conductores THW No.2, 1 conductor THW No.4 y 1 conductor No.2 a 7 hilos trenzados en tubería PVC de 2" con accesorios. </t>
  </si>
  <si>
    <t>Charrancha y replanteo</t>
  </si>
  <si>
    <t>Charrancha y Replanteo</t>
  </si>
  <si>
    <t>Construcción Planta Potabilizadora Acueducto Villarpando 40 L/S</t>
  </si>
  <si>
    <t>Visitas</t>
  </si>
  <si>
    <t>Tapa  1.00 m x 1.00 m  Aluminio</t>
  </si>
  <si>
    <t xml:space="preserve">Turbidimetro Portable 2100Q RANT 0.1000 NTY </t>
  </si>
  <si>
    <t>Puerta doble de tola (2.70 x 2.00)m espesor =1/4"</t>
  </si>
  <si>
    <t>Relleno compactado de reposición c/compactador mecánico en capa de 0.30 m</t>
  </si>
  <si>
    <t>Meses</t>
  </si>
  <si>
    <t>Seguros, Pólizas y Fianzas</t>
  </si>
  <si>
    <t>Nº</t>
  </si>
  <si>
    <t xml:space="preserve">Ubicación: </t>
  </si>
  <si>
    <t>PROVINCIA AZUA</t>
  </si>
  <si>
    <t>SUB-TOTAL FASE B</t>
  </si>
  <si>
    <t>SUB-TOTAL FASE A</t>
  </si>
  <si>
    <t>VALOR (RD$)</t>
  </si>
  <si>
    <t>Gastos de Transporte</t>
  </si>
  <si>
    <t>Supervisión de la Obra</t>
  </si>
  <si>
    <t>Medida de Compensación Ambiental</t>
  </si>
  <si>
    <t>CODIA</t>
  </si>
  <si>
    <t>TOTAL GENERAL EN RD$</t>
  </si>
  <si>
    <t>LÍINEA DE ADUCCIÓN DESDE OBRA DE TOMA HASTA PLANTA DE TRATAMIENTO DE AGUA POTABLE</t>
  </si>
  <si>
    <t>Suministro y colocación asiento de arena, e=0.10 m</t>
  </si>
  <si>
    <t>Relleno compactado con compactador mecánico en capas de 0.20 m</t>
  </si>
  <si>
    <t>SUMINISTRO DE TUBERÍAS:</t>
  </si>
  <si>
    <t>De Ø10" Acero sin costura SCH-40</t>
  </si>
  <si>
    <t xml:space="preserve"> COLOCACIÓN  DE TUBERÍAS:</t>
  </si>
  <si>
    <t>De Ø8" PVC (SDR-21) Con Junta de Goma</t>
  </si>
  <si>
    <t xml:space="preserve">SUMINISTRO Y COLOCACIÓN DE PIEZAS ESPECIALES PVC, Y ACERO C/PROTECCIÓN ANTICORROSIVA </t>
  </si>
  <si>
    <t>Codo Ø10" x 15º Acero SCH-40</t>
  </si>
  <si>
    <t>Codo Ø10" x 20º  Acero SCH-40</t>
  </si>
  <si>
    <t>Codo Ø10" x 25º Acero SCH-40</t>
  </si>
  <si>
    <t>Codo Ø10" x 30º Acero SCH-40</t>
  </si>
  <si>
    <t>Codo Ø10" x 35º Acero SCH-40</t>
  </si>
  <si>
    <t>Codo Ø10" x 45º Acero SCH-40</t>
  </si>
  <si>
    <t>Codo Ø8" x 15º Acero SCH-40</t>
  </si>
  <si>
    <t>Codo Ø8" x 20º Acero SCH-40</t>
  </si>
  <si>
    <t>Codo Ø8" x 25º Acero SCH-40</t>
  </si>
  <si>
    <t>Codo Ø8" x 30º Acero SCH-40</t>
  </si>
  <si>
    <t>Codo Ø8" x 35º Acero SCH-40</t>
  </si>
  <si>
    <t>Codo Ø8" x 40º Acero SCH-40</t>
  </si>
  <si>
    <t>Codo Ø8" x 45º Acero SCH-40</t>
  </si>
  <si>
    <t>Codo Ø8" x 55º Acero SCH-40</t>
  </si>
  <si>
    <t>Codo Ø8" x 60º Acero SCH-40</t>
  </si>
  <si>
    <t>Reducción de Ø10" x 8" Acero SCH-40</t>
  </si>
  <si>
    <t>Junta Mecánica Tipo Dresser Ø8" Acero SCH-40 150 PSI</t>
  </si>
  <si>
    <t>Anclaje de H. A. F'c = 210 kg/cm² p/piezas (Según detalle de diseño)</t>
  </si>
  <si>
    <t xml:space="preserve">SUMINISTRO Y COLOCACIÓN DE VÁLVULAS </t>
  </si>
  <si>
    <t>Válvula de Aire Combinada de Ø 2" H.F. de 150 PSI, Platillada, Completa (Incluye cuerpo de válvula, niple, tornillos, tuercas, juntas de goma y junta dresser), en tubería de Ø10".</t>
  </si>
  <si>
    <t>Válvula de Aire Combinada de Ø 2" H.F. de 250 PSI, Platillada, Completa (Incluye cuerpo de válvula, niple, tornillos, tuercas, juntas de goma y junta dresser), en tubería de Ø10".</t>
  </si>
  <si>
    <t>Caja telescópica para Válvula de Compuerta (Según detalle de diseño)</t>
  </si>
  <si>
    <t>Registro para Válvula de Aire Simple y Aire Combinada (Según detalle de diseño)</t>
  </si>
  <si>
    <t>PRUEBA HIDROSTÁTICA</t>
  </si>
  <si>
    <r>
      <rPr>
        <b/>
        <sz val="10"/>
        <rFont val="Arial"/>
        <family val="2"/>
      </rPr>
      <t>LIMPIEZA CONTINUA Y  FINAL</t>
    </r>
    <r>
      <rPr>
        <sz val="10"/>
        <rFont val="Arial"/>
        <family val="2"/>
      </rPr>
      <t xml:space="preserve"> (Incluye obreros, camión y herramientas menores) </t>
    </r>
  </si>
  <si>
    <t xml:space="preserve">DIQUE CON DESARENADOR </t>
  </si>
  <si>
    <t>Hr</t>
  </si>
  <si>
    <t xml:space="preserve">Muro de sacos  </t>
  </si>
  <si>
    <t>Uso bomba achique de 6" (HP 18 )</t>
  </si>
  <si>
    <t>Relleno compactado c/ compactador mecánico en capa de 0.20 m</t>
  </si>
  <si>
    <t xml:space="preserve">TERMINACIÓN DE SUPERFICIE </t>
  </si>
  <si>
    <t xml:space="preserve">Fino de techo </t>
  </si>
  <si>
    <t>Canaleta encachada de  e=0.20 m</t>
  </si>
  <si>
    <t>SUMINISTRO E INSTALACIONES DE:</t>
  </si>
  <si>
    <r>
      <t>M</t>
    </r>
    <r>
      <rPr>
        <vertAlign val="superscript"/>
        <sz val="10"/>
        <color rgb="FF000000"/>
        <rFont val="Arial"/>
        <family val="2"/>
      </rPr>
      <t>3</t>
    </r>
    <r>
      <rPr>
        <sz val="10"/>
        <rFont val="Arial"/>
        <family val="2"/>
      </rPr>
      <t>N</t>
    </r>
  </si>
  <si>
    <r>
      <t>M</t>
    </r>
    <r>
      <rPr>
        <vertAlign val="superscript"/>
        <sz val="10"/>
        <color rgb="FF000000"/>
        <rFont val="Arial"/>
        <family val="2"/>
      </rPr>
      <t>3</t>
    </r>
    <r>
      <rPr>
        <sz val="10"/>
        <rFont val="Arial"/>
        <family val="2"/>
      </rPr>
      <t>C</t>
    </r>
  </si>
  <si>
    <r>
      <t>M</t>
    </r>
    <r>
      <rPr>
        <vertAlign val="superscript"/>
        <sz val="10"/>
        <color rgb="FF000000"/>
        <rFont val="Arial"/>
        <family val="2"/>
      </rPr>
      <t>3</t>
    </r>
    <r>
      <rPr>
        <sz val="10"/>
        <rFont val="Arial"/>
        <family val="2"/>
      </rPr>
      <t>E</t>
    </r>
  </si>
  <si>
    <t xml:space="preserve">De Ø8" PVC (SDR-21) Con Junta de Goma+3% pérdida  </t>
  </si>
  <si>
    <t>DESVIO DE RÍO Y MANEJO DE AGUA</t>
  </si>
  <si>
    <t>Control topográfico y replanteo</t>
  </si>
  <si>
    <t>Delantal 1.31 qq/m3</t>
  </si>
  <si>
    <t>ENCACHE</t>
  </si>
  <si>
    <t xml:space="preserve">Muro de encache en talud e=0.30m </t>
  </si>
  <si>
    <t>Encache de piedra</t>
  </si>
  <si>
    <t xml:space="preserve">Conformación de cunetas </t>
  </si>
  <si>
    <t xml:space="preserve">Zapata de muro - 1.14 qq/m3 </t>
  </si>
  <si>
    <t>Pañete exterior e interior</t>
  </si>
  <si>
    <t>Colchón de Gaviones</t>
  </si>
  <si>
    <t>Viga V1 - 3.72 qq/m3</t>
  </si>
  <si>
    <t>Bote de material con camón (d= 5 km) incluye esparcimiento en botadero</t>
  </si>
  <si>
    <r>
      <t>Cimacio y Cuenco Amortiguador -0.73 qq/m</t>
    </r>
    <r>
      <rPr>
        <vertAlign val="superscript"/>
        <sz val="10"/>
        <rFont val="Arial"/>
        <family val="2"/>
      </rPr>
      <t>3</t>
    </r>
  </si>
  <si>
    <r>
      <t>Muro lateral derecho - 1.39 qq/m</t>
    </r>
    <r>
      <rPr>
        <vertAlign val="superscript"/>
        <sz val="10"/>
        <rFont val="Arial"/>
        <family val="2"/>
      </rPr>
      <t>3</t>
    </r>
  </si>
  <si>
    <r>
      <t>Losa de entrepiso 0.20 m- 3.39 qq/m</t>
    </r>
    <r>
      <rPr>
        <vertAlign val="superscript"/>
        <sz val="10"/>
        <rFont val="Arial"/>
        <family val="2"/>
      </rPr>
      <t>3</t>
    </r>
    <r>
      <rPr>
        <sz val="10"/>
        <rFont val="Arial"/>
        <family val="2"/>
      </rPr>
      <t xml:space="preserve"> </t>
    </r>
  </si>
  <si>
    <r>
      <t>Pantalla (0.45 x 0.20) m - 4.17 qq/m</t>
    </r>
    <r>
      <rPr>
        <vertAlign val="superscript"/>
        <sz val="10"/>
        <rFont val="Arial"/>
        <family val="2"/>
      </rPr>
      <t>3</t>
    </r>
  </si>
  <si>
    <r>
      <t>Losa de techo 0.13 m-  1.97 qq/m</t>
    </r>
    <r>
      <rPr>
        <vertAlign val="superscript"/>
        <sz val="10"/>
        <rFont val="Arial"/>
        <family val="2"/>
      </rPr>
      <t>3</t>
    </r>
    <r>
      <rPr>
        <sz val="10"/>
        <rFont val="Arial"/>
        <family val="2"/>
      </rPr>
      <t xml:space="preserve"> </t>
    </r>
  </si>
  <si>
    <r>
      <t>M</t>
    </r>
    <r>
      <rPr>
        <vertAlign val="superscript"/>
        <sz val="10"/>
        <color rgb="FF000000"/>
        <rFont val="Arial"/>
        <family val="2"/>
      </rPr>
      <t>2</t>
    </r>
  </si>
  <si>
    <t>Válvula de Aire Combinada de Ø 2" H.F. de 300 PSI, Platillada, Completa (Incluye cuerpo de válvula, niple, tornillos, tuercas, juntas de goma y junta Dresser), en tubería de Ø10".</t>
  </si>
  <si>
    <t>Válvula de Aire Combinada de Ø 2" H.F. de 350 PSI, Platillada, Completa (Incluye cuerpo de válvula, niple, tornillos, tuercas, juntas de goma y junta Dresser), en tubería de Ø10".</t>
  </si>
  <si>
    <t>Válvula de Aire Combinada de Ø 1 1/2" H.F. de 150 PSI, Platillada, Completa (Incluye cuerpo de válvula, niple, tornillos, tuercas, juntas de goma y junta Dresser), en tubería de Ø8".</t>
  </si>
  <si>
    <t>Válvula de Aire Simple de Ø1" H.F. de 150 PSI, Platillada, Completa (Incluye cuerpo de válvula, niple, tornillos, tuercas, juntas de goma y junta Dresser), en tubería de Ø8".</t>
  </si>
  <si>
    <t>Válvula de Desagüe de Ø4" H.F. de 150 PSI, Platillada, Completa (Incluye cuerpo de válvula, niple, piezas, tornillos, tuercas, juntas de goma y junta Dresser), en tubería de Ø10".</t>
  </si>
  <si>
    <t>Válvula de Desagüe de Ø4" H.F. de 250 PSI, Platillada, Completa (Incluye cuerpo de válvula, niple, piezas, tornillos, tuercas, juntas de goma y junta Dresser), en tubería de Ø10".</t>
  </si>
  <si>
    <t>Válvula de Desagüe de Ø4" H.F. de 300 PSI, Platillada, Completa (Incluye cuerpo de válvula, niple, piezas, tornillos, tuercas, juntas de goma y junta Dresser), en tubería de Ø10".</t>
  </si>
  <si>
    <t>Válvula de Desagüe de Ø4" H.F. de 350 PSI, Platillada, Completa (Incluye cuerpo de válvula, niple, piezas, tornillos, tuercas, juntas de goma y junta Dresser), en tubería de Ø10".</t>
  </si>
  <si>
    <t>Válvula de Desagüe de Ø4" H.F. de 450 PSI, Platillada, Completa (Incluye cuerpo de válvula, niple, piezas, tornillos, tuercas, juntas de goma y junta Dresser), en tubería de Ø10".</t>
  </si>
  <si>
    <t>Válvula de Desagüe de Ø3" H.F. de 150 PSI, Platillada, Completa (Incluye cuerpo de válvula, niple, piezas, tornillos, tuercas, juntas de goma y junta Dresser), en tubería de Ø8".</t>
  </si>
  <si>
    <t>Rejilla de acero inoxidable en cimacio (3.00 x 0.60) m</t>
  </si>
  <si>
    <r>
      <t>Hormigón de limpieza  F</t>
    </r>
    <r>
      <rPr>
        <sz val="10"/>
        <rFont val="Calibri"/>
        <family val="2"/>
      </rPr>
      <t>'</t>
    </r>
    <r>
      <rPr>
        <sz val="10"/>
        <rFont val="Arial"/>
        <family val="2"/>
      </rPr>
      <t>C=140 KG/CM2</t>
    </r>
  </si>
  <si>
    <r>
      <t>Muro 0.20 m - 2.42 qq/m</t>
    </r>
    <r>
      <rPr>
        <vertAlign val="superscript"/>
        <sz val="10"/>
        <rFont val="Arial"/>
        <family val="2"/>
      </rPr>
      <t>3</t>
    </r>
    <r>
      <rPr>
        <sz val="10"/>
        <rFont val="Arial"/>
        <family val="2"/>
      </rPr>
      <t xml:space="preserve"> (solo  Desarenador) </t>
    </r>
  </si>
  <si>
    <r>
      <t>Losa de Fondo 0.20 m- 1.83 qq/m</t>
    </r>
    <r>
      <rPr>
        <vertAlign val="superscript"/>
        <sz val="10"/>
        <rFont val="Arial"/>
        <family val="2"/>
      </rPr>
      <t>3</t>
    </r>
    <r>
      <rPr>
        <sz val="10"/>
        <rFont val="Arial"/>
        <family val="2"/>
      </rPr>
      <t xml:space="preserve"> </t>
    </r>
  </si>
  <si>
    <t xml:space="preserve"> ITBIS (Ley 07-2007)</t>
  </si>
  <si>
    <t xml:space="preserve">Escalera H.G. H=3.55m   e=1 ½" </t>
  </si>
  <si>
    <r>
      <t>Zapata de Muro (lateral derecho cauce de rio) -2.42 qq/m</t>
    </r>
    <r>
      <rPr>
        <vertAlign val="superscript"/>
        <sz val="10"/>
        <rFont val="Arial"/>
        <family val="2"/>
      </rPr>
      <t>3</t>
    </r>
  </si>
  <si>
    <t>AMPLIACIÓN ACUEDUCTO MÚLTIPLE AMIAMA GÓMEZ  - LAS YAYAS, OBRA DE TOMA Y LINEA DE ADUCCIÓN</t>
  </si>
  <si>
    <r>
      <t xml:space="preserve">Zona : </t>
    </r>
    <r>
      <rPr>
        <b/>
        <sz val="10"/>
        <rFont val="Arial"/>
        <family val="2"/>
      </rPr>
      <t>II</t>
    </r>
  </si>
  <si>
    <r>
      <t xml:space="preserve">SNIP: </t>
    </r>
    <r>
      <rPr>
        <b/>
        <sz val="10"/>
        <rFont val="Arial"/>
        <family val="2"/>
      </rPr>
      <t>14765</t>
    </r>
  </si>
  <si>
    <t>Drenes (Lloronas) con Tubería Ø2" PVC SDR-26 (L=0.40 m,  a 1.00 m de separación).</t>
  </si>
  <si>
    <t xml:space="preserve">De Ø8" PVC (SDR-21) </t>
  </si>
  <si>
    <t xml:space="preserve">Corte de material no clasificado c/equipo </t>
  </si>
  <si>
    <t>RELLENO PARA CONFORMAR  RASANTE DEL CAMINO</t>
  </si>
  <si>
    <t xml:space="preserve">Regado, nivelado y perfilado </t>
  </si>
  <si>
    <t xml:space="preserve">Compactado y mojado de material </t>
  </si>
  <si>
    <t>Bote de material en sitio</t>
  </si>
  <si>
    <t xml:space="preserve">Limpieza, Desmonte y Destronque </t>
  </si>
  <si>
    <t>Uso retroexcavadora Cat 416 (para desvío)</t>
  </si>
  <si>
    <t>Topografía</t>
  </si>
  <si>
    <t>Suministro  material de base granular para relleno dist.=10km (sujeto a la aprobación de la Supervisión)</t>
  </si>
  <si>
    <t>Excavación roca en  presencia de agua. Equipo c/martillo (incluye extracción)</t>
  </si>
  <si>
    <t>Suministro material de mina, dist.=10km (sujeto a la aprobación de la Supervisión)</t>
  </si>
  <si>
    <r>
      <t>Muro lateral izquierdo - 2.34 qq/m</t>
    </r>
    <r>
      <rPr>
        <vertAlign val="superscript"/>
        <sz val="10"/>
        <rFont val="Arial"/>
        <family val="2"/>
      </rPr>
      <t>3</t>
    </r>
    <r>
      <rPr>
        <sz val="10"/>
        <rFont val="Arial"/>
        <family val="2"/>
      </rPr>
      <t xml:space="preserve"> (común entre Desarenador y Obra de Toma) </t>
    </r>
  </si>
  <si>
    <t>6.1.2</t>
  </si>
  <si>
    <t>6.1.3</t>
  </si>
  <si>
    <t>6.1.4</t>
  </si>
  <si>
    <t>6.1.5</t>
  </si>
  <si>
    <t>6.1.6</t>
  </si>
  <si>
    <t>6.1.7</t>
  </si>
  <si>
    <t>6.1.8</t>
  </si>
  <si>
    <t>6.1.9</t>
  </si>
  <si>
    <r>
      <rPr>
        <b/>
        <sz val="10"/>
        <rFont val="Arial"/>
        <family val="2"/>
      </rPr>
      <t>CAMPAMENTO</t>
    </r>
    <r>
      <rPr>
        <sz val="10"/>
        <rFont val="Arial"/>
        <family val="2"/>
      </rPr>
      <t xml:space="preserve"> (incluye alquiler de solar o casa  y caseta para materiales) </t>
    </r>
  </si>
  <si>
    <t>Válvula de Compuerta con vástago fijo de 12" H.F. (150 PSI)</t>
  </si>
  <si>
    <t>Compuerta de Vástago estacionario y cierre hermetico 0.60mx0.60m en acero inoxidable</t>
  </si>
  <si>
    <t>Tubería para desagüe Ø8" Acero SCH-40, con protección anticorrosiva de fábrica.</t>
  </si>
  <si>
    <t>Tubería de rebose y salida Ø10" Acero SCH-40  con protección anticorrosiva de fábrica.</t>
  </si>
  <si>
    <r>
      <rPr>
        <b/>
        <sz val="10"/>
        <rFont val="Arial"/>
        <family val="2"/>
      </rPr>
      <t xml:space="preserve">VALLA </t>
    </r>
    <r>
      <rPr>
        <sz val="10"/>
        <rFont val="Arial"/>
        <family val="2"/>
      </rPr>
      <t>anunciando Obra de 16'x 10', impresión Full Color, conteniendo logo de INAPA, nombre del proyecto y contratista. Estructura en tubos galvanizados 1 1/2" x 1 1/2" y soportes en tubo cuadrado de 4"x4"</t>
    </r>
  </si>
  <si>
    <t>Media caña en tubo Ø16" acero SCH-30, con protección anticorrosiva de fábrica.</t>
  </si>
  <si>
    <t xml:space="preserve">Tapa metálica (H.F.) de 0.80m x 0.80m </t>
  </si>
  <si>
    <t xml:space="preserve">Tubería de Ø12" acero SCH-30, con protección anticorrosiva (Entrada, Salida, Rebose y Desagüe) </t>
  </si>
  <si>
    <t xml:space="preserve">Excavación material roca  c/equipo c/martillo (incluye extracción) </t>
  </si>
  <si>
    <t>Suministro  material de mina  dist.=10km (sujeto a la aprobación de la Supervisión)</t>
  </si>
  <si>
    <t>DIQUE</t>
  </si>
  <si>
    <r>
      <t>HORMIGÓN ARMADO C/LIGADORA  F'C=280 KG/CM</t>
    </r>
    <r>
      <rPr>
        <b/>
        <vertAlign val="superscript"/>
        <sz val="10"/>
        <rFont val="Arial"/>
        <family val="2"/>
      </rPr>
      <t>2</t>
    </r>
    <r>
      <rPr>
        <b/>
        <sz val="10"/>
        <rFont val="Arial"/>
        <family val="2"/>
      </rPr>
      <t xml:space="preserve">  EN : </t>
    </r>
  </si>
  <si>
    <r>
      <t>HORMIGÓN ARMADO C/LIGADORA  F'C=240 KG/CM</t>
    </r>
    <r>
      <rPr>
        <b/>
        <vertAlign val="superscript"/>
        <sz val="10"/>
        <rFont val="Arial"/>
        <family val="2"/>
      </rPr>
      <t>2</t>
    </r>
    <r>
      <rPr>
        <b/>
        <sz val="10"/>
        <rFont val="Arial"/>
        <family val="2"/>
      </rPr>
      <t xml:space="preserve">  EN: </t>
    </r>
  </si>
  <si>
    <t>MOVIMIENTO DE TIERRA :</t>
  </si>
  <si>
    <t>ACONDICIONAMIENTO  ACCESO PARA LLEGAR A LA OBRA DE TOMA (L=1,100.00 M A=6.00M)</t>
  </si>
  <si>
    <t>Excavación material no clasificado c/equipo, con tramos en alta pendiente.</t>
  </si>
  <si>
    <t>Cámara Rompedora de Presión en Tubería de Ø8". (incluye válvulas y piezas)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</si>
</sst>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0">
    <numFmt numFmtId="7" formatCode="#,##0.00\ &quot;€&quot;;\-#,##0.00\ &quot;€&quot;"/>
    <numFmt numFmtId="8" formatCode="#,##0.00\ &quot;€&quot;;[Red]\-#,##0.00\ &quot;€&quot;"/>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quot;$&quot;#,##0_);\(&quot;$&quot;#,##0\)"/>
    <numFmt numFmtId="165" formatCode="&quot;$&quot;#,##0.00_);\(&quot;$&quot;#,##0.00\)"/>
    <numFmt numFmtId="166" formatCode="&quot;$&quot;#,##0.00_);[Red]\(&quot;$&quot;#,##0.00\)"/>
    <numFmt numFmtId="167" formatCode="_(* #,##0_);_(* \(#,##0\);_(* &quot;-&quot;_);_(@_)"/>
    <numFmt numFmtId="168" formatCode="_(&quot;$&quot;* #,##0.00_);_(&quot;$&quot;* \(#,##0.00\);_(&quot;$&quot;* &quot;-&quot;??_);_(@_)"/>
    <numFmt numFmtId="169" formatCode="_(* #,##0.00_);_(* \(#,##0.00\);_(* &quot;-&quot;??_);_(@_)"/>
    <numFmt numFmtId="170" formatCode="&quot;RD$&quot;#,##0.00_);\(&quot;RD$&quot;#,##0.00\)"/>
    <numFmt numFmtId="171" formatCode="_(&quot;RD$&quot;* #,##0.00_);_(&quot;RD$&quot;* \(#,##0.00\);_(&quot;RD$&quot;* &quot;-&quot;??_);_(@_)"/>
    <numFmt numFmtId="172" formatCode="_-* #,##0\ _€_-;\-* #,##0\ _€_-;_-* &quot;-&quot;\ _€_-;_-@_-"/>
    <numFmt numFmtId="173" formatCode="_-* #,##0.00\ _€_-;\-* #,##0.00\ _€_-;_-* &quot;-&quot;??\ _€_-;_-@_-"/>
    <numFmt numFmtId="174" formatCode="#,##0.00;[Red]#,##0.00"/>
    <numFmt numFmtId="175" formatCode="0.0000"/>
    <numFmt numFmtId="176" formatCode="0.000"/>
    <numFmt numFmtId="177" formatCode="&quot;Sí&quot;;&quot;Sí&quot;;&quot;No&quot;"/>
    <numFmt numFmtId="178" formatCode="#,##0.000;[Red]#,##0.000"/>
    <numFmt numFmtId="179" formatCode="#,##0.0000;[Red]#,##0.0000"/>
    <numFmt numFmtId="180" formatCode="#,##0.0000"/>
    <numFmt numFmtId="181" formatCode="#,##0.000"/>
    <numFmt numFmtId="182" formatCode="#,##0.00000;[Red]#,##0.00000"/>
    <numFmt numFmtId="183" formatCode="#,##0.00_ ;\-#,##0.00\ "/>
    <numFmt numFmtId="184" formatCode="0.00_)"/>
    <numFmt numFmtId="185" formatCode="#,##0.0;\-#,##0.0"/>
    <numFmt numFmtId="186" formatCode="#.0"/>
    <numFmt numFmtId="187" formatCode="_(* #,##0.0_);_(* \(#,##0.0\);_(* &quot;-&quot;??_);_(@_)"/>
    <numFmt numFmtId="188" formatCode="_(* #,##0_);_(* \(#,##0\);_(* &quot;-&quot;??_);_(@_)"/>
    <numFmt numFmtId="189" formatCode="&quot;$&quot;#,##0.00;[Red]\-&quot;$&quot;#,##0.00"/>
    <numFmt numFmtId="190" formatCode="General_)"/>
    <numFmt numFmtId="191" formatCode="#,##0.0"/>
    <numFmt numFmtId="192" formatCode="_(* #,##0.000_);_(* \(#,##0.000\);_(* &quot;-&quot;??_);_(@_)"/>
    <numFmt numFmtId="193" formatCode="0.0"/>
    <numFmt numFmtId="194" formatCode="&quot;$&quot;#,##0.00;\-&quot;$&quot;#,##0.00"/>
    <numFmt numFmtId="195" formatCode="_-* #,##0.0000_-;\-* #,##0.0000_-;_-* &quot;-&quot;??_-;_-@_-"/>
    <numFmt numFmtId="196" formatCode="#,##0.00000"/>
    <numFmt numFmtId="197" formatCode="#,##0.0_);\(#,##0.0\)"/>
    <numFmt numFmtId="198" formatCode="#,##0.000_);\(#,##0.000\)"/>
    <numFmt numFmtId="199" formatCode="#.00&quot; M3/HR&quot;#"/>
    <numFmt numFmtId="200" formatCode="#,##0.00000000000000000"/>
    <numFmt numFmtId="201" formatCode="#,##0.0_ ;\-#,##0.0\ "/>
    <numFmt numFmtId="202" formatCode="[$€]#,##0.00;[Red]\-[$€]#,##0.00"/>
    <numFmt numFmtId="203" formatCode="_([$€]* #,##0.00_);_([$€]* \(#,##0.00\);_([$€]* &quot;-&quot;??_);_(@_)"/>
    <numFmt numFmtId="204" formatCode="_-[$€-2]* #,##0.00_-;\-[$€-2]* #,##0.00_-;_-[$€-2]* &quot;-&quot;??_-"/>
    <numFmt numFmtId="205" formatCode="#."/>
    <numFmt numFmtId="206" formatCode="_-* #,##0.00\ &quot;Pts&quot;_-;\-* #,##0.00\ &quot;Pts&quot;_-;_-* &quot;-&quot;??\ &quot;Pts&quot;_-;_-@_-"/>
    <numFmt numFmtId="207" formatCode="_-* #,##0.00\ _P_t_s_-;\-* #,##0.00\ _P_t_s_-;_-* &quot;-&quot;??\ _P_t_s_-;_-@_-"/>
    <numFmt numFmtId="208" formatCode="_(* #,##0.00_);_(* \(#,##0.00\);_(* \-??_);_(@_)"/>
    <numFmt numFmtId="209" formatCode="_-* #,##0.00\ [$€]_-;\-* #,##0.00\ [$€]_-;_-* &quot;-&quot;??\ [$€]_-;_-@_-"/>
    <numFmt numFmtId="210" formatCode="#,##0.0000_);\(#,##0.0000\)"/>
    <numFmt numFmtId="211" formatCode="_-&quot;$&quot;* #,##0.00_-;\-&quot;$&quot;* #,##0.00_-;_-&quot;$&quot;* &quot;-&quot;??_-;_-@_-"/>
    <numFmt numFmtId="212" formatCode="&quot;Activado&quot;;&quot;Activado&quot;;&quot;Desactivado&quot;"/>
    <numFmt numFmtId="213" formatCode="0.00000"/>
    <numFmt numFmtId="214" formatCode="_-* #,##0.00\ _R_D_$_-;\-* #,##0.00\ _R_D_$_-;_-* &quot;-&quot;??\ _R_D_$_-;_-@_-"/>
    <numFmt numFmtId="215" formatCode="[$$-409]#,##0.00"/>
    <numFmt numFmtId="216" formatCode="0_)"/>
    <numFmt numFmtId="217" formatCode="#,##0.00\ _€"/>
    <numFmt numFmtId="218" formatCode="#,##0.00\ &quot;/m3&quot;"/>
    <numFmt numFmtId="219" formatCode="_-* #,##0.00\ _$_-;_-* #,##0.00\ _$\-;_-* &quot;-&quot;??\ _$_-;_-@_-"/>
    <numFmt numFmtId="220" formatCode="&quot;$&quot;#,##0;\-&quot;$&quot;#,##0"/>
    <numFmt numFmtId="221" formatCode="_([$€-2]* #,##0.00_);_([$€-2]* \(#,##0.00\);_([$€-2]* &quot;-&quot;??_)"/>
    <numFmt numFmtId="222" formatCode="&quot; &quot;#,##0.00&quot; &quot;;&quot; (&quot;#,##0.00&quot;)&quot;;&quot; -&quot;#&quot; &quot;;&quot; &quot;@&quot; &quot;"/>
    <numFmt numFmtId="223" formatCode="[$-409]General"/>
    <numFmt numFmtId="224" formatCode="#,##0.00\ &quot;M³S&quot;"/>
    <numFmt numFmtId="225" formatCode="#,##0.00\ &quot;KM&quot;"/>
    <numFmt numFmtId="226" formatCode="_-&quot;RD$&quot;* #,##0.00_-;\-&quot;RD$&quot;* #,##0.00_-;_-&quot;RD$&quot;* &quot;-&quot;??_-;_-@_-"/>
    <numFmt numFmtId="227" formatCode="_(* #,##0\ &quot;pta&quot;_);_(* \(#,##0\ &quot;pta&quot;\);_(* &quot;-&quot;??\ &quot;pta&quot;_);_(@_)"/>
    <numFmt numFmtId="228" formatCode="0.0%"/>
    <numFmt numFmtId="229" formatCode="#,##0.0000\ _€;\-#,##0.0000\ _€"/>
    <numFmt numFmtId="230" formatCode="#.00"/>
    <numFmt numFmtId="231" formatCode="_-* #,##0.0\ _€_-;\-* #,##0.0\ _€_-;_-* &quot;-&quot;??\ _€_-;_-@_-"/>
    <numFmt numFmtId="232" formatCode="_-[$€]* #,##0.00_-;\-[$€]* #,##0.00_-;_-[$€]* &quot;-&quot;??_-;_-@_-"/>
    <numFmt numFmtId="233" formatCode="m/d/yyyy;@"/>
    <numFmt numFmtId="234" formatCode="_-* #,##0.00000_-;\-* #,##0.00000_-;_-* &quot;-&quot;??_-;_-@_-"/>
    <numFmt numFmtId="235" formatCode="#,##0.00000_);\(#,##0.00000\)"/>
    <numFmt numFmtId="236" formatCode="_-* #,##0.000_-;\-* #,##0.000_-;_-* &quot;-&quot;??_-;_-@_-"/>
    <numFmt numFmtId="237" formatCode="[$RD$-1C0A]#,##0.00"/>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u/>
      <sz val="10"/>
      <color indexed="36"/>
      <name val="Arial"/>
      <family val="2"/>
    </font>
    <font>
      <sz val="10"/>
      <color indexed="8"/>
      <name val="Arial"/>
      <family val="2"/>
    </font>
    <font>
      <b/>
      <sz val="10"/>
      <color indexed="8"/>
      <name val="Arial"/>
      <family val="2"/>
    </font>
    <font>
      <sz val="10"/>
      <name val="Tms Rmn"/>
    </font>
    <font>
      <sz val="12"/>
      <name val="Courier"/>
      <family val="3"/>
    </font>
    <font>
      <sz val="10"/>
      <color indexed="10"/>
      <name val="Arial"/>
      <family val="2"/>
    </font>
    <font>
      <sz val="12"/>
      <name val="Arial"/>
      <family val="2"/>
    </font>
    <font>
      <b/>
      <sz val="16"/>
      <color indexed="10"/>
      <name val="Arial"/>
      <family val="2"/>
    </font>
    <font>
      <b/>
      <sz val="10"/>
      <color indexed="10"/>
      <name val="Arial"/>
      <family val="2"/>
    </font>
    <font>
      <b/>
      <u/>
      <sz val="14"/>
      <name val="Arial"/>
      <family val="2"/>
    </font>
    <font>
      <b/>
      <sz val="12"/>
      <name val="Arial"/>
      <family val="2"/>
    </font>
    <font>
      <b/>
      <u/>
      <sz val="12"/>
      <name val="Arial"/>
      <family val="2"/>
    </font>
    <font>
      <b/>
      <sz val="8"/>
      <color indexed="81"/>
      <name val="Tahoma"/>
      <family val="2"/>
    </font>
    <font>
      <sz val="8"/>
      <color indexed="81"/>
      <name val="Tahoma"/>
      <family val="2"/>
    </font>
    <font>
      <b/>
      <sz val="10"/>
      <color indexed="12"/>
      <name val="Arial"/>
      <family val="2"/>
    </font>
    <font>
      <b/>
      <u/>
      <sz val="10"/>
      <color indexed="12"/>
      <name val="Arial"/>
      <family val="2"/>
    </font>
    <font>
      <b/>
      <u/>
      <sz val="10"/>
      <name val="Arial"/>
      <family val="2"/>
    </font>
    <font>
      <sz val="10"/>
      <name val="Times New Roman"/>
      <family val="1"/>
    </font>
    <font>
      <b/>
      <sz val="10"/>
      <name val="Times New Roman"/>
      <family val="1"/>
    </font>
    <font>
      <b/>
      <u/>
      <sz val="16"/>
      <name val="Arial"/>
      <family val="2"/>
    </font>
    <font>
      <b/>
      <sz val="9"/>
      <name val="Arial"/>
      <family val="2"/>
    </font>
    <font>
      <sz val="9"/>
      <name val="Arial"/>
      <family val="2"/>
    </font>
    <font>
      <sz val="8"/>
      <name val="Times New Roman"/>
      <family val="1"/>
    </font>
    <font>
      <sz val="10"/>
      <color indexed="8"/>
      <name val="Times New Roman"/>
      <family val="1"/>
    </font>
    <font>
      <b/>
      <sz val="10"/>
      <color indexed="8"/>
      <name val="Times New Roman"/>
      <family val="1"/>
    </font>
    <font>
      <b/>
      <sz val="8"/>
      <name val="Times New Roman"/>
      <family val="1"/>
    </font>
    <font>
      <b/>
      <u/>
      <sz val="10"/>
      <name val="Times New Roman"/>
      <family val="1"/>
    </font>
    <font>
      <b/>
      <u/>
      <sz val="16"/>
      <name val="Times New Roman"/>
      <family val="1"/>
    </font>
    <font>
      <b/>
      <sz val="14"/>
      <name val="Times New Roman"/>
      <family val="1"/>
    </font>
    <font>
      <b/>
      <sz val="12"/>
      <name val="Times New Roman"/>
      <family val="1"/>
    </font>
    <font>
      <sz val="9"/>
      <name val="Times New Roman"/>
      <family val="1"/>
    </font>
    <font>
      <sz val="10"/>
      <name val="MS Sans Serif"/>
      <family val="2"/>
    </font>
    <font>
      <b/>
      <sz val="8"/>
      <name val="Arial"/>
      <family val="2"/>
    </font>
    <font>
      <b/>
      <sz val="10"/>
      <color indexed="63"/>
      <name val="Arial"/>
      <family val="2"/>
    </font>
    <font>
      <sz val="10"/>
      <color indexed="63"/>
      <name val="Arial"/>
      <family val="2"/>
    </font>
    <font>
      <b/>
      <sz val="12"/>
      <color indexed="63"/>
      <name val="Arial"/>
      <family val="2"/>
    </font>
    <font>
      <sz val="10"/>
      <color indexed="14"/>
      <name val="Arial"/>
      <family val="2"/>
    </font>
    <font>
      <b/>
      <sz val="10"/>
      <color indexed="14"/>
      <name val="Arial"/>
      <family val="2"/>
    </font>
    <font>
      <sz val="8"/>
      <color indexed="8"/>
      <name val="Arial"/>
      <family val="2"/>
    </font>
    <font>
      <b/>
      <u/>
      <sz val="8"/>
      <name val="Arial"/>
      <family val="2"/>
    </font>
    <font>
      <b/>
      <sz val="8"/>
      <color indexed="63"/>
      <name val="Arial"/>
      <family val="2"/>
    </font>
    <font>
      <sz val="9"/>
      <color indexed="8"/>
      <name val="Arial"/>
      <family val="2"/>
    </font>
    <font>
      <b/>
      <u/>
      <sz val="16"/>
      <color indexed="10"/>
      <name val="Arial"/>
      <family val="2"/>
    </font>
    <font>
      <sz val="9"/>
      <color indexed="81"/>
      <name val="Tahoma"/>
      <family val="2"/>
    </font>
    <font>
      <b/>
      <sz val="9"/>
      <color indexed="81"/>
      <name val="Tahoma"/>
      <family val="2"/>
    </font>
    <font>
      <b/>
      <sz val="11"/>
      <color indexed="8"/>
      <name val="Square721 BT"/>
      <family val="2"/>
    </font>
    <font>
      <b/>
      <sz val="10"/>
      <color indexed="8"/>
      <name val="Square721 BT"/>
      <family val="2"/>
    </font>
    <font>
      <sz val="10"/>
      <color indexed="8"/>
      <name val="Square721 BT"/>
      <family val="2"/>
    </font>
    <font>
      <sz val="9"/>
      <color indexed="8"/>
      <name val="Square721 BT"/>
      <family val="2"/>
    </font>
    <font>
      <b/>
      <sz val="11"/>
      <name val="Arial"/>
      <family val="2"/>
    </font>
    <font>
      <b/>
      <sz val="9"/>
      <color indexed="8"/>
      <name val="Times New Roman"/>
      <family val="1"/>
    </font>
    <font>
      <b/>
      <sz val="9"/>
      <name val="Times New Roman"/>
      <family val="1"/>
    </font>
    <font>
      <sz val="9"/>
      <color indexed="8"/>
      <name val="Times New Roman"/>
      <family val="1"/>
    </font>
    <font>
      <b/>
      <sz val="10"/>
      <color indexed="62"/>
      <name val="Times New Roman"/>
      <family val="1"/>
    </font>
    <font>
      <sz val="10"/>
      <color indexed="62"/>
      <name val="Times New Roman"/>
      <family val="1"/>
    </font>
    <font>
      <sz val="10"/>
      <color indexed="23"/>
      <name val="Arial"/>
      <family val="2"/>
    </font>
    <font>
      <b/>
      <sz val="10"/>
      <color indexed="23"/>
      <name val="Arial"/>
      <family val="2"/>
    </font>
    <font>
      <b/>
      <u/>
      <sz val="8"/>
      <name val="Times New Roman"/>
      <family val="1"/>
    </font>
    <font>
      <b/>
      <sz val="9"/>
      <color indexed="8"/>
      <name val="Arial"/>
      <family val="2"/>
    </font>
    <font>
      <sz val="11"/>
      <name val="Arial"/>
      <family val="2"/>
    </font>
    <font>
      <b/>
      <sz val="10"/>
      <color indexed="57"/>
      <name val="Arial"/>
      <family val="2"/>
    </font>
    <font>
      <b/>
      <sz val="10"/>
      <color indexed="17"/>
      <name val="Arial"/>
      <family val="2"/>
    </font>
    <font>
      <sz val="11"/>
      <color indexed="8"/>
      <name val="Calibri"/>
      <family val="2"/>
    </font>
    <font>
      <b/>
      <sz val="18"/>
      <color indexed="56"/>
      <name val="Cambria"/>
      <family val="2"/>
    </font>
    <font>
      <b/>
      <sz val="11"/>
      <color indexed="8"/>
      <name val="Calibri"/>
      <family val="2"/>
    </font>
    <font>
      <sz val="10"/>
      <color indexed="8"/>
      <name val="Verdana"/>
      <family val="2"/>
    </font>
    <font>
      <b/>
      <sz val="10"/>
      <color indexed="8"/>
      <name val="Verdana"/>
      <family val="2"/>
    </font>
    <font>
      <sz val="10"/>
      <color indexed="8"/>
      <name val="Arial"/>
      <family val="2"/>
    </font>
    <font>
      <sz val="11"/>
      <color indexed="8"/>
      <name val="Calibri"/>
      <family val="2"/>
    </font>
    <font>
      <sz val="10"/>
      <color indexed="10"/>
      <name val="Arial"/>
      <family val="2"/>
    </font>
    <font>
      <sz val="11"/>
      <color indexed="8"/>
      <name val="Times New Roman"/>
      <family val="1"/>
    </font>
    <font>
      <b/>
      <sz val="11"/>
      <color indexed="8"/>
      <name val="Times New Roman"/>
      <family val="1"/>
    </font>
    <font>
      <b/>
      <sz val="11"/>
      <color indexed="8"/>
      <name val="Calibri"/>
      <family val="2"/>
    </font>
    <font>
      <b/>
      <i/>
      <sz val="12"/>
      <color indexed="8"/>
      <name val="Verdana"/>
      <family val="2"/>
    </font>
    <font>
      <b/>
      <i/>
      <sz val="10"/>
      <color indexed="8"/>
      <name val="Verdana"/>
      <family val="2"/>
    </font>
    <font>
      <sz val="10"/>
      <color indexed="8"/>
      <name val="Verdana"/>
      <family val="2"/>
    </font>
    <font>
      <b/>
      <sz val="10"/>
      <color indexed="8"/>
      <name val="Verdana"/>
      <family val="2"/>
    </font>
    <font>
      <b/>
      <sz val="8"/>
      <color indexed="10"/>
      <name val="Arial"/>
      <family val="2"/>
    </font>
    <font>
      <b/>
      <sz val="10"/>
      <color indexed="10"/>
      <name val="Arial"/>
      <family val="2"/>
    </font>
    <font>
      <sz val="10"/>
      <color indexed="8"/>
      <name val="Times New Roman"/>
      <family val="1"/>
    </font>
    <font>
      <sz val="10"/>
      <color indexed="62"/>
      <name val="Arial"/>
      <family val="2"/>
    </font>
    <font>
      <sz val="8"/>
      <color indexed="10"/>
      <name val="Arial"/>
      <family val="2"/>
    </font>
    <font>
      <sz val="11"/>
      <color indexed="9"/>
      <name val="Calibri"/>
      <family val="2"/>
    </font>
    <font>
      <sz val="11"/>
      <color indexed="20"/>
      <name val="Calibri"/>
      <family val="2"/>
    </font>
    <font>
      <sz val="11"/>
      <color indexed="16"/>
      <name val="Calibri"/>
      <family val="2"/>
    </font>
    <font>
      <sz val="11"/>
      <color indexed="17"/>
      <name val="Calibri"/>
      <family val="2"/>
    </font>
    <font>
      <b/>
      <sz val="11"/>
      <color indexed="52"/>
      <name val="Calibri"/>
      <family val="2"/>
    </font>
    <font>
      <b/>
      <sz val="11"/>
      <color indexed="19"/>
      <name val="Calibri"/>
      <family val="2"/>
    </font>
    <font>
      <b/>
      <sz val="11"/>
      <color indexed="10"/>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
      <color indexed="16"/>
      <name val="Courier"/>
      <family val="3"/>
    </font>
    <font>
      <sz val="1"/>
      <color indexed="16"/>
      <name val="Courier"/>
      <family val="3"/>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63"/>
      <name val="Calibri"/>
      <family val="2"/>
    </font>
    <font>
      <sz val="11"/>
      <color indexed="19"/>
      <name val="Calibri"/>
      <family val="2"/>
    </font>
    <font>
      <sz val="11"/>
      <color indexed="10"/>
      <name val="Calibri"/>
      <family val="2"/>
    </font>
    <font>
      <sz val="10"/>
      <name val="Courier"/>
      <family val="3"/>
    </font>
    <font>
      <b/>
      <i/>
      <sz val="16"/>
      <name val="Helv"/>
    </font>
    <font>
      <sz val="12"/>
      <name val="Courier New"/>
      <family val="3"/>
    </font>
    <font>
      <b/>
      <sz val="11"/>
      <color indexed="63"/>
      <name val="Calibri"/>
      <family val="2"/>
    </font>
    <font>
      <b/>
      <sz val="18"/>
      <color indexed="62"/>
      <name val="Cambria"/>
      <family val="2"/>
    </font>
    <font>
      <sz val="10"/>
      <color indexed="9"/>
      <name val="Verdana"/>
      <family val="2"/>
    </font>
    <font>
      <sz val="10"/>
      <color indexed="36"/>
      <name val="MS Sans Serif"/>
      <family val="2"/>
    </font>
    <font>
      <u/>
      <sz val="10"/>
      <color indexed="12"/>
      <name val="Arial"/>
      <family val="2"/>
    </font>
    <font>
      <sz val="10"/>
      <color indexed="8"/>
      <name val="Times New Roman"/>
      <family val="1"/>
    </font>
    <font>
      <sz val="11"/>
      <color indexed="8"/>
      <name val="Calibri"/>
      <family val="2"/>
      <charset val="204"/>
    </font>
    <font>
      <sz val="11"/>
      <color indexed="8"/>
      <name val="Calibri"/>
      <family val="2"/>
      <charset val="204"/>
    </font>
    <font>
      <sz val="10"/>
      <color indexed="64"/>
      <name val="Arial"/>
      <family val="2"/>
    </font>
    <font>
      <sz val="11"/>
      <color indexed="60"/>
      <name val="Calibri"/>
      <family val="2"/>
    </font>
    <font>
      <vertAlign val="subscript"/>
      <sz val="10"/>
      <name val="Times New Roman"/>
      <family val="1"/>
    </font>
    <font>
      <sz val="10"/>
      <color theme="1"/>
      <name val="Arial1"/>
    </font>
    <font>
      <sz val="11"/>
      <color indexed="19"/>
      <name val="Calibri"/>
      <family val="2"/>
      <scheme val="minor"/>
    </font>
    <font>
      <sz val="11"/>
      <color theme="1"/>
      <name val="Calibri"/>
      <family val="2"/>
      <scheme val="minor"/>
    </font>
    <font>
      <sz val="10"/>
      <color rgb="FF000000"/>
      <name val="Times New Roman"/>
      <family val="1"/>
    </font>
    <font>
      <sz val="11"/>
      <color rgb="FF000000"/>
      <name val="Calibri"/>
      <family val="2"/>
      <charset val="204"/>
    </font>
    <font>
      <b/>
      <sz val="11"/>
      <color theme="1"/>
      <name val="Calibri"/>
      <family val="2"/>
      <scheme val="minor"/>
    </font>
    <font>
      <sz val="10"/>
      <color rgb="FFFF0000"/>
      <name val="Arial"/>
      <family val="2"/>
    </font>
    <font>
      <sz val="12"/>
      <name val="Times New Roman"/>
      <family val="1"/>
    </font>
    <font>
      <b/>
      <sz val="10"/>
      <color rgb="FFFF0000"/>
      <name val="Arial"/>
      <family val="2"/>
    </font>
    <font>
      <b/>
      <sz val="10"/>
      <color indexed="12"/>
      <name val="Times New Roman"/>
      <family val="1"/>
    </font>
    <font>
      <sz val="10"/>
      <color theme="1"/>
      <name val="Arial"/>
      <family val="2"/>
    </font>
    <font>
      <sz val="10"/>
      <color indexed="12"/>
      <name val="Arial"/>
      <family val="2"/>
    </font>
    <font>
      <strike/>
      <sz val="10"/>
      <color indexed="8"/>
      <name val="Arial"/>
      <family val="2"/>
    </font>
    <font>
      <u/>
      <sz val="10"/>
      <color indexed="8"/>
      <name val="Arial"/>
      <family val="2"/>
    </font>
    <font>
      <sz val="10"/>
      <color theme="6" tint="-0.499984740745262"/>
      <name val="Arial"/>
      <family val="2"/>
    </font>
    <font>
      <b/>
      <u/>
      <sz val="10"/>
      <color indexed="8"/>
      <name val="Arial"/>
      <family val="2"/>
    </font>
    <font>
      <b/>
      <sz val="10"/>
      <color theme="1"/>
      <name val="Arial"/>
      <family val="2"/>
    </font>
    <font>
      <b/>
      <sz val="10"/>
      <color rgb="FF0066FF"/>
      <name val="Arial"/>
      <family val="2"/>
    </font>
    <font>
      <b/>
      <sz val="10"/>
      <color rgb="FF0000FF"/>
      <name val="Arial"/>
      <family val="2"/>
    </font>
    <font>
      <b/>
      <sz val="10"/>
      <color theme="3" tint="-0.249977111117893"/>
      <name val="Arial"/>
      <family val="2"/>
    </font>
    <font>
      <b/>
      <sz val="10"/>
      <color rgb="FF000099"/>
      <name val="Arial"/>
      <family val="2"/>
    </font>
    <font>
      <b/>
      <sz val="10"/>
      <color rgb="FF0033CC"/>
      <name val="Arial"/>
      <family val="2"/>
    </font>
    <font>
      <sz val="10"/>
      <name val="Calibri"/>
      <family val="2"/>
    </font>
    <font>
      <i/>
      <sz val="10"/>
      <name val="Arial"/>
      <family val="2"/>
    </font>
    <font>
      <b/>
      <sz val="11"/>
      <color rgb="FFFF0000"/>
      <name val="Arial"/>
      <family val="2"/>
    </font>
    <font>
      <sz val="11"/>
      <color rgb="FFFF0000"/>
      <name val="Arial"/>
      <family val="2"/>
    </font>
    <font>
      <b/>
      <sz val="12"/>
      <color theme="1"/>
      <name val="Times New Roman"/>
      <family val="1"/>
    </font>
    <font>
      <b/>
      <sz val="12"/>
      <color indexed="8"/>
      <name val="Times New Roman"/>
      <family val="1"/>
    </font>
    <font>
      <sz val="11"/>
      <color theme="1"/>
      <name val="Times New Roman"/>
      <family val="1"/>
    </font>
    <font>
      <b/>
      <sz val="11"/>
      <color theme="1"/>
      <name val="Times New Roman"/>
      <family val="1"/>
    </font>
    <font>
      <vertAlign val="subscript"/>
      <sz val="11"/>
      <color indexed="8"/>
      <name val="Times New Roman"/>
      <family val="1"/>
    </font>
    <font>
      <vertAlign val="superscript"/>
      <sz val="11"/>
      <color indexed="8"/>
      <name val="Times New Roman"/>
      <family val="1"/>
    </font>
    <font>
      <sz val="12"/>
      <color theme="1"/>
      <name val="Times New Roman"/>
      <family val="1"/>
    </font>
    <font>
      <i/>
      <sz val="11"/>
      <name val="Arial"/>
      <family val="2"/>
    </font>
    <font>
      <b/>
      <sz val="11"/>
      <color rgb="FF002060"/>
      <name val="Arial"/>
      <family val="2"/>
    </font>
    <font>
      <b/>
      <sz val="11"/>
      <color indexed="12"/>
      <name val="Arial"/>
      <family val="2"/>
    </font>
    <font>
      <b/>
      <sz val="11"/>
      <color indexed="10"/>
      <name val="Arial"/>
      <family val="2"/>
    </font>
    <font>
      <b/>
      <sz val="11"/>
      <color indexed="8"/>
      <name val="Arial"/>
      <family val="2"/>
    </font>
    <font>
      <sz val="14"/>
      <name val="Arial"/>
      <family val="2"/>
    </font>
    <font>
      <sz val="14"/>
      <color indexed="8"/>
      <name val="Arial"/>
      <family val="2"/>
    </font>
    <font>
      <b/>
      <sz val="12"/>
      <color rgb="FFFF0000"/>
      <name val="Arial"/>
      <family val="2"/>
    </font>
    <font>
      <b/>
      <sz val="8"/>
      <color indexed="53"/>
      <name val="Tahoma"/>
      <family val="2"/>
    </font>
    <font>
      <b/>
      <sz val="11"/>
      <color rgb="FF0070C0"/>
      <name val="Arial"/>
      <family val="2"/>
    </font>
    <font>
      <sz val="10"/>
      <color rgb="FF0070C0"/>
      <name val="Arial"/>
      <family val="2"/>
    </font>
    <font>
      <sz val="11"/>
      <color indexed="8"/>
      <name val="Arial"/>
      <family val="2"/>
    </font>
    <font>
      <sz val="11"/>
      <color theme="1"/>
      <name val="Arial"/>
      <family val="2"/>
    </font>
    <font>
      <b/>
      <sz val="11"/>
      <color theme="1"/>
      <name val="Arial"/>
      <family val="2"/>
    </font>
    <font>
      <sz val="10"/>
      <name val="MS Sans Serif"/>
    </font>
    <font>
      <sz val="10"/>
      <color rgb="FF000000"/>
      <name val="Arial"/>
      <family val="2"/>
    </font>
    <font>
      <vertAlign val="superscript"/>
      <sz val="11"/>
      <name val="Arial"/>
      <family val="2"/>
    </font>
    <font>
      <sz val="11"/>
      <name val="Calibri"/>
      <family val="2"/>
    </font>
    <font>
      <sz val="11"/>
      <name val="Calibri"/>
      <family val="2"/>
      <scheme val="minor"/>
    </font>
    <font>
      <sz val="11"/>
      <color rgb="FF000000"/>
      <name val="Arial"/>
      <family val="2"/>
    </font>
    <font>
      <sz val="12.65"/>
      <name val="Arial"/>
      <family val="2"/>
    </font>
    <font>
      <b/>
      <vertAlign val="superscript"/>
      <sz val="10"/>
      <name val="Arial"/>
      <family val="2"/>
    </font>
    <font>
      <vertAlign val="superscript"/>
      <sz val="10"/>
      <name val="Arial"/>
      <family val="2"/>
    </font>
    <font>
      <sz val="10"/>
      <color theme="9" tint="-0.499984740745262"/>
      <name val="Arial"/>
      <family val="2"/>
    </font>
    <font>
      <vertAlign val="superscript"/>
      <sz val="10"/>
      <color rgb="FF000000"/>
      <name val="Arial"/>
      <family val="2"/>
    </font>
  </fonts>
  <fills count="88">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7"/>
        <bgColor indexed="27"/>
      </patternFill>
    </fill>
    <fill>
      <patternFill patternType="solid">
        <fgColor indexed="56"/>
      </patternFill>
    </fill>
    <fill>
      <patternFill patternType="solid">
        <fgColor indexed="30"/>
        <bgColor indexed="30"/>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3"/>
        <bgColor indexed="53"/>
      </patternFill>
    </fill>
    <fill>
      <patternFill patternType="solid">
        <fgColor indexed="57"/>
      </patternFill>
    </fill>
    <fill>
      <patternFill patternType="solid">
        <fgColor indexed="42"/>
        <bgColor indexed="42"/>
      </patternFill>
    </fill>
    <fill>
      <patternFill patternType="solid">
        <fgColor indexed="51"/>
        <bgColor indexed="51"/>
      </patternFill>
    </fill>
    <fill>
      <patternFill patternType="solid">
        <fgColor indexed="45"/>
        <bgColor indexed="45"/>
      </patternFill>
    </fill>
    <fill>
      <patternFill patternType="solid">
        <fgColor indexed="54"/>
      </patternFill>
    </fill>
    <fill>
      <patternFill patternType="solid">
        <fgColor indexed="54"/>
        <bgColor indexed="54"/>
      </patternFill>
    </fill>
    <fill>
      <patternFill patternType="solid">
        <fgColor indexed="49"/>
        <bgColor indexed="49"/>
      </patternFill>
    </fill>
    <fill>
      <patternFill patternType="solid">
        <fgColor indexed="43"/>
        <bgColor indexed="43"/>
      </patternFill>
    </fill>
    <fill>
      <patternFill patternType="solid">
        <fgColor indexed="29"/>
        <bgColor indexed="29"/>
      </patternFill>
    </fill>
    <fill>
      <patternFill patternType="solid">
        <fgColor indexed="22"/>
      </patternFill>
    </fill>
    <fill>
      <patternFill patternType="solid">
        <fgColor indexed="9"/>
        <bgColor indexed="9"/>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11"/>
        <bgColor indexed="64"/>
      </patternFill>
    </fill>
    <fill>
      <patternFill patternType="solid">
        <fgColor indexed="11"/>
        <bgColor indexed="8"/>
      </patternFill>
    </fill>
    <fill>
      <patternFill patternType="solid">
        <fgColor indexed="13"/>
        <bgColor indexed="8"/>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31"/>
        <bgColor indexed="64"/>
      </patternFill>
    </fill>
    <fill>
      <patternFill patternType="solid">
        <fgColor indexed="50"/>
        <bgColor indexed="64"/>
      </patternFill>
    </fill>
    <fill>
      <patternFill patternType="solid">
        <fgColor indexed="40"/>
        <bgColor indexed="64"/>
      </patternFill>
    </fill>
    <fill>
      <patternFill patternType="solid">
        <fgColor indexed="51"/>
        <bgColor indexed="64"/>
      </patternFill>
    </fill>
    <fill>
      <patternFill patternType="solid">
        <fgColor indexed="41"/>
        <bgColor indexed="64"/>
      </patternFill>
    </fill>
    <fill>
      <patternFill patternType="solid">
        <fgColor indexed="8"/>
        <bgColor indexed="64"/>
      </patternFill>
    </fill>
    <fill>
      <patternFill patternType="solid">
        <fgColor rgb="FFFFEB9C"/>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9" tint="0.79998168889431442"/>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30"/>
      </bottom>
      <diagonal/>
    </border>
    <border>
      <left/>
      <right/>
      <top/>
      <bottom style="thick">
        <color indexed="56"/>
      </bottom>
      <diagonal/>
    </border>
    <border>
      <left/>
      <right/>
      <top/>
      <bottom style="thick">
        <color indexed="22"/>
      </bottom>
      <diagonal/>
    </border>
    <border>
      <left/>
      <right/>
      <top/>
      <bottom style="thick">
        <color indexed="44"/>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2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57"/>
      </left>
      <right style="medium">
        <color indexed="57"/>
      </right>
      <top style="medium">
        <color indexed="57"/>
      </top>
      <bottom style="medium">
        <color indexed="57"/>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style="double">
        <color indexed="64"/>
      </left>
      <right style="thin">
        <color indexed="64"/>
      </right>
      <top style="double">
        <color indexed="64"/>
      </top>
      <bottom/>
      <diagonal/>
    </border>
    <border>
      <left style="thin">
        <color indexed="18"/>
      </left>
      <right style="thin">
        <color indexed="64"/>
      </right>
      <top/>
      <bottom style="double">
        <color indexed="18"/>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style="double">
        <color indexed="64"/>
      </top>
      <bottom style="double">
        <color indexed="64"/>
      </bottom>
      <diagonal/>
    </border>
    <border>
      <left style="medium">
        <color indexed="18"/>
      </left>
      <right style="medium">
        <color indexed="18"/>
      </right>
      <top style="medium">
        <color indexed="18"/>
      </top>
      <bottom style="medium">
        <color indexed="18"/>
      </bottom>
      <diagonal/>
    </border>
    <border>
      <left/>
      <right/>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bottom/>
      <diagonal/>
    </border>
    <border>
      <left style="thin">
        <color indexed="18"/>
      </left>
      <right style="thin">
        <color indexed="64"/>
      </right>
      <top/>
      <bottom style="thin">
        <color indexed="64"/>
      </bottom>
      <diagonal/>
    </border>
    <border>
      <left style="thin">
        <color indexed="18"/>
      </left>
      <right style="double">
        <color indexed="64"/>
      </right>
      <top/>
      <bottom style="double">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hair">
        <color indexed="64"/>
      </right>
      <top style="hair">
        <color indexed="64"/>
      </top>
      <bottom style="hair">
        <color indexed="64"/>
      </bottom>
      <diagonal/>
    </border>
    <border>
      <left style="thin">
        <color indexed="64"/>
      </left>
      <right/>
      <top style="double">
        <color indexed="64"/>
      </top>
      <bottom/>
      <diagonal/>
    </border>
    <border>
      <left style="thin">
        <color rgb="FF0070C0"/>
      </left>
      <right/>
      <top/>
      <bottom/>
      <diagonal/>
    </border>
    <border>
      <left style="double">
        <color rgb="FF0070C0"/>
      </left>
      <right/>
      <top/>
      <bottom/>
      <diagonal/>
    </border>
    <border>
      <left/>
      <right style="thin">
        <color rgb="FF0070C0"/>
      </right>
      <top/>
      <bottom/>
      <diagonal/>
    </border>
    <border>
      <left style="thin">
        <color rgb="FF0070C0"/>
      </left>
      <right style="thin">
        <color rgb="FF0070C0"/>
      </right>
      <top style="thin">
        <color indexed="64"/>
      </top>
      <bottom style="thin">
        <color rgb="FF0070C0"/>
      </bottom>
      <diagonal/>
    </border>
    <border>
      <left style="thin">
        <color rgb="FF0070C0"/>
      </left>
      <right/>
      <top style="thin">
        <color rgb="FF0070C0"/>
      </top>
      <bottom/>
      <diagonal/>
    </border>
    <border>
      <left style="double">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indexed="64"/>
      </right>
      <top style="thin">
        <color rgb="FF0070C0"/>
      </top>
      <bottom/>
      <diagonal/>
    </border>
    <border>
      <left style="thin">
        <color rgb="FF0070C0"/>
      </left>
      <right style="thin">
        <color indexed="64"/>
      </right>
      <top/>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double">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style="double">
        <color indexed="64"/>
      </left>
      <right/>
      <top style="double">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medium">
        <color indexed="64"/>
      </right>
      <top/>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indexed="64"/>
      </top>
      <bottom style="thin">
        <color rgb="FF007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top style="double">
        <color indexed="64"/>
      </top>
      <bottom style="double">
        <color indexed="64"/>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right/>
      <top/>
      <bottom style="double">
        <color indexed="52"/>
      </bottom>
      <diagonal/>
    </border>
    <border>
      <left/>
      <right/>
      <top/>
      <bottom style="double">
        <color indexed="10"/>
      </bottom>
      <diagonal/>
    </border>
    <border>
      <left/>
      <right/>
      <top/>
      <bottom style="double">
        <color indexed="29"/>
      </bottom>
      <diagonal/>
    </border>
    <border>
      <left style="thin">
        <color auto="1"/>
      </left>
      <right style="thin">
        <color auto="1"/>
      </right>
      <top/>
      <bottom style="thin">
        <color theme="0" tint="-0.249977111117893"/>
      </bottom>
      <diagonal/>
    </border>
    <border>
      <left/>
      <right style="thin">
        <color auto="1"/>
      </right>
      <top/>
      <bottom style="thin">
        <color theme="0" tint="-0.249977111117893"/>
      </bottom>
      <diagonal/>
    </border>
    <border>
      <left style="thin">
        <color auto="1"/>
      </left>
      <right/>
      <top/>
      <bottom style="thin">
        <color theme="0" tint="-0.249977111117893"/>
      </bottom>
      <diagonal/>
    </border>
    <border>
      <left style="thin">
        <color theme="0" tint="-0.249977111117893"/>
      </left>
      <right style="thin">
        <color auto="1"/>
      </right>
      <top/>
      <bottom style="thin">
        <color theme="0" tint="-0.249977111117893"/>
      </bottom>
      <diagonal/>
    </border>
    <border>
      <left style="thin">
        <color theme="0" tint="-0.24994659260841701"/>
      </left>
      <right style="thin">
        <color theme="0" tint="-0.24994659260841701"/>
      </right>
      <top/>
      <bottom/>
      <diagonal/>
    </border>
    <border>
      <left style="thin">
        <color theme="0" tint="-0.1499984740745262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0.14999847407452621"/>
      </right>
      <top style="thin">
        <color theme="0" tint="-0.14999847407452621"/>
      </top>
      <bottom style="thin">
        <color theme="0" tint="-0.14999847407452621"/>
      </bottom>
      <diagonal/>
    </border>
    <border>
      <left/>
      <right style="thin">
        <color theme="0" tint="-0.24994659260841701"/>
      </right>
      <top/>
      <bottom/>
      <diagonal/>
    </border>
    <border>
      <left style="thin">
        <color theme="0" tint="-0.24994659260841701"/>
      </left>
      <right/>
      <top/>
      <bottom/>
      <diagonal/>
    </border>
    <border>
      <left style="thin">
        <color theme="0" tint="-0.34998626667073579"/>
      </left>
      <right style="thin">
        <color theme="0" tint="-0.34998626667073579"/>
      </right>
      <top/>
      <bottom/>
      <diagonal/>
    </border>
  </borders>
  <cellStyleXfs count="2032">
    <xf numFmtId="0" fontId="0" fillId="0" borderId="0"/>
    <xf numFmtId="0" fontId="8" fillId="0" borderId="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0" fontId="74" fillId="4"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6"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8"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0"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9"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11"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0" fontId="74" fillId="8"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13"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4"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1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16"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0" fontId="94" fillId="17"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18"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0" fontId="9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2" borderId="0" applyNumberFormat="0" applyBorder="0" applyAlignment="0" applyProtection="0"/>
    <xf numFmtId="0" fontId="74" fillId="21" borderId="0" applyNumberFormat="0" applyBorder="0" applyAlignment="0" applyProtection="0"/>
    <xf numFmtId="0" fontId="77" fillId="22"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5" borderId="0" applyNumberFormat="0" applyBorder="0" applyAlignment="0" applyProtection="0"/>
    <xf numFmtId="0" fontId="94" fillId="19"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6"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29" borderId="0" applyNumberFormat="0" applyBorder="0" applyAlignment="0" applyProtection="0"/>
    <xf numFmtId="0" fontId="121" fillId="29"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30"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1"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0" borderId="0" applyNumberFormat="0" applyBorder="0" applyAlignment="0" applyProtection="0"/>
    <xf numFmtId="0" fontId="74" fillId="32" borderId="0" applyNumberFormat="0" applyBorder="0" applyAlignment="0" applyProtection="0"/>
    <xf numFmtId="0" fontId="77" fillId="20" borderId="0" applyNumberFormat="0" applyBorder="0" applyAlignment="0" applyProtection="0"/>
    <xf numFmtId="0" fontId="94" fillId="28" borderId="0" applyNumberFormat="0" applyBorder="0" applyAlignment="0" applyProtection="0"/>
    <xf numFmtId="0" fontId="121" fillId="28"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3" borderId="0" applyNumberFormat="0" applyBorder="0" applyAlignment="0" applyProtection="0"/>
    <xf numFmtId="0" fontId="94" fillId="31"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16"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34" borderId="0" applyNumberFormat="0" applyBorder="0" applyAlignment="0" applyProtection="0"/>
    <xf numFmtId="0" fontId="94" fillId="28" borderId="0" applyNumberFormat="0" applyBorder="0" applyAlignment="0" applyProtection="0"/>
    <xf numFmtId="0" fontId="121" fillId="34"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6" borderId="0" applyNumberFormat="0" applyBorder="0" applyAlignment="0" applyProtection="0"/>
    <xf numFmtId="0" fontId="94" fillId="16"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74" fillId="20" borderId="0" applyNumberFormat="0" applyBorder="0" applyAlignment="0" applyProtection="0"/>
    <xf numFmtId="0" fontId="74" fillId="23" borderId="0" applyNumberFormat="0" applyBorder="0" applyAlignment="0" applyProtection="0"/>
    <xf numFmtId="0" fontId="77" fillId="20"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77" fillId="23"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37" borderId="0" applyNumberFormat="0" applyBorder="0" applyAlignment="0" applyProtection="0"/>
    <xf numFmtId="0" fontId="94" fillId="17" borderId="0" applyNumberFormat="0" applyBorder="0" applyAlignment="0" applyProtection="0"/>
    <xf numFmtId="0" fontId="94" fillId="15"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77" fillId="27" borderId="0" applyNumberFormat="0" applyBorder="0" applyAlignment="0" applyProtection="0"/>
    <xf numFmtId="0" fontId="94" fillId="38" borderId="0" applyNumberFormat="0" applyBorder="0" applyAlignment="0" applyProtection="0"/>
    <xf numFmtId="0" fontId="94" fillId="20" borderId="0" applyNumberFormat="0" applyBorder="0" applyAlignment="0" applyProtection="0"/>
    <xf numFmtId="0" fontId="121" fillId="38"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9"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5" fillId="4" borderId="0" applyNumberFormat="0" applyBorder="0" applyAlignment="0" applyProtection="0"/>
    <xf numFmtId="0" fontId="96" fillId="27" borderId="0" applyNumberFormat="0" applyBorder="0" applyAlignment="0" applyProtection="0"/>
    <xf numFmtId="0" fontId="95" fillId="4"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4" borderId="0" applyNumberFormat="0" applyBorder="0" applyAlignment="0" applyProtection="0"/>
    <xf numFmtId="0" fontId="97" fillId="6"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0" fontId="98" fillId="40" borderId="1" applyNumberFormat="0" applyAlignment="0" applyProtection="0"/>
    <xf numFmtId="0" fontId="99" fillId="41" borderId="1" applyNumberFormat="0" applyAlignment="0" applyProtection="0"/>
    <xf numFmtId="0" fontId="98" fillId="40" borderId="1" applyNumberFormat="0" applyAlignment="0" applyProtection="0"/>
    <xf numFmtId="0" fontId="100" fillId="42" borderId="1" applyNumberFormat="0" applyAlignment="0" applyProtection="0"/>
    <xf numFmtId="0" fontId="100" fillId="42" borderId="1" applyNumberFormat="0" applyAlignment="0" applyProtection="0"/>
    <xf numFmtId="0" fontId="98" fillId="40" borderId="1" applyNumberFormat="0" applyAlignment="0" applyProtection="0"/>
    <xf numFmtId="0" fontId="98" fillId="40"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0"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0" fontId="102" fillId="0" borderId="3"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0" fontId="101" fillId="43" borderId="2" applyNumberFormat="0" applyAlignment="0" applyProtection="0"/>
    <xf numFmtId="0" fontId="101" fillId="29" borderId="2" applyNumberFormat="0" applyAlignment="0" applyProtection="0"/>
    <xf numFmtId="216" fontId="8" fillId="0" borderId="0" applyFont="0" applyFill="0" applyBorder="0" applyAlignment="0" applyProtection="0"/>
    <xf numFmtId="216" fontId="8" fillId="0" borderId="0" applyFont="0" applyFill="0" applyBorder="0" applyAlignment="0" applyProtection="0"/>
    <xf numFmtId="217" fontId="8" fillId="0" borderId="0" applyFont="0" applyFill="0" applyBorder="0" applyAlignment="0" applyProtection="0"/>
    <xf numFmtId="218" fontId="8" fillId="0" borderId="0" applyFont="0" applyFill="0" applyBorder="0" applyAlignment="0" applyProtection="0"/>
    <xf numFmtId="172" fontId="8" fillId="0" borderId="0" applyFont="0" applyFill="0" applyBorder="0" applyAlignment="0" applyProtection="0"/>
    <xf numFmtId="169" fontId="80" fillId="0" borderId="0" applyFont="0" applyFill="0" applyBorder="0" applyAlignment="0" applyProtection="0"/>
    <xf numFmtId="219" fontId="8" fillId="0" borderId="0" applyFont="0" applyFill="0" applyBorder="0" applyAlignment="0" applyProtection="0"/>
    <xf numFmtId="169" fontId="80" fillId="0" borderId="0" applyFont="0" applyFill="0" applyBorder="0" applyAlignment="0" applyProtection="0"/>
    <xf numFmtId="175" fontId="8" fillId="0" borderId="0" applyFont="0" applyFill="0" applyBorder="0" applyAlignment="0" applyProtection="0"/>
    <xf numFmtId="173" fontId="7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0"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74"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2" fontId="8" fillId="0" borderId="0" applyFont="0" applyFill="0" applyBorder="0" applyAlignment="0" applyProtection="0"/>
    <xf numFmtId="172" fontId="8" fillId="0" borderId="0" applyFont="0" applyFill="0" applyBorder="0" applyAlignment="0" applyProtection="0"/>
    <xf numFmtId="169" fontId="8" fillId="0" borderId="0" applyFont="0" applyFill="0" applyBorder="0" applyAlignment="0" applyProtection="0"/>
    <xf numFmtId="220" fontId="8" fillId="0" borderId="0" applyFont="0" applyFill="0" applyBorder="0" applyAlignment="0" applyProtection="0"/>
    <xf numFmtId="172" fontId="8" fillId="0" borderId="0" applyFont="0" applyFill="0" applyBorder="0" applyAlignment="0" applyProtection="0"/>
    <xf numFmtId="42" fontId="8" fillId="0" borderId="0" applyFont="0" applyFill="0" applyBorder="0" applyAlignment="0" applyProtection="0"/>
    <xf numFmtId="207" fontId="8"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207" fontId="8" fillId="0" borderId="0" applyFont="0" applyFill="0" applyBorder="0" applyAlignment="0" applyProtection="0"/>
    <xf numFmtId="172" fontId="8" fillId="0" borderId="0" applyFont="0" applyFill="0" applyBorder="0" applyAlignment="0" applyProtection="0"/>
    <xf numFmtId="207" fontId="8" fillId="0" borderId="0" applyFont="0" applyFill="0" applyBorder="0" applyAlignment="0" applyProtection="0"/>
    <xf numFmtId="168" fontId="8" fillId="0" borderId="0" applyFont="0" applyFill="0" applyAlignment="0" applyProtection="0"/>
    <xf numFmtId="216" fontId="8" fillId="0" borderId="0" applyFont="0" applyFill="0" applyBorder="0" applyAlignment="0" applyProtection="0"/>
    <xf numFmtId="43" fontId="8" fillId="0" borderId="0" applyFont="0" applyFill="0" applyBorder="0" applyAlignment="0" applyProtection="0"/>
    <xf numFmtId="7" fontId="8" fillId="0" borderId="0" applyFont="0" applyFill="0" applyBorder="0" applyAlignment="0" applyProtection="0"/>
    <xf numFmtId="168" fontId="8" fillId="0" borderId="0" applyFont="0" applyFill="0" applyAlignment="0" applyProtection="0"/>
    <xf numFmtId="164" fontId="8" fillId="0" borderId="0" applyFont="0" applyFill="0" applyBorder="0" applyAlignment="0" applyProtection="0"/>
    <xf numFmtId="168" fontId="8" fillId="0" borderId="0" applyFont="0" applyFill="0" applyAlignment="0" applyProtection="0"/>
    <xf numFmtId="164"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17"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4" fontId="43"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0" fontId="76" fillId="44" borderId="0" applyNumberFormat="0" applyBorder="0" applyAlignment="0" applyProtection="0"/>
    <xf numFmtId="0" fontId="78"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8" fillId="45" borderId="0" applyNumberFormat="0" applyBorder="0" applyAlignment="0" applyProtection="0"/>
    <xf numFmtId="0" fontId="76" fillId="47" borderId="0" applyNumberFormat="0" applyBorder="0" applyAlignment="0" applyProtection="0"/>
    <xf numFmtId="0" fontId="78" fillId="47" borderId="0" applyNumberFormat="0" applyBorder="0" applyAlignment="0" applyProtection="0"/>
    <xf numFmtId="0" fontId="108" fillId="0" borderId="5" applyNumberFormat="0" applyFill="0" applyAlignment="0" applyProtection="0"/>
    <xf numFmtId="0" fontId="103"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94" fillId="2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94" fillId="28"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74" fillId="21" borderId="0" applyNumberFormat="0" applyBorder="0" applyAlignment="0" applyProtection="0"/>
    <xf numFmtId="0" fontId="74" fillId="28" borderId="0" applyNumberFormat="0" applyBorder="0" applyAlignment="0" applyProtection="0"/>
    <xf numFmtId="0" fontId="94" fillId="28"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04" fillId="9"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02" fontId="43" fillId="0" borderId="0" applyFont="0" applyFill="0" applyBorder="0" applyAlignment="0" applyProtection="0"/>
    <xf numFmtId="20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203" fontId="8" fillId="0" borderId="0" applyFont="0" applyFill="0" applyBorder="0" applyAlignment="0" applyProtection="0"/>
    <xf numFmtId="22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21" fontId="18" fillId="0" borderId="0" applyFont="0" applyFill="0" applyBorder="0" applyAlignment="0" applyProtection="0"/>
    <xf numFmtId="171" fontId="8" fillId="0" borderId="0" applyFont="0" applyFill="0" applyBorder="0" applyAlignment="0" applyProtection="0"/>
    <xf numFmtId="44" fontId="8" fillId="0" borderId="0" applyFont="0" applyFill="0" applyBorder="0" applyAlignment="0" applyProtection="0"/>
    <xf numFmtId="202" fontId="43" fillId="0" borderId="0" applyFont="0" applyFill="0" applyBorder="0" applyAlignment="0" applyProtection="0"/>
    <xf numFmtId="222" fontId="130" fillId="0" borderId="0"/>
    <xf numFmtId="223" fontId="130" fillId="0" borderId="0"/>
    <xf numFmtId="0" fontId="105" fillId="0" borderId="0" applyNumberFormat="0" applyFill="0" applyBorder="0" applyAlignment="0" applyProtection="0"/>
    <xf numFmtId="0" fontId="105" fillId="0" borderId="0" applyNumberFormat="0" applyFill="0" applyBorder="0" applyAlignment="0" applyProtection="0"/>
    <xf numFmtId="205" fontId="106" fillId="0" borderId="0">
      <protection locked="0"/>
    </xf>
    <xf numFmtId="205" fontId="106" fillId="0" borderId="0">
      <protection locked="0"/>
    </xf>
    <xf numFmtId="205" fontId="106"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0" fontId="12" fillId="0" borderId="0" applyNumberFormat="0" applyFill="0" applyBorder="0" applyAlignment="0" applyProtection="0">
      <alignment vertical="top"/>
      <protection locked="0"/>
    </xf>
    <xf numFmtId="0" fontId="97" fillId="6" borderId="0" applyNumberFormat="0" applyBorder="0" applyAlignment="0" applyProtection="0"/>
    <xf numFmtId="0" fontId="97" fillId="32" borderId="0" applyNumberFormat="0" applyBorder="0" applyAlignment="0" applyProtection="0"/>
    <xf numFmtId="0" fontId="97" fillId="6" borderId="0" applyNumberFormat="0" applyBorder="0" applyAlignment="0" applyProtection="0"/>
    <xf numFmtId="0" fontId="97" fillId="10" borderId="0" applyNumberFormat="0" applyBorder="0" applyAlignment="0" applyProtection="0"/>
    <xf numFmtId="0" fontId="97" fillId="6" borderId="0" applyNumberFormat="0" applyBorder="0" applyAlignment="0" applyProtection="0"/>
    <xf numFmtId="0" fontId="108" fillId="0" borderId="5" applyNumberFormat="0" applyFill="0" applyAlignment="0" applyProtection="0"/>
    <xf numFmtId="0" fontId="109" fillId="0" borderId="6" applyNumberFormat="0" applyFill="0" applyAlignment="0" applyProtection="0"/>
    <xf numFmtId="0" fontId="108" fillId="0" borderId="5" applyNumberFormat="0" applyFill="0" applyAlignment="0" applyProtection="0"/>
    <xf numFmtId="0" fontId="109" fillId="0" borderId="7" applyNumberFormat="0" applyFill="0" applyAlignment="0" applyProtection="0"/>
    <xf numFmtId="0" fontId="109" fillId="0" borderId="7" applyNumberFormat="0" applyFill="0" applyAlignment="0" applyProtection="0"/>
    <xf numFmtId="0" fontId="108" fillId="0" borderId="5" applyNumberFormat="0" applyFill="0" applyAlignment="0" applyProtection="0"/>
    <xf numFmtId="0" fontId="110" fillId="0" borderId="8" applyNumberFormat="0" applyFill="0" applyAlignment="0" applyProtection="0"/>
    <xf numFmtId="0" fontId="111" fillId="0" borderId="9" applyNumberFormat="0" applyFill="0" applyAlignment="0" applyProtection="0"/>
    <xf numFmtId="0" fontId="110" fillId="0" borderId="8" applyNumberFormat="0" applyFill="0" applyAlignment="0" applyProtection="0"/>
    <xf numFmtId="0" fontId="111" fillId="0" borderId="10" applyNumberFormat="0" applyFill="0" applyAlignment="0" applyProtection="0"/>
    <xf numFmtId="0" fontId="111" fillId="0" borderId="10" applyNumberFormat="0" applyFill="0" applyAlignment="0" applyProtection="0"/>
    <xf numFmtId="0" fontId="110" fillId="0" borderId="8"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215" fontId="122" fillId="0" borderId="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5" fillId="4"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0" fontId="104" fillId="9" borderId="1" applyNumberFormat="0" applyAlignment="0" applyProtection="0"/>
    <xf numFmtId="0" fontId="113" fillId="38" borderId="1" applyNumberFormat="0" applyAlignment="0" applyProtection="0"/>
    <xf numFmtId="0" fontId="104" fillId="9" borderId="1" applyNumberFormat="0" applyAlignment="0" applyProtection="0"/>
    <xf numFmtId="0" fontId="104" fillId="12" borderId="1" applyNumberFormat="0" applyAlignment="0" applyProtection="0"/>
    <xf numFmtId="0" fontId="104" fillId="9" borderId="1" applyNumberFormat="0" applyAlignment="0" applyProtection="0"/>
    <xf numFmtId="0" fontId="102" fillId="0" borderId="3" applyNumberFormat="0" applyFill="0" applyAlignment="0" applyProtection="0"/>
    <xf numFmtId="0" fontId="114" fillId="0" borderId="13" applyNumberFormat="0" applyFill="0" applyAlignment="0" applyProtection="0"/>
    <xf numFmtId="0" fontId="102" fillId="0" borderId="3" applyNumberFormat="0" applyFill="0" applyAlignment="0" applyProtection="0"/>
    <xf numFmtId="0" fontId="115" fillId="0" borderId="4" applyNumberFormat="0" applyFill="0" applyAlignment="0" applyProtection="0"/>
    <xf numFmtId="0" fontId="102" fillId="0" borderId="3" applyNumberFormat="0" applyFill="0" applyAlignment="0" applyProtection="0"/>
    <xf numFmtId="169" fontId="8" fillId="0" borderId="0" applyFont="0" applyFill="0" applyBorder="0" applyAlignment="0" applyProtection="0"/>
    <xf numFmtId="167" fontId="29" fillId="0" borderId="0" applyFont="0" applyFill="0" applyBorder="0" applyAlignment="0" applyProtection="0"/>
    <xf numFmtId="0"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0" fontId="43" fillId="0" borderId="0" applyFont="0" applyFill="0" applyBorder="0" applyAlignment="0" applyProtection="0"/>
    <xf numFmtId="43" fontId="8" fillId="0" borderId="0" applyFont="0" applyFill="0" applyBorder="0" applyAlignment="0" applyProtection="0"/>
    <xf numFmtId="169" fontId="124" fillId="0" borderId="0" applyFont="0" applyFill="0" applyBorder="0" applyAlignment="0" applyProtection="0"/>
    <xf numFmtId="169" fontId="8" fillId="0" borderId="0" applyFont="0" applyFill="0" applyBorder="0" applyAlignment="0" applyProtection="0"/>
    <xf numFmtId="168" fontId="8" fillId="0" borderId="0" applyFont="0" applyFill="0" applyBorder="0" applyAlignment="0" applyProtection="0"/>
    <xf numFmtId="207"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29"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7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43" fontId="10"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14"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86" fontId="8" fillId="0" borderId="0" applyFill="0" applyBorder="0" applyAlignment="0" applyProtection="0"/>
    <xf numFmtId="0" fontId="8"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73" fontId="29"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207"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214" fontId="8" fillId="0" borderId="0" applyFont="0" applyFill="0" applyBorder="0" applyAlignment="0" applyProtection="0"/>
    <xf numFmtId="169" fontId="29"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3" fontId="80" fillId="0" borderId="0" applyFont="0" applyFill="0" applyBorder="0" applyAlignment="0" applyProtection="0"/>
    <xf numFmtId="169" fontId="80" fillId="0" borderId="0" applyFont="0" applyFill="0" applyBorder="0" applyAlignment="0" applyProtection="0"/>
    <xf numFmtId="20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24" fillId="0" borderId="0" applyFont="0" applyFill="0" applyBorder="0" applyAlignment="0" applyProtection="0"/>
    <xf numFmtId="169" fontId="125" fillId="0" borderId="0" applyFont="0" applyFill="0" applyBorder="0" applyAlignment="0" applyProtection="0"/>
    <xf numFmtId="169" fontId="80" fillId="0" borderId="0" applyFont="0" applyFill="0" applyBorder="0" applyAlignment="0" applyProtection="0"/>
    <xf numFmtId="169" fontId="125" fillId="0" borderId="0" applyFont="0" applyFill="0" applyBorder="0" applyAlignment="0" applyProtection="0"/>
    <xf numFmtId="169" fontId="8" fillId="0" borderId="0" applyFont="0" applyFill="0" applyBorder="0" applyAlignment="0" applyProtection="0"/>
    <xf numFmtId="169" fontId="125"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9" fontId="8" fillId="0" borderId="0" applyFont="0" applyFill="0" applyBorder="0" applyAlignment="0" applyProtection="0"/>
    <xf numFmtId="230" fontId="8" fillId="0" borderId="0" applyFont="0" applyFill="0" applyBorder="0" applyAlignment="0" applyProtection="0"/>
    <xf numFmtId="176" fontId="8" fillId="0" borderId="0" applyFont="0" applyFill="0" applyBorder="0" applyAlignment="0" applyProtection="0"/>
    <xf numFmtId="207" fontId="8" fillId="0" borderId="0" applyFont="0" applyFill="0" applyBorder="0" applyAlignment="0" applyProtection="0"/>
    <xf numFmtId="169" fontId="125" fillId="0" borderId="0" applyFont="0" applyFill="0" applyBorder="0" applyAlignment="0" applyProtection="0"/>
    <xf numFmtId="41" fontId="8" fillId="0" borderId="0" applyFont="0" applyFill="0" applyBorder="0" applyAlignment="0" applyProtection="0"/>
    <xf numFmtId="195" fontId="8" fillId="0" borderId="0" applyFont="0" applyFill="0" applyBorder="0" applyAlignment="0" applyProtection="0"/>
    <xf numFmtId="41"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9" fontId="8" fillId="0" borderId="0" applyFont="0" applyFill="0" applyBorder="0" applyAlignment="0" applyProtection="0"/>
    <xf numFmtId="169" fontId="74"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8" fontId="8" fillId="0" borderId="0" applyFont="0" applyFill="0" applyBorder="0" applyAlignment="0" applyProtection="0"/>
    <xf numFmtId="8" fontId="8" fillId="0" borderId="0" applyFont="0" applyFill="0" applyBorder="0" applyAlignment="0" applyProtection="0"/>
    <xf numFmtId="173" fontId="8" fillId="0" borderId="0" applyFont="0" applyFill="0" applyBorder="0" applyAlignment="0" applyProtection="0"/>
    <xf numFmtId="169" fontId="74" fillId="0" borderId="0" applyFont="0" applyFill="0" applyBorder="0" applyAlignment="0" applyProtection="0"/>
    <xf numFmtId="195" fontId="8" fillId="0" borderId="0" applyFont="0" applyFill="0" applyBorder="0" applyAlignment="0" applyProtection="0"/>
    <xf numFmtId="8" fontId="8" fillId="0" borderId="0" applyFont="0" applyFill="0" applyBorder="0" applyAlignment="0" applyProtection="0"/>
    <xf numFmtId="43" fontId="8" fillId="0" borderId="0" applyFont="0" applyFill="0" applyBorder="0" applyAlignment="0" applyProtection="0"/>
    <xf numFmtId="169" fontId="126"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207"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169" fontId="125" fillId="0" borderId="0" applyFont="0" applyFill="0" applyBorder="0" applyAlignment="0" applyProtection="0"/>
    <xf numFmtId="169" fontId="125"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9" fontId="125" fillId="0" borderId="0" applyFont="0" applyFill="0" applyBorder="0" applyAlignment="0" applyProtection="0"/>
    <xf numFmtId="169" fontId="127"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169" fontId="35"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208" fontId="8" fillId="0" borderId="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0" fillId="0" borderId="0" applyFont="0" applyFill="0" applyBorder="0" applyAlignment="0" applyProtection="0"/>
    <xf numFmtId="169" fontId="80" fillId="0" borderId="0" applyFont="0" applyFill="0" applyBorder="0" applyAlignment="0" applyProtection="0"/>
    <xf numFmtId="42"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169" fontId="35" fillId="0" borderId="0" applyFont="0" applyFill="0" applyBorder="0" applyAlignment="0" applyProtection="0"/>
    <xf numFmtId="173" fontId="74" fillId="0" borderId="0" applyFont="0" applyFill="0" applyBorder="0" applyAlignment="0" applyProtection="0"/>
    <xf numFmtId="209" fontId="8" fillId="0" borderId="0" applyFont="0" applyFill="0" applyBorder="0" applyAlignment="0" applyProtection="0"/>
    <xf numFmtId="169" fontId="8" fillId="0" borderId="0" applyFont="0" applyFill="0" applyBorder="0" applyAlignment="0" applyProtection="0"/>
    <xf numFmtId="210"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7"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191"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180" fontId="8" fillId="0" borderId="0" applyFont="0" applyFill="0" applyBorder="0" applyAlignment="0" applyProtection="0"/>
    <xf numFmtId="210" fontId="8" fillId="0" borderId="0" applyFont="0" applyFill="0" applyBorder="0" applyAlignment="0" applyProtection="0"/>
    <xf numFmtId="210"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169" fontId="74"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191" fontId="8" fillId="0" borderId="0" applyFont="0" applyFill="0" applyBorder="0" applyAlignment="0" applyProtection="0"/>
    <xf numFmtId="169" fontId="74"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29" fontId="8" fillId="0" borderId="0" applyFont="0" applyFill="0" applyBorder="0" applyAlignment="0" applyProtection="0"/>
    <xf numFmtId="169" fontId="8" fillId="0" borderId="0" applyFont="0" applyFill="0" applyBorder="0" applyAlignment="0" applyProtection="0"/>
    <xf numFmtId="229" fontId="8" fillId="0" borderId="0" applyFont="0" applyFill="0" applyBorder="0" applyAlignment="0" applyProtection="0"/>
    <xf numFmtId="205" fontId="8"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169" fontId="80"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10"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224" fontId="4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168"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171" fontId="80" fillId="0" borderId="0" applyFont="0" applyFill="0" applyBorder="0" applyAlignment="0" applyProtection="0"/>
    <xf numFmtId="211" fontId="80" fillId="0" borderId="0" applyFont="0" applyFill="0" applyBorder="0" applyAlignment="0" applyProtection="0"/>
    <xf numFmtId="171" fontId="80" fillId="0" borderId="0" applyFont="0" applyFill="0" applyBorder="0" applyAlignment="0" applyProtection="0"/>
    <xf numFmtId="195" fontId="8" fillId="0" borderId="0" applyFont="0" applyFill="0" applyBorder="0" applyAlignment="0" applyProtection="0"/>
    <xf numFmtId="0" fontId="8" fillId="0" borderId="0" applyFill="0" applyBorder="0" applyAlignment="0" applyProtection="0"/>
    <xf numFmtId="211" fontId="1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8" fontId="8" fillId="0" borderId="0" applyFont="0" applyFill="0" applyBorder="0" applyAlignment="0" applyProtection="0"/>
    <xf numFmtId="195" fontId="8" fillId="0" borderId="0" applyFont="0" applyFill="0" applyBorder="0" applyAlignment="0" applyProtection="0"/>
    <xf numFmtId="226" fontId="8" fillId="0" borderId="0" applyFont="0" applyFill="0" applyBorder="0" applyAlignment="0" applyProtection="0"/>
    <xf numFmtId="171" fontId="125" fillId="0" borderId="0" applyFont="0" applyFill="0" applyBorder="0" applyAlignment="0" applyProtection="0"/>
    <xf numFmtId="226" fontId="8" fillId="0" borderId="0" applyFont="0" applyFill="0" applyBorder="0" applyAlignment="0" applyProtection="0"/>
    <xf numFmtId="168"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168" fontId="74" fillId="0" borderId="0" applyFont="0" applyFill="0" applyBorder="0" applyAlignment="0" applyProtection="0"/>
    <xf numFmtId="227" fontId="8" fillId="0" borderId="0" applyFont="0" applyFill="0" applyBorder="0" applyAlignment="0" applyProtection="0"/>
    <xf numFmtId="171" fontId="80" fillId="0" borderId="0" applyFont="0" applyFill="0" applyBorder="0" applyAlignment="0" applyProtection="0"/>
    <xf numFmtId="0" fontId="114" fillId="38" borderId="0" applyNumberFormat="0" applyBorder="0" applyAlignment="0" applyProtection="0"/>
    <xf numFmtId="0" fontId="128" fillId="12" borderId="0" applyNumberFormat="0" applyBorder="0" applyAlignment="0" applyProtection="0"/>
    <xf numFmtId="0" fontId="131" fillId="64"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0" fontId="116" fillId="0" borderId="0"/>
    <xf numFmtId="0" fontId="116" fillId="0" borderId="0"/>
    <xf numFmtId="184" fontId="117" fillId="0" borderId="0"/>
    <xf numFmtId="0" fontId="8" fillId="0" borderId="0"/>
    <xf numFmtId="0" fontId="8" fillId="0" borderId="0"/>
    <xf numFmtId="0" fontId="8" fillId="0" borderId="0"/>
    <xf numFmtId="39" fontId="16" fillId="0" borderId="0"/>
    <xf numFmtId="0" fontId="8" fillId="0" borderId="0"/>
    <xf numFmtId="198" fontId="18" fillId="0" borderId="0"/>
    <xf numFmtId="0" fontId="43" fillId="0" borderId="0"/>
    <xf numFmtId="39" fontId="16" fillId="0" borderId="0"/>
    <xf numFmtId="0" fontId="8" fillId="0" borderId="0"/>
    <xf numFmtId="0" fontId="8" fillId="0" borderId="0"/>
    <xf numFmtId="215" fontId="74" fillId="0" borderId="0"/>
    <xf numFmtId="0" fontId="8" fillId="0" borderId="0"/>
    <xf numFmtId="39" fontId="15" fillId="0" borderId="0"/>
    <xf numFmtId="0" fontId="132" fillId="0" borderId="0"/>
    <xf numFmtId="0" fontId="132" fillId="0" borderId="0"/>
    <xf numFmtId="39" fontId="16" fillId="0" borderId="0"/>
    <xf numFmtId="0" fontId="8" fillId="0" borderId="0"/>
    <xf numFmtId="0" fontId="132" fillId="0" borderId="0"/>
    <xf numFmtId="198" fontId="18"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2" fillId="0" borderId="0"/>
    <xf numFmtId="0" fontId="132" fillId="0" borderId="0"/>
    <xf numFmtId="0" fontId="132" fillId="0" borderId="0"/>
    <xf numFmtId="0" fontId="132" fillId="0" borderId="0"/>
    <xf numFmtId="215" fontId="74" fillId="0" borderId="0"/>
    <xf numFmtId="0" fontId="43"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215" fontId="74" fillId="0" borderId="0"/>
    <xf numFmtId="39" fontId="16" fillId="0" borderId="0"/>
    <xf numFmtId="0" fontId="8" fillId="0" borderId="0"/>
    <xf numFmtId="39" fontId="16" fillId="0" borderId="0"/>
    <xf numFmtId="215" fontId="132" fillId="0" borderId="0"/>
    <xf numFmtId="0" fontId="133" fillId="0" borderId="0"/>
    <xf numFmtId="0" fontId="8" fillId="0" borderId="0"/>
    <xf numFmtId="215" fontId="132" fillId="0" borderId="0"/>
    <xf numFmtId="0" fontId="8" fillId="0" borderId="0"/>
    <xf numFmtId="0" fontId="8" fillId="0" borderId="0"/>
    <xf numFmtId="0" fontId="8" fillId="0" borderId="0"/>
    <xf numFmtId="0" fontId="127" fillId="0" borderId="0"/>
    <xf numFmtId="0" fontId="8" fillId="0" borderId="0"/>
    <xf numFmtId="0" fontId="8" fillId="0" borderId="0"/>
    <xf numFmtId="0" fontId="132" fillId="0" borderId="0"/>
    <xf numFmtId="0" fontId="8" fillId="0" borderId="0"/>
    <xf numFmtId="0" fontId="8" fillId="0" borderId="0"/>
    <xf numFmtId="0" fontId="132" fillId="0" borderId="0"/>
    <xf numFmtId="0" fontId="132" fillId="0" borderId="0"/>
    <xf numFmtId="0" fontId="134" fillId="0" borderId="0"/>
    <xf numFmtId="0" fontId="127" fillId="0" borderId="0"/>
    <xf numFmtId="0" fontId="8" fillId="0" borderId="0"/>
    <xf numFmtId="0" fontId="8" fillId="0" borderId="0"/>
    <xf numFmtId="0" fontId="8" fillId="0" borderId="0"/>
    <xf numFmtId="0" fontId="134" fillId="0" borderId="0"/>
    <xf numFmtId="0" fontId="18" fillId="0" borderId="0"/>
    <xf numFmtId="228" fontId="18" fillId="0" borderId="0"/>
    <xf numFmtId="0" fontId="8" fillId="0" borderId="0"/>
    <xf numFmtId="0" fontId="132" fillId="0" borderId="0"/>
    <xf numFmtId="0" fontId="8" fillId="0" borderId="0"/>
    <xf numFmtId="0" fontId="132" fillId="0" borderId="0"/>
    <xf numFmtId="0" fontId="126" fillId="0" borderId="0"/>
    <xf numFmtId="0" fontId="126"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8" fillId="0" borderId="0"/>
    <xf numFmtId="215" fontId="132" fillId="0" borderId="0"/>
    <xf numFmtId="0" fontId="132" fillId="0" borderId="0"/>
    <xf numFmtId="0" fontId="133" fillId="0" borderId="0"/>
    <xf numFmtId="215" fontId="132" fillId="0" borderId="0"/>
    <xf numFmtId="0" fontId="8" fillId="0" borderId="0"/>
    <xf numFmtId="215" fontId="8" fillId="0" borderId="0"/>
    <xf numFmtId="0" fontId="133" fillId="0" borderId="0"/>
    <xf numFmtId="215" fontId="8" fillId="0" borderId="0"/>
    <xf numFmtId="0" fontId="8" fillId="0" borderId="0"/>
    <xf numFmtId="0" fontId="8" fillId="0" borderId="0"/>
    <xf numFmtId="0" fontId="132" fillId="0" borderId="0"/>
    <xf numFmtId="0" fontId="8" fillId="0" borderId="0"/>
    <xf numFmtId="0" fontId="8" fillId="0" borderId="0"/>
    <xf numFmtId="0" fontId="43" fillId="0" borderId="0"/>
    <xf numFmtId="0" fontId="132" fillId="0" borderId="0"/>
    <xf numFmtId="0" fontId="132" fillId="0" borderId="0"/>
    <xf numFmtId="0" fontId="8" fillId="0" borderId="0"/>
    <xf numFmtId="0" fontId="132" fillId="0" borderId="0"/>
    <xf numFmtId="0" fontId="8" fillId="0" borderId="0"/>
    <xf numFmtId="0" fontId="132" fillId="0" borderId="0"/>
    <xf numFmtId="0" fontId="134" fillId="0" borderId="0"/>
    <xf numFmtId="0" fontId="8" fillId="0" borderId="0"/>
    <xf numFmtId="0" fontId="132" fillId="0" borderId="0"/>
    <xf numFmtId="184" fontId="18" fillId="0" borderId="0"/>
    <xf numFmtId="0" fontId="134" fillId="0" borderId="0"/>
    <xf numFmtId="0" fontId="43" fillId="0" borderId="0"/>
    <xf numFmtId="0" fontId="10" fillId="0" borderId="0"/>
    <xf numFmtId="0" fontId="134" fillId="0" borderId="0"/>
    <xf numFmtId="198" fontId="18" fillId="0" borderId="0"/>
    <xf numFmtId="0" fontId="132" fillId="0" borderId="0"/>
    <xf numFmtId="0" fontId="10" fillId="0" borderId="0"/>
    <xf numFmtId="0" fontId="8" fillId="0" borderId="0"/>
    <xf numFmtId="39" fontId="16" fillId="0" borderId="0"/>
    <xf numFmtId="0" fontId="8" fillId="0" borderId="0"/>
    <xf numFmtId="39" fontId="15" fillId="0" borderId="0"/>
    <xf numFmtId="0" fontId="132" fillId="0" borderId="0"/>
    <xf numFmtId="0" fontId="132" fillId="0" borderId="0"/>
    <xf numFmtId="0" fontId="132" fillId="0" borderId="0"/>
    <xf numFmtId="0" fontId="132" fillId="0" borderId="0"/>
    <xf numFmtId="181" fontId="116" fillId="0" borderId="0"/>
    <xf numFmtId="212" fontId="118" fillId="0" borderId="0"/>
    <xf numFmtId="0" fontId="132" fillId="0" borderId="0"/>
    <xf numFmtId="0" fontId="29" fillId="0" borderId="0"/>
    <xf numFmtId="0" fontId="29" fillId="0" borderId="0"/>
    <xf numFmtId="0" fontId="74" fillId="0" borderId="0"/>
    <xf numFmtId="181" fontId="116" fillId="0" borderId="0"/>
    <xf numFmtId="0" fontId="8" fillId="0" borderId="0"/>
    <xf numFmtId="0" fontId="132" fillId="0" borderId="0"/>
    <xf numFmtId="0" fontId="116" fillId="0" borderId="0"/>
    <xf numFmtId="228" fontId="18" fillId="0" borderId="0"/>
    <xf numFmtId="0" fontId="132" fillId="0" borderId="0"/>
    <xf numFmtId="0" fontId="132" fillId="0" borderId="0"/>
    <xf numFmtId="39" fontId="16"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8" fillId="0" borderId="0"/>
    <xf numFmtId="0" fontId="8" fillId="0" borderId="0"/>
    <xf numFmtId="0" fontId="8" fillId="0" borderId="0"/>
    <xf numFmtId="198" fontId="18" fillId="0" borderId="0"/>
    <xf numFmtId="0" fontId="8" fillId="0" borderId="0"/>
    <xf numFmtId="0" fontId="134" fillId="0" borderId="0"/>
    <xf numFmtId="0" fontId="127" fillId="0" borderId="0"/>
    <xf numFmtId="0" fontId="8" fillId="0" borderId="0"/>
    <xf numFmtId="0" fontId="8" fillId="0" borderId="0"/>
    <xf numFmtId="0" fontId="132" fillId="0" borderId="0"/>
    <xf numFmtId="0" fontId="132"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215" fontId="43" fillId="0" borderId="0"/>
    <xf numFmtId="0" fontId="132" fillId="0" borderId="0"/>
    <xf numFmtId="0" fontId="132" fillId="0" borderId="0"/>
    <xf numFmtId="0" fontId="132" fillId="0" borderId="0"/>
    <xf numFmtId="0" fontId="132" fillId="0" borderId="0"/>
    <xf numFmtId="0" fontId="132" fillId="0" borderId="0"/>
    <xf numFmtId="0" fontId="29" fillId="0" borderId="0"/>
    <xf numFmtId="0" fontId="132" fillId="0" borderId="0"/>
    <xf numFmtId="0" fontId="74" fillId="0" borderId="0"/>
    <xf numFmtId="0" fontId="132" fillId="0" borderId="0"/>
    <xf numFmtId="215" fontId="43" fillId="0" borderId="0"/>
    <xf numFmtId="0" fontId="35"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43" fillId="0" borderId="0"/>
    <xf numFmtId="215" fontId="43" fillId="0" borderId="0"/>
    <xf numFmtId="215" fontId="43" fillId="0" borderId="0"/>
    <xf numFmtId="215" fontId="43" fillId="0" borderId="0"/>
    <xf numFmtId="215" fontId="43" fillId="0" borderId="0"/>
    <xf numFmtId="195" fontId="18" fillId="0" borderId="0"/>
    <xf numFmtId="39" fontId="15" fillId="0" borderId="0"/>
    <xf numFmtId="190" fontId="116" fillId="0" borderId="0"/>
    <xf numFmtId="0" fontId="8" fillId="0" borderId="0"/>
    <xf numFmtId="0" fontId="132" fillId="0" borderId="0"/>
    <xf numFmtId="215" fontId="43" fillId="0" borderId="0"/>
    <xf numFmtId="0" fontId="74" fillId="0" borderId="0"/>
    <xf numFmtId="0" fontId="132" fillId="0" borderId="0"/>
    <xf numFmtId="0" fontId="132" fillId="0" borderId="0"/>
    <xf numFmtId="215" fontId="43" fillId="0" borderId="0"/>
    <xf numFmtId="0" fontId="132" fillId="0" borderId="0"/>
    <xf numFmtId="0" fontId="132" fillId="0" borderId="0"/>
    <xf numFmtId="215" fontId="43" fillId="0" borderId="0"/>
    <xf numFmtId="0" fontId="132"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16" fillId="0" borderId="0"/>
    <xf numFmtId="0" fontId="8" fillId="0" borderId="0"/>
    <xf numFmtId="0" fontId="8" fillId="0" borderId="0"/>
    <xf numFmtId="0" fontId="8" fillId="0" borderId="0"/>
    <xf numFmtId="0" fontId="8" fillId="0" borderId="0"/>
    <xf numFmtId="0" fontId="132" fillId="0" borderId="0"/>
    <xf numFmtId="0" fontId="74" fillId="0" borderId="0"/>
    <xf numFmtId="0" fontId="132"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192" fontId="74" fillId="0" borderId="0"/>
    <xf numFmtId="0" fontId="35" fillId="0" borderId="0"/>
    <xf numFmtId="39" fontId="15" fillId="0" borderId="0"/>
    <xf numFmtId="0" fontId="132" fillId="0" borderId="0"/>
    <xf numFmtId="0" fontId="8" fillId="0" borderId="0"/>
    <xf numFmtId="0" fontId="8" fillId="0" borderId="0"/>
    <xf numFmtId="0" fontId="8" fillId="0" borderId="0"/>
    <xf numFmtId="181" fontId="116" fillId="0" borderId="0"/>
    <xf numFmtId="215" fontId="74" fillId="0" borderId="0"/>
    <xf numFmtId="181" fontId="116" fillId="0" borderId="0"/>
    <xf numFmtId="0" fontId="10" fillId="0" borderId="0"/>
    <xf numFmtId="0" fontId="132" fillId="0" borderId="0"/>
    <xf numFmtId="0" fontId="8" fillId="0" borderId="0"/>
    <xf numFmtId="0" fontId="132" fillId="0" borderId="0"/>
    <xf numFmtId="230" fontId="116" fillId="0" borderId="0"/>
    <xf numFmtId="0" fontId="8" fillId="0" borderId="0"/>
    <xf numFmtId="0" fontId="132" fillId="0" borderId="0"/>
    <xf numFmtId="215" fontId="8" fillId="0" borderId="0"/>
    <xf numFmtId="230" fontId="116" fillId="0" borderId="0"/>
    <xf numFmtId="0" fontId="132" fillId="0" borderId="0"/>
    <xf numFmtId="0" fontId="8" fillId="0" borderId="0"/>
    <xf numFmtId="184" fontId="18" fillId="0" borderId="0"/>
    <xf numFmtId="0" fontId="8" fillId="0" borderId="0"/>
    <xf numFmtId="0" fontId="8" fillId="0" borderId="0"/>
    <xf numFmtId="0" fontId="8" fillId="0" borderId="0"/>
    <xf numFmtId="39" fontId="16" fillId="0" borderId="0"/>
    <xf numFmtId="184" fontId="18" fillId="0" borderId="0"/>
    <xf numFmtId="39" fontId="16"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39" fontId="16" fillId="0" borderId="0"/>
    <xf numFmtId="0" fontId="8" fillId="0" borderId="0"/>
    <xf numFmtId="0" fontId="8" fillId="0" borderId="0"/>
    <xf numFmtId="39" fontId="15" fillId="0" borderId="0"/>
    <xf numFmtId="39" fontId="16" fillId="0" borderId="0"/>
    <xf numFmtId="0" fontId="8" fillId="0" borderId="0"/>
    <xf numFmtId="39" fontId="16" fillId="0" borderId="0"/>
    <xf numFmtId="39" fontId="16" fillId="0" borderId="0"/>
    <xf numFmtId="0" fontId="8" fillId="0" borderId="0"/>
    <xf numFmtId="0" fontId="8" fillId="7" borderId="14" applyNumberFormat="0" applyFont="0" applyAlignment="0" applyProtection="0"/>
    <xf numFmtId="0" fontId="8"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0" fontId="8" fillId="7" borderId="14" applyNumberFormat="0" applyFont="0" applyAlignment="0" applyProtection="0"/>
    <xf numFmtId="0" fontId="8" fillId="2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43" fillId="7" borderId="14" applyNumberFormat="0" applyFont="0" applyAlignment="0" applyProtection="0"/>
    <xf numFmtId="0" fontId="8" fillId="7" borderId="14" applyNumberFormat="0" applyFont="0" applyAlignment="0" applyProtection="0"/>
    <xf numFmtId="0" fontId="119" fillId="40" borderId="15" applyNumberFormat="0" applyAlignment="0" applyProtection="0"/>
    <xf numFmtId="0" fontId="119" fillId="41" borderId="15" applyNumberFormat="0" applyAlignment="0" applyProtection="0"/>
    <xf numFmtId="0" fontId="119" fillId="40" borderId="15" applyNumberFormat="0" applyAlignment="0" applyProtection="0"/>
    <xf numFmtId="0" fontId="119" fillId="42" borderId="15" applyNumberFormat="0" applyAlignment="0" applyProtection="0"/>
    <xf numFmtId="0" fontId="119" fillId="42" borderId="15" applyNumberFormat="0" applyAlignment="0" applyProtection="0"/>
    <xf numFmtId="0" fontId="119" fillId="40"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ill="0" applyBorder="0" applyAlignment="0" applyProtection="0"/>
    <xf numFmtId="9" fontId="7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0" fontId="119" fillId="40"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0" fontId="120" fillId="0" borderId="0" applyNumberFormat="0" applyFill="0" applyBorder="0" applyAlignment="0" applyProtection="0"/>
    <xf numFmtId="0"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0"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108" fillId="0" borderId="5"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0" fontId="110" fillId="0" borderId="8"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0" fontId="103" fillId="0" borderId="11"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0" fontId="75"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0" fontId="120" fillId="0" borderId="0" applyNumberFormat="0" applyFill="0" applyBorder="0" applyAlignment="0" applyProtection="0"/>
    <xf numFmtId="0" fontId="76" fillId="0" borderId="17" applyNumberFormat="0" applyFill="0" applyAlignment="0" applyProtection="0"/>
    <xf numFmtId="0" fontId="76" fillId="0" borderId="16" applyNumberFormat="0" applyFill="0" applyAlignment="0" applyProtection="0"/>
    <xf numFmtId="0" fontId="135"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27" fontId="8"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2" fillId="0" borderId="0"/>
    <xf numFmtId="0" fontId="8" fillId="0" borderId="0"/>
    <xf numFmtId="231" fontId="8" fillId="0" borderId="0" applyFont="0" applyFill="0" applyBorder="0" applyAlignment="0" applyProtection="0"/>
    <xf numFmtId="0" fontId="8" fillId="0" borderId="0"/>
    <xf numFmtId="0" fontId="94" fillId="24" borderId="0" applyNumberFormat="0" applyBorder="0" applyAlignment="0" applyProtection="0"/>
    <xf numFmtId="0" fontId="94" fillId="15" borderId="0" applyNumberFormat="0" applyBorder="0" applyAlignment="0" applyProtection="0"/>
    <xf numFmtId="0" fontId="94" fillId="13" borderId="0" applyNumberFormat="0" applyBorder="0" applyAlignment="0" applyProtection="0"/>
    <xf numFmtId="0" fontId="94" fillId="35" borderId="0" applyNumberFormat="0" applyBorder="0" applyAlignment="0" applyProtection="0"/>
    <xf numFmtId="0" fontId="94" fillId="26" borderId="0" applyNumberFormat="0" applyBorder="0" applyAlignment="0" applyProtection="0"/>
    <xf numFmtId="23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169" fontId="74" fillId="0" borderId="0" applyFont="0" applyFill="0" applyBorder="0" applyAlignment="0" applyProtection="0"/>
    <xf numFmtId="37" fontId="8" fillId="0" borderId="0" applyFont="0" applyFill="0" applyBorder="0" applyAlignment="0" applyProtection="0"/>
    <xf numFmtId="44" fontId="8" fillId="0" borderId="0" applyFont="0" applyFill="0" applyBorder="0" applyAlignment="0" applyProtection="0"/>
    <xf numFmtId="0" fontId="7" fillId="0" borderId="0"/>
    <xf numFmtId="190" fontId="18" fillId="0" borderId="0"/>
    <xf numFmtId="0" fontId="94" fillId="26" borderId="0" applyNumberFormat="0" applyBorder="0" applyAlignment="0" applyProtection="0"/>
    <xf numFmtId="190" fontId="18" fillId="0" borderId="0"/>
    <xf numFmtId="186" fontId="116" fillId="0" borderId="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186" fontId="116" fillId="0" borderId="0"/>
    <xf numFmtId="9" fontId="29" fillId="0" borderId="0" applyFont="0" applyFill="0" applyBorder="0" applyAlignment="0" applyProtection="0"/>
    <xf numFmtId="0" fontId="8" fillId="0" borderId="0"/>
    <xf numFmtId="173" fontId="8" fillId="0" borderId="0" applyFont="0" applyFill="0" applyBorder="0" applyAlignment="0" applyProtection="0"/>
    <xf numFmtId="0" fontId="94" fillId="26" borderId="0" applyNumberFormat="0" applyBorder="0" applyAlignment="0" applyProtection="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0" fontId="8" fillId="0" borderId="0"/>
    <xf numFmtId="171" fontId="8" fillId="0" borderId="0" applyFont="0" applyFill="0" applyBorder="0" applyAlignment="0" applyProtection="0"/>
    <xf numFmtId="0" fontId="8" fillId="0" borderId="0"/>
    <xf numFmtId="0" fontId="8" fillId="0" borderId="0"/>
    <xf numFmtId="169" fontId="6" fillId="0" borderId="0" applyFont="0" applyFill="0" applyBorder="0" applyAlignment="0" applyProtection="0"/>
    <xf numFmtId="169" fontId="6" fillId="0" borderId="0" applyFont="0" applyFill="0" applyBorder="0" applyAlignment="0" applyProtection="0"/>
    <xf numFmtId="0" fontId="8" fillId="0" borderId="0"/>
    <xf numFmtId="0" fontId="5" fillId="0" borderId="0"/>
    <xf numFmtId="0" fontId="4" fillId="0" borderId="0"/>
    <xf numFmtId="173" fontId="8" fillId="0" borderId="0" applyFont="0" applyFill="0" applyBorder="0" applyAlignment="0" applyProtection="0"/>
    <xf numFmtId="0" fontId="140" fillId="0" borderId="0"/>
    <xf numFmtId="169" fontId="8" fillId="0" borderId="0" applyFont="0" applyFill="0" applyBorder="0" applyAlignment="0" applyProtection="0"/>
    <xf numFmtId="0" fontId="8" fillId="0" borderId="0"/>
    <xf numFmtId="43" fontId="8" fillId="0" borderId="0" applyFont="0" applyFill="0" applyBorder="0" applyAlignment="0" applyProtection="0"/>
    <xf numFmtId="205" fontId="8" fillId="0" borderId="0" applyFont="0" applyFill="0" applyBorder="0" applyAlignment="0" applyProtection="0"/>
    <xf numFmtId="0" fontId="8" fillId="0" borderId="0"/>
    <xf numFmtId="0" fontId="98" fillId="40" borderId="191" applyNumberFormat="0" applyAlignment="0" applyProtection="0"/>
    <xf numFmtId="0" fontId="99" fillId="41" borderId="191" applyNumberFormat="0" applyAlignment="0" applyProtection="0"/>
    <xf numFmtId="0" fontId="98" fillId="40" borderId="191" applyNumberFormat="0" applyAlignment="0" applyProtection="0"/>
    <xf numFmtId="0" fontId="100" fillId="42" borderId="191" applyNumberFormat="0" applyAlignment="0" applyProtection="0"/>
    <xf numFmtId="0" fontId="100" fillId="42" borderId="191" applyNumberFormat="0" applyAlignment="0" applyProtection="0"/>
    <xf numFmtId="0" fontId="98" fillId="40" borderId="191" applyNumberFormat="0" applyAlignment="0" applyProtection="0"/>
    <xf numFmtId="0" fontId="98" fillId="40"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0" fontId="104" fillId="9"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0" fontId="104" fillId="9" borderId="191" applyNumberFormat="0" applyAlignment="0" applyProtection="0"/>
    <xf numFmtId="0" fontId="113" fillId="38" borderId="191" applyNumberFormat="0" applyAlignment="0" applyProtection="0"/>
    <xf numFmtId="0" fontId="104" fillId="9" borderId="191" applyNumberFormat="0" applyAlignment="0" applyProtection="0"/>
    <xf numFmtId="0" fontId="104" fillId="12" borderId="191" applyNumberFormat="0" applyAlignment="0" applyProtection="0"/>
    <xf numFmtId="0" fontId="104" fillId="9" borderId="191" applyNumberFormat="0" applyAlignment="0" applyProtection="0"/>
    <xf numFmtId="169" fontId="35" fillId="0" borderId="0" applyFont="0" applyFill="0" applyBorder="0" applyAlignment="0" applyProtection="0"/>
    <xf numFmtId="173"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43" fontId="74" fillId="0" borderId="0" applyFont="0" applyFill="0" applyBorder="0" applyAlignment="0" applyProtection="0"/>
    <xf numFmtId="169" fontId="74" fillId="0" borderId="0" applyFont="0" applyFill="0" applyBorder="0" applyAlignment="0" applyProtection="0"/>
    <xf numFmtId="169" fontId="35"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125"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73"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71" fontId="74" fillId="0" borderId="0" applyFont="0" applyFill="0" applyBorder="0" applyAlignment="0" applyProtection="0"/>
    <xf numFmtId="21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5"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125" fillId="0" borderId="0"/>
    <xf numFmtId="0" fontId="3" fillId="0" borderId="0"/>
    <xf numFmtId="0" fontId="3" fillId="0" borderId="0"/>
    <xf numFmtId="0" fontId="3" fillId="0" borderId="0"/>
    <xf numFmtId="0" fontId="3" fillId="0" borderId="0"/>
    <xf numFmtId="0" fontId="3" fillId="0" borderId="0"/>
    <xf numFmtId="215" fontId="3" fillId="0" borderId="0"/>
    <xf numFmtId="0"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7" borderId="192" applyNumberFormat="0" applyFont="0" applyAlignment="0" applyProtection="0"/>
    <xf numFmtId="0" fontId="8"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0" fontId="8" fillId="7" borderId="192" applyNumberFormat="0" applyFont="0" applyAlignment="0" applyProtection="0"/>
    <xf numFmtId="0" fontId="8" fillId="27" borderId="192" applyNumberFormat="0" applyFont="0" applyAlignment="0" applyProtection="0"/>
    <xf numFmtId="0" fontId="8" fillId="7" borderId="192" applyNumberFormat="0" applyFont="0" applyAlignment="0" applyProtection="0"/>
    <xf numFmtId="0" fontId="8" fillId="7" borderId="192" applyNumberFormat="0" applyFont="0" applyAlignment="0" applyProtection="0"/>
    <xf numFmtId="0" fontId="43" fillId="7" borderId="192" applyNumberFormat="0" applyFont="0" applyAlignment="0" applyProtection="0"/>
    <xf numFmtId="0" fontId="8" fillId="7" borderId="192" applyNumberFormat="0" applyFont="0" applyAlignment="0" applyProtection="0"/>
    <xf numFmtId="0" fontId="119" fillId="40" borderId="193" applyNumberFormat="0" applyAlignment="0" applyProtection="0"/>
    <xf numFmtId="0" fontId="119" fillId="41" borderId="193" applyNumberFormat="0" applyAlignment="0" applyProtection="0"/>
    <xf numFmtId="0" fontId="119" fillId="40" borderId="193" applyNumberFormat="0" applyAlignment="0" applyProtection="0"/>
    <xf numFmtId="0" fontId="119" fillId="42" borderId="193" applyNumberFormat="0" applyAlignment="0" applyProtection="0"/>
    <xf numFmtId="0" fontId="119" fillId="42" borderId="193" applyNumberFormat="0" applyAlignment="0" applyProtection="0"/>
    <xf numFmtId="0" fontId="119" fillId="40" borderId="193" applyNumberFormat="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 fillId="0" borderId="0"/>
    <xf numFmtId="0" fontId="119" fillId="40"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0" fontId="76" fillId="0" borderId="195" applyNumberFormat="0" applyFill="0" applyAlignment="0" applyProtection="0"/>
    <xf numFmtId="0" fontId="76" fillId="0" borderId="194" applyNumberFormat="0" applyFill="0" applyAlignment="0" applyProtection="0"/>
    <xf numFmtId="0" fontId="135"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0" fontId="8" fillId="0" borderId="0"/>
    <xf numFmtId="0" fontId="3" fillId="0" borderId="0"/>
    <xf numFmtId="0" fontId="3"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8" fillId="0" borderId="0"/>
    <xf numFmtId="0" fontId="8" fillId="0" borderId="0"/>
    <xf numFmtId="0" fontId="140" fillId="0" borderId="0"/>
    <xf numFmtId="0" fontId="8" fillId="0" borderId="0"/>
    <xf numFmtId="0" fontId="140" fillId="0" borderId="0"/>
    <xf numFmtId="0" fontId="140" fillId="0" borderId="0"/>
    <xf numFmtId="0" fontId="140" fillId="0" borderId="0"/>
    <xf numFmtId="0" fontId="140" fillId="0" borderId="0"/>
    <xf numFmtId="0" fontId="8" fillId="0" borderId="0">
      <alignment vertical="center"/>
    </xf>
    <xf numFmtId="0" fontId="8" fillId="0" borderId="0">
      <protection locked="0"/>
    </xf>
    <xf numFmtId="173" fontId="8" fillId="0" borderId="0">
      <alignment vertical="top"/>
      <protection locked="0"/>
    </xf>
    <xf numFmtId="43" fontId="8" fillId="0" borderId="0">
      <alignment vertical="top"/>
      <protection locked="0"/>
    </xf>
    <xf numFmtId="0" fontId="8" fillId="0" borderId="0">
      <protection locked="0"/>
    </xf>
    <xf numFmtId="0" fontId="8" fillId="0" borderId="0">
      <protection locked="0"/>
    </xf>
    <xf numFmtId="168" fontId="8" fillId="0" borderId="0">
      <alignment vertical="top"/>
      <protection locked="0"/>
    </xf>
    <xf numFmtId="0" fontId="74" fillId="0" borderId="0">
      <protection locked="0"/>
    </xf>
    <xf numFmtId="169" fontId="8" fillId="0" borderId="0">
      <alignment vertical="top"/>
      <protection locked="0"/>
    </xf>
    <xf numFmtId="169" fontId="140" fillId="0" borderId="0" applyFont="0" applyFill="0" applyBorder="0" applyAlignment="0" applyProtection="0"/>
    <xf numFmtId="0" fontId="2" fillId="0" borderId="0"/>
    <xf numFmtId="0" fontId="140" fillId="0" borderId="0"/>
    <xf numFmtId="0" fontId="140" fillId="0" borderId="0"/>
    <xf numFmtId="0" fontId="140" fillId="0" borderId="0"/>
    <xf numFmtId="0" fontId="140" fillId="0" borderId="0"/>
    <xf numFmtId="0" fontId="140" fillId="0" borderId="0"/>
    <xf numFmtId="0" fontId="8" fillId="0" borderId="0">
      <protection locked="0"/>
    </xf>
    <xf numFmtId="0" fontId="8" fillId="0" borderId="0">
      <protection locked="0"/>
    </xf>
    <xf numFmtId="0" fontId="8" fillId="0" borderId="0">
      <protection locked="0"/>
    </xf>
    <xf numFmtId="0" fontId="177" fillId="0" borderId="0">
      <protection locked="0"/>
    </xf>
    <xf numFmtId="0" fontId="8" fillId="0" borderId="0"/>
    <xf numFmtId="0" fontId="1" fillId="0" borderId="0"/>
    <xf numFmtId="0" fontId="8" fillId="0" borderId="0"/>
    <xf numFmtId="0" fontId="102" fillId="0" borderId="197"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0" fontId="102" fillId="0" borderId="197" applyNumberFormat="0" applyFill="0" applyAlignment="0" applyProtection="0"/>
    <xf numFmtId="0" fontId="114" fillId="0" borderId="199" applyNumberFormat="0" applyFill="0" applyAlignment="0" applyProtection="0"/>
    <xf numFmtId="0" fontId="102" fillId="0" borderId="197" applyNumberFormat="0" applyFill="0" applyAlignment="0" applyProtection="0"/>
    <xf numFmtId="0" fontId="115" fillId="0" borderId="198" applyNumberFormat="0" applyFill="0" applyAlignment="0" applyProtection="0"/>
    <xf numFmtId="0" fontId="102" fillId="0" borderId="197" applyNumberFormat="0" applyFill="0" applyAlignment="0" applyProtection="0"/>
    <xf numFmtId="16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applyFont="0" applyFill="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8" fillId="0" borderId="0"/>
    <xf numFmtId="43" fontId="8" fillId="0" borderId="0" applyFont="0" applyFill="0" applyBorder="0" applyAlignment="0" applyProtection="0"/>
    <xf numFmtId="173" fontId="8" fillId="0" borderId="0" applyFont="0" applyFill="0" applyBorder="0" applyAlignment="0" applyProtection="0"/>
    <xf numFmtId="0" fontId="8" fillId="0" borderId="0"/>
    <xf numFmtId="173" fontId="8" fillId="0" borderId="0" applyFont="0" applyFill="0" applyBorder="0" applyAlignment="0" applyProtection="0"/>
  </cellStyleXfs>
  <cellXfs count="4960">
    <xf numFmtId="0" fontId="0" fillId="0" borderId="0" xfId="0"/>
    <xf numFmtId="0" fontId="9" fillId="0" borderId="0" xfId="0" applyFont="1" applyFill="1" applyAlignment="1">
      <alignment vertical="top" wrapText="1"/>
    </xf>
    <xf numFmtId="0" fontId="9" fillId="48" borderId="19" xfId="0" applyFont="1" applyFill="1" applyBorder="1" applyAlignment="1">
      <alignment horizontal="right" vertical="top" wrapText="1"/>
    </xf>
    <xf numFmtId="0" fontId="9" fillId="48" borderId="19" xfId="0" applyFont="1" applyFill="1" applyBorder="1" applyAlignment="1">
      <alignment horizontal="left" vertical="top" wrapText="1"/>
    </xf>
    <xf numFmtId="174" fontId="9" fillId="48" borderId="19" xfId="0" applyNumberFormat="1" applyFont="1" applyFill="1" applyBorder="1" applyAlignment="1">
      <alignment horizontal="center" vertical="top" wrapText="1"/>
    </xf>
    <xf numFmtId="0" fontId="8" fillId="48" borderId="0" xfId="0" applyFont="1" applyFill="1" applyAlignment="1">
      <alignment vertical="top" wrapText="1"/>
    </xf>
    <xf numFmtId="0" fontId="8" fillId="48" borderId="0" xfId="0" applyFont="1" applyFill="1" applyAlignment="1">
      <alignment vertical="top"/>
    </xf>
    <xf numFmtId="0" fontId="8" fillId="48" borderId="0" xfId="0" applyFont="1" applyFill="1"/>
    <xf numFmtId="0" fontId="8" fillId="0" borderId="0" xfId="0" applyFont="1" applyFill="1"/>
    <xf numFmtId="4" fontId="13" fillId="48" borderId="19" xfId="868" applyNumberFormat="1" applyFont="1" applyFill="1" applyBorder="1" applyAlignment="1">
      <alignment horizontal="center" vertical="center"/>
    </xf>
    <xf numFmtId="4" fontId="8" fillId="48" borderId="19" xfId="0" applyNumberFormat="1" applyFont="1" applyFill="1" applyBorder="1" applyAlignment="1">
      <alignment horizontal="center"/>
    </xf>
    <xf numFmtId="4" fontId="8" fillId="48" borderId="19" xfId="868" applyNumberFormat="1" applyFont="1" applyFill="1" applyBorder="1" applyAlignment="1" applyProtection="1">
      <alignment horizontal="right" wrapText="1"/>
    </xf>
    <xf numFmtId="185" fontId="8" fillId="48" borderId="19" xfId="1281" applyNumberFormat="1" applyFont="1" applyFill="1" applyBorder="1" applyAlignment="1" applyProtection="1">
      <alignment horizontal="right" vertical="top"/>
    </xf>
    <xf numFmtId="185" fontId="8"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center"/>
    </xf>
    <xf numFmtId="4" fontId="13" fillId="48" borderId="19" xfId="868" applyNumberFormat="1" applyFont="1" applyFill="1" applyBorder="1" applyAlignment="1">
      <alignment horizontal="center" vertical="top"/>
    </xf>
    <xf numFmtId="37" fontId="9"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top"/>
    </xf>
    <xf numFmtId="0" fontId="8" fillId="48" borderId="19" xfId="0" applyNumberFormat="1" applyFont="1" applyFill="1" applyBorder="1" applyAlignment="1">
      <alignment horizontal="left" vertical="justify" wrapText="1"/>
    </xf>
    <xf numFmtId="4" fontId="8" fillId="48" borderId="19" xfId="0" applyNumberFormat="1" applyFont="1" applyFill="1" applyBorder="1" applyAlignment="1">
      <alignment horizontal="center" vertical="top" wrapText="1"/>
    </xf>
    <xf numFmtId="0" fontId="9" fillId="48" borderId="0" xfId="0" applyFont="1" applyFill="1" applyAlignment="1">
      <alignment horizontal="right" vertical="top" wrapText="1"/>
    </xf>
    <xf numFmtId="174" fontId="9" fillId="48" borderId="19" xfId="0" applyNumberFormat="1" applyFont="1" applyFill="1" applyBorder="1" applyAlignment="1">
      <alignment horizontal="right" vertical="top" wrapText="1"/>
    </xf>
    <xf numFmtId="4" fontId="13" fillId="48" borderId="19" xfId="868" applyNumberFormat="1" applyFont="1" applyFill="1" applyBorder="1" applyAlignment="1">
      <alignment horizontal="right" vertical="center" wrapText="1"/>
    </xf>
    <xf numFmtId="0" fontId="8" fillId="48" borderId="0" xfId="0" applyFont="1" applyFill="1" applyAlignment="1">
      <alignment horizontal="right" wrapText="1"/>
    </xf>
    <xf numFmtId="0" fontId="8" fillId="0" borderId="0" xfId="0" applyFont="1" applyFill="1" applyAlignment="1">
      <alignment horizontal="right" wrapText="1"/>
    </xf>
    <xf numFmtId="37" fontId="14" fillId="48" borderId="19" xfId="0" applyNumberFormat="1" applyFont="1" applyFill="1" applyBorder="1" applyAlignment="1" applyProtection="1">
      <alignment horizontal="right" vertical="top"/>
    </xf>
    <xf numFmtId="0" fontId="9" fillId="48" borderId="19" xfId="0" applyFont="1" applyFill="1" applyBorder="1" applyAlignment="1">
      <alignment horizontal="center" vertical="top" wrapText="1"/>
    </xf>
    <xf numFmtId="187" fontId="13" fillId="48" borderId="19" xfId="838" applyNumberFormat="1" applyFont="1" applyFill="1" applyBorder="1" applyAlignment="1" applyProtection="1">
      <alignment horizontal="right" vertical="center"/>
    </xf>
    <xf numFmtId="0" fontId="8" fillId="48" borderId="19" xfId="1210" applyFont="1" applyFill="1" applyBorder="1" applyAlignment="1">
      <alignment horizontal="left" vertical="top" wrapText="1"/>
    </xf>
    <xf numFmtId="0" fontId="8" fillId="48" borderId="19" xfId="0" applyNumberFormat="1" applyFont="1" applyFill="1" applyBorder="1" applyAlignment="1">
      <alignment horizontal="left" vertical="justify"/>
    </xf>
    <xf numFmtId="4" fontId="8" fillId="48" borderId="19" xfId="868" applyNumberFormat="1" applyFont="1" applyFill="1" applyBorder="1" applyAlignment="1" applyProtection="1">
      <alignment horizontal="right" wrapText="1"/>
      <protection locked="0"/>
    </xf>
    <xf numFmtId="4" fontId="8" fillId="48" borderId="19" xfId="868" applyNumberFormat="1" applyFont="1" applyFill="1" applyBorder="1" applyAlignment="1">
      <alignment horizontal="right" vertical="center" wrapText="1"/>
    </xf>
    <xf numFmtId="4" fontId="8" fillId="48" borderId="19" xfId="0" applyNumberFormat="1" applyFont="1" applyFill="1" applyBorder="1" applyAlignment="1">
      <alignment vertical="center" wrapText="1"/>
    </xf>
    <xf numFmtId="185" fontId="9" fillId="48" borderId="19" xfId="0" applyNumberFormat="1" applyFont="1" applyFill="1" applyBorder="1" applyAlignment="1">
      <alignment horizontal="right"/>
    </xf>
    <xf numFmtId="0" fontId="9" fillId="48" borderId="20" xfId="0" applyFont="1" applyFill="1" applyBorder="1" applyAlignment="1">
      <alignment horizontal="right" vertical="top" wrapText="1"/>
    </xf>
    <xf numFmtId="0" fontId="9" fillId="48" borderId="20" xfId="0" applyFont="1" applyFill="1" applyBorder="1" applyAlignment="1">
      <alignment horizontal="left" vertical="top" wrapText="1"/>
    </xf>
    <xf numFmtId="174" fontId="9" fillId="48" borderId="20" xfId="0" applyNumberFormat="1" applyFont="1" applyFill="1" applyBorder="1" applyAlignment="1">
      <alignment horizontal="right" vertical="top" wrapText="1"/>
    </xf>
    <xf numFmtId="174" fontId="9" fillId="48" borderId="20" xfId="0" applyNumberFormat="1" applyFont="1" applyFill="1" applyBorder="1" applyAlignment="1">
      <alignment horizontal="center" vertical="top" wrapText="1"/>
    </xf>
    <xf numFmtId="0" fontId="9" fillId="0" borderId="20" xfId="0" applyFont="1" applyFill="1" applyBorder="1" applyAlignment="1">
      <alignment vertical="top" wrapText="1"/>
    </xf>
    <xf numFmtId="4" fontId="8" fillId="48" borderId="19" xfId="0" applyNumberFormat="1" applyFont="1" applyFill="1" applyBorder="1" applyAlignment="1">
      <alignment vertical="top" wrapText="1"/>
    </xf>
    <xf numFmtId="0" fontId="8" fillId="0" borderId="19" xfId="0" applyFont="1" applyFill="1" applyBorder="1"/>
    <xf numFmtId="0" fontId="8" fillId="0" borderId="19" xfId="0" applyFont="1" applyFill="1" applyBorder="1" applyAlignment="1">
      <alignment horizontal="right" wrapText="1"/>
    </xf>
    <xf numFmtId="10" fontId="8" fillId="0" borderId="19" xfId="1334" applyNumberFormat="1" applyFont="1" applyFill="1" applyBorder="1" applyAlignment="1">
      <alignment horizontal="right" wrapText="1"/>
    </xf>
    <xf numFmtId="169" fontId="8" fillId="0" borderId="19" xfId="699" applyFont="1" applyFill="1" applyBorder="1" applyAlignment="1">
      <alignment horizontal="right" wrapText="1"/>
    </xf>
    <xf numFmtId="0" fontId="8" fillId="48" borderId="0" xfId="0" applyFont="1" applyFill="1" applyBorder="1"/>
    <xf numFmtId="0" fontId="8" fillId="48" borderId="0" xfId="0" applyFont="1" applyFill="1" applyBorder="1" applyAlignment="1">
      <alignment horizontal="left"/>
    </xf>
    <xf numFmtId="4" fontId="8" fillId="48" borderId="0" xfId="868" applyNumberFormat="1" applyFont="1" applyFill="1" applyBorder="1" applyAlignment="1" applyProtection="1">
      <alignment horizontal="right" wrapText="1"/>
    </xf>
    <xf numFmtId="4" fontId="8" fillId="48" borderId="19" xfId="0" applyNumberFormat="1" applyFont="1" applyFill="1" applyBorder="1" applyAlignment="1">
      <alignment wrapText="1"/>
    </xf>
    <xf numFmtId="0" fontId="8" fillId="0" borderId="19" xfId="0" applyFont="1" applyFill="1" applyBorder="1" applyAlignment="1">
      <alignment horizontal="right"/>
    </xf>
    <xf numFmtId="0" fontId="8" fillId="49" borderId="0" xfId="0" applyFont="1" applyFill="1" applyBorder="1"/>
    <xf numFmtId="0" fontId="8" fillId="50" borderId="0" xfId="0" applyFont="1" applyFill="1" applyBorder="1"/>
    <xf numFmtId="0" fontId="9" fillId="48" borderId="19" xfId="1210" applyFont="1" applyFill="1" applyBorder="1" applyAlignment="1">
      <alignment horizontal="left" vertical="top" wrapText="1"/>
    </xf>
    <xf numFmtId="0" fontId="8" fillId="50" borderId="0" xfId="0" applyFont="1" applyFill="1"/>
    <xf numFmtId="4" fontId="8" fillId="50" borderId="0" xfId="868" applyNumberFormat="1" applyFont="1" applyFill="1" applyBorder="1" applyAlignment="1" applyProtection="1">
      <alignment horizontal="right" wrapText="1"/>
    </xf>
    <xf numFmtId="0" fontId="19" fillId="50" borderId="0" xfId="1306" applyFont="1" applyFill="1" applyBorder="1" applyAlignment="1">
      <alignment horizontal="center"/>
    </xf>
    <xf numFmtId="0" fontId="9" fillId="50" borderId="0" xfId="1306" applyFont="1" applyFill="1"/>
    <xf numFmtId="0" fontId="20" fillId="50" borderId="0" xfId="1306" applyFont="1" applyFill="1"/>
    <xf numFmtId="0" fontId="17" fillId="50" borderId="0" xfId="1306" applyFont="1" applyFill="1"/>
    <xf numFmtId="0" fontId="8" fillId="0" borderId="0" xfId="1306"/>
    <xf numFmtId="0" fontId="8" fillId="48" borderId="0" xfId="1306" applyFill="1"/>
    <xf numFmtId="0" fontId="21" fillId="48" borderId="0" xfId="1306" applyFont="1" applyFill="1"/>
    <xf numFmtId="0" fontId="8" fillId="48" borderId="0" xfId="1306" applyFill="1" applyBorder="1"/>
    <xf numFmtId="0" fontId="9" fillId="48" borderId="0" xfId="1306" applyFont="1" applyFill="1" applyAlignment="1">
      <alignment horizontal="center"/>
    </xf>
    <xf numFmtId="0" fontId="9" fillId="48" borderId="21" xfId="1306" applyFont="1" applyFill="1" applyBorder="1"/>
    <xf numFmtId="0" fontId="9" fillId="48" borderId="22" xfId="1306" applyFont="1" applyFill="1" applyBorder="1" applyAlignment="1">
      <alignment horizontal="center"/>
    </xf>
    <xf numFmtId="0" fontId="9" fillId="48" borderId="23" xfId="1306" applyFont="1" applyFill="1" applyBorder="1" applyAlignment="1">
      <alignment horizontal="center"/>
    </xf>
    <xf numFmtId="174" fontId="8" fillId="48" borderId="0" xfId="1306" applyNumberFormat="1" applyFill="1" applyBorder="1"/>
    <xf numFmtId="174" fontId="8" fillId="48" borderId="24" xfId="1306" applyNumberFormat="1" applyFill="1" applyBorder="1"/>
    <xf numFmtId="174" fontId="8" fillId="48" borderId="25" xfId="1306" applyNumberFormat="1" applyFill="1" applyBorder="1"/>
    <xf numFmtId="174" fontId="8" fillId="48" borderId="0" xfId="1306" applyNumberFormat="1" applyFill="1"/>
    <xf numFmtId="174" fontId="10" fillId="48" borderId="25" xfId="1306" applyNumberFormat="1" applyFont="1" applyFill="1" applyBorder="1" applyAlignment="1">
      <alignment horizontal="center"/>
    </xf>
    <xf numFmtId="169" fontId="8" fillId="48" borderId="25" xfId="1306" applyNumberFormat="1" applyFill="1" applyBorder="1"/>
    <xf numFmtId="178" fontId="10" fillId="48" borderId="25" xfId="1306" applyNumberFormat="1" applyFont="1" applyFill="1" applyBorder="1" applyAlignment="1">
      <alignment horizontal="center"/>
    </xf>
    <xf numFmtId="179" fontId="10" fillId="48" borderId="25" xfId="1306" applyNumberFormat="1" applyFont="1" applyFill="1" applyBorder="1"/>
    <xf numFmtId="182" fontId="10" fillId="48" borderId="25" xfId="1306" applyNumberFormat="1" applyFont="1" applyFill="1" applyBorder="1"/>
    <xf numFmtId="169" fontId="8" fillId="48" borderId="24" xfId="1306" applyNumberFormat="1" applyFill="1" applyBorder="1"/>
    <xf numFmtId="178" fontId="10" fillId="48" borderId="24" xfId="1306" applyNumberFormat="1" applyFont="1" applyFill="1" applyBorder="1" applyAlignment="1">
      <alignment horizontal="center"/>
    </xf>
    <xf numFmtId="179" fontId="10" fillId="48" borderId="24" xfId="1306" applyNumberFormat="1" applyFont="1" applyFill="1" applyBorder="1"/>
    <xf numFmtId="182" fontId="10" fillId="48" borderId="24" xfId="1306" applyNumberFormat="1" applyFont="1" applyFill="1" applyBorder="1"/>
    <xf numFmtId="174" fontId="8" fillId="48" borderId="20" xfId="1306" applyNumberFormat="1" applyFill="1" applyBorder="1"/>
    <xf numFmtId="0" fontId="22" fillId="50" borderId="26" xfId="1306" applyFont="1" applyFill="1" applyBorder="1" applyAlignment="1">
      <alignment horizontal="left"/>
    </xf>
    <xf numFmtId="174" fontId="8" fillId="50" borderId="27" xfId="1306" applyNumberFormat="1" applyFill="1" applyBorder="1"/>
    <xf numFmtId="169" fontId="22" fillId="50" borderId="21" xfId="1306" applyNumberFormat="1" applyFont="1" applyFill="1" applyBorder="1"/>
    <xf numFmtId="174" fontId="8" fillId="0" borderId="0" xfId="1306" applyNumberFormat="1"/>
    <xf numFmtId="174" fontId="9" fillId="48" borderId="0" xfId="1306" applyNumberFormat="1" applyFont="1" applyFill="1" applyBorder="1"/>
    <xf numFmtId="174" fontId="22" fillId="50" borderId="21" xfId="1306" applyNumberFormat="1" applyFont="1" applyFill="1" applyBorder="1"/>
    <xf numFmtId="174" fontId="22" fillId="48" borderId="0" xfId="1306" applyNumberFormat="1" applyFont="1" applyFill="1" applyBorder="1" applyAlignment="1">
      <alignment horizontal="center"/>
    </xf>
    <xf numFmtId="174" fontId="22" fillId="48" borderId="0" xfId="1306" applyNumberFormat="1" applyFont="1" applyFill="1" applyBorder="1"/>
    <xf numFmtId="174" fontId="8" fillId="0" borderId="0" xfId="1306" applyNumberFormat="1" applyFill="1"/>
    <xf numFmtId="174" fontId="22" fillId="50" borderId="26" xfId="1306" applyNumberFormat="1" applyFont="1" applyFill="1" applyBorder="1"/>
    <xf numFmtId="174" fontId="22" fillId="50" borderId="28" xfId="1306" applyNumberFormat="1" applyFont="1" applyFill="1" applyBorder="1"/>
    <xf numFmtId="174" fontId="22" fillId="48" borderId="28" xfId="1306" applyNumberFormat="1" applyFont="1" applyFill="1" applyBorder="1"/>
    <xf numFmtId="169" fontId="22" fillId="51" borderId="27" xfId="0" applyNumberFormat="1" applyFont="1" applyFill="1" applyBorder="1"/>
    <xf numFmtId="174" fontId="18" fillId="50" borderId="28" xfId="1306" applyNumberFormat="1" applyFont="1" applyFill="1" applyBorder="1"/>
    <xf numFmtId="174" fontId="18" fillId="48" borderId="28" xfId="1306" applyNumberFormat="1" applyFont="1" applyFill="1" applyBorder="1"/>
    <xf numFmtId="169" fontId="22" fillId="48" borderId="27" xfId="1306" applyNumberFormat="1" applyFont="1" applyFill="1" applyBorder="1"/>
    <xf numFmtId="174" fontId="9" fillId="0" borderId="21" xfId="1306" applyNumberFormat="1" applyFont="1" applyFill="1" applyBorder="1" applyAlignment="1">
      <alignment horizontal="center"/>
    </xf>
    <xf numFmtId="174" fontId="9" fillId="50" borderId="21" xfId="1306" applyNumberFormat="1" applyFont="1" applyFill="1" applyBorder="1" applyAlignment="1">
      <alignment horizontal="center"/>
    </xf>
    <xf numFmtId="9" fontId="8" fillId="0" borderId="25" xfId="1334" applyFont="1" applyFill="1" applyBorder="1" applyAlignment="1">
      <alignment horizontal="center"/>
    </xf>
    <xf numFmtId="169" fontId="8" fillId="50" borderId="25" xfId="1306" applyNumberFormat="1" applyFill="1" applyBorder="1"/>
    <xf numFmtId="9" fontId="8" fillId="0" borderId="24" xfId="1334" applyFont="1" applyFill="1" applyBorder="1" applyAlignment="1">
      <alignment horizontal="center"/>
    </xf>
    <xf numFmtId="169" fontId="8" fillId="50" borderId="24" xfId="1306" applyNumberFormat="1" applyFill="1" applyBorder="1"/>
    <xf numFmtId="174" fontId="23" fillId="50" borderId="29" xfId="1306" applyNumberFormat="1" applyFont="1" applyFill="1" applyBorder="1"/>
    <xf numFmtId="174" fontId="8" fillId="50" borderId="30" xfId="1306" applyNumberFormat="1" applyFill="1" applyBorder="1"/>
    <xf numFmtId="174" fontId="8" fillId="50" borderId="31" xfId="1306" applyNumberFormat="1" applyFill="1" applyBorder="1"/>
    <xf numFmtId="174" fontId="9" fillId="50" borderId="32" xfId="1306" applyNumberFormat="1" applyFont="1" applyFill="1" applyBorder="1"/>
    <xf numFmtId="174" fontId="8" fillId="50" borderId="0" xfId="1306" applyNumberFormat="1" applyFill="1" applyBorder="1"/>
    <xf numFmtId="174" fontId="8" fillId="50" borderId="33" xfId="1306" applyNumberFormat="1" applyFill="1" applyBorder="1"/>
    <xf numFmtId="174" fontId="9" fillId="50" borderId="0" xfId="1306" applyNumberFormat="1" applyFont="1" applyFill="1" applyBorder="1" applyAlignment="1">
      <alignment horizontal="right"/>
    </xf>
    <xf numFmtId="174" fontId="9" fillId="50" borderId="33" xfId="1306" applyNumberFormat="1" applyFont="1" applyFill="1" applyBorder="1" applyAlignment="1">
      <alignment horizontal="right"/>
    </xf>
    <xf numFmtId="174" fontId="8" fillId="50" borderId="32" xfId="1306" applyNumberFormat="1" applyFill="1" applyBorder="1"/>
    <xf numFmtId="9" fontId="8" fillId="50" borderId="0" xfId="1334" applyFont="1" applyFill="1" applyBorder="1"/>
    <xf numFmtId="0" fontId="8" fillId="50" borderId="0" xfId="1306" applyFill="1" applyBorder="1"/>
    <xf numFmtId="169" fontId="8" fillId="50" borderId="33" xfId="1306" applyNumberFormat="1" applyFill="1" applyBorder="1"/>
    <xf numFmtId="9" fontId="8" fillId="50" borderId="34" xfId="1334" applyFont="1" applyFill="1" applyBorder="1"/>
    <xf numFmtId="169" fontId="8" fillId="50" borderId="35" xfId="1306" applyNumberFormat="1" applyFill="1" applyBorder="1"/>
    <xf numFmtId="174" fontId="8" fillId="50" borderId="22" xfId="1306" applyNumberFormat="1" applyFill="1" applyBorder="1"/>
    <xf numFmtId="174" fontId="8" fillId="50" borderId="36" xfId="1306" applyNumberFormat="1" applyFill="1" applyBorder="1"/>
    <xf numFmtId="174" fontId="9" fillId="50" borderId="36" xfId="1306" applyNumberFormat="1" applyFont="1" applyFill="1" applyBorder="1"/>
    <xf numFmtId="0" fontId="8" fillId="50" borderId="36" xfId="1306" applyFill="1" applyBorder="1"/>
    <xf numFmtId="169" fontId="9" fillId="50" borderId="37" xfId="1306" applyNumberFormat="1" applyFont="1" applyFill="1" applyBorder="1"/>
    <xf numFmtId="174" fontId="21" fillId="48" borderId="0" xfId="1306" applyNumberFormat="1" applyFont="1" applyFill="1" applyBorder="1"/>
    <xf numFmtId="0" fontId="0" fillId="48" borderId="0" xfId="0" applyFill="1"/>
    <xf numFmtId="0" fontId="9" fillId="48" borderId="0" xfId="0" applyFont="1" applyFill="1"/>
    <xf numFmtId="0" fontId="26" fillId="48" borderId="38" xfId="0" applyFont="1" applyFill="1" applyBorder="1" applyAlignment="1">
      <alignment horizontal="center"/>
    </xf>
    <xf numFmtId="0" fontId="9" fillId="48" borderId="0" xfId="0" applyFont="1" applyFill="1" applyBorder="1" applyAlignment="1">
      <alignment horizontal="center"/>
    </xf>
    <xf numFmtId="0" fontId="8" fillId="48" borderId="38" xfId="0" applyFont="1" applyFill="1" applyBorder="1" applyAlignment="1">
      <alignment horizontal="left"/>
    </xf>
    <xf numFmtId="2" fontId="8" fillId="48" borderId="38" xfId="915" applyNumberFormat="1" applyFont="1" applyFill="1" applyBorder="1"/>
    <xf numFmtId="169" fontId="8" fillId="48" borderId="38" xfId="915" applyFont="1" applyFill="1" applyBorder="1" applyAlignment="1">
      <alignment horizontal="centerContinuous"/>
    </xf>
    <xf numFmtId="4" fontId="8" fillId="48" borderId="38" xfId="915" applyNumberFormat="1" applyFont="1" applyFill="1" applyBorder="1"/>
    <xf numFmtId="192" fontId="8" fillId="48" borderId="0" xfId="915" applyNumberFormat="1" applyFont="1" applyFill="1" applyBorder="1"/>
    <xf numFmtId="169" fontId="8" fillId="48" borderId="0" xfId="915" applyFont="1" applyFill="1" applyBorder="1" applyAlignment="1">
      <alignment horizontal="centerContinuous"/>
    </xf>
    <xf numFmtId="169" fontId="8" fillId="48" borderId="0" xfId="915" applyFont="1" applyFill="1" applyBorder="1"/>
    <xf numFmtId="0" fontId="9" fillId="48" borderId="0" xfId="0" quotePrefix="1" applyFont="1" applyFill="1" applyAlignment="1">
      <alignment horizontal="left"/>
    </xf>
    <xf numFmtId="192" fontId="8" fillId="48" borderId="0" xfId="915" applyNumberFormat="1" applyFont="1" applyFill="1"/>
    <xf numFmtId="169" fontId="8" fillId="48" borderId="0" xfId="915" applyFont="1" applyFill="1"/>
    <xf numFmtId="0" fontId="8" fillId="48" borderId="39" xfId="0" applyFont="1" applyFill="1" applyBorder="1" applyAlignment="1">
      <alignment horizontal="left"/>
    </xf>
    <xf numFmtId="2" fontId="8" fillId="48" borderId="40" xfId="915" applyNumberFormat="1" applyFont="1" applyFill="1" applyBorder="1"/>
    <xf numFmtId="169" fontId="8" fillId="48" borderId="40" xfId="915" applyFont="1" applyFill="1" applyBorder="1" applyAlignment="1">
      <alignment horizontal="center"/>
    </xf>
    <xf numFmtId="169" fontId="8" fillId="49" borderId="40" xfId="915" applyFont="1" applyFill="1" applyBorder="1"/>
    <xf numFmtId="169" fontId="8" fillId="48" borderId="41" xfId="915" applyFont="1" applyFill="1" applyBorder="1"/>
    <xf numFmtId="0" fontId="8" fillId="48" borderId="42" xfId="0" applyFont="1" applyFill="1" applyBorder="1" applyAlignment="1">
      <alignment horizontal="left"/>
    </xf>
    <xf numFmtId="2" fontId="8" fillId="48" borderId="24" xfId="915" applyNumberFormat="1" applyFont="1" applyFill="1" applyBorder="1"/>
    <xf numFmtId="169" fontId="8" fillId="48" borderId="24" xfId="915" applyFont="1" applyFill="1" applyBorder="1" applyAlignment="1">
      <alignment horizontal="center"/>
    </xf>
    <xf numFmtId="169" fontId="8" fillId="48" borderId="24" xfId="915" applyFont="1" applyFill="1" applyBorder="1"/>
    <xf numFmtId="169" fontId="8" fillId="48" borderId="43" xfId="915" applyFont="1" applyFill="1" applyBorder="1"/>
    <xf numFmtId="39" fontId="9" fillId="48" borderId="44" xfId="0" quotePrefix="1" applyNumberFormat="1" applyFont="1" applyFill="1" applyBorder="1" applyAlignment="1">
      <alignment horizontal="left"/>
    </xf>
    <xf numFmtId="192" fontId="9" fillId="48" borderId="45" xfId="915" quotePrefix="1" applyNumberFormat="1" applyFont="1" applyFill="1" applyBorder="1" applyAlignment="1"/>
    <xf numFmtId="169" fontId="9" fillId="48" borderId="46" xfId="915" applyFont="1" applyFill="1" applyBorder="1"/>
    <xf numFmtId="0" fontId="8" fillId="48" borderId="0" xfId="0" applyFont="1" applyFill="1" applyAlignment="1">
      <alignment horizontal="left"/>
    </xf>
    <xf numFmtId="192" fontId="8" fillId="48" borderId="0" xfId="915" quotePrefix="1" applyNumberFormat="1" applyFont="1" applyFill="1" applyBorder="1" applyAlignment="1">
      <alignment horizontal="left"/>
    </xf>
    <xf numFmtId="169" fontId="9" fillId="48" borderId="0" xfId="915" applyFont="1" applyFill="1"/>
    <xf numFmtId="0" fontId="8" fillId="48" borderId="44" xfId="0" applyFont="1" applyFill="1" applyBorder="1" applyAlignment="1">
      <alignment horizontal="left"/>
    </xf>
    <xf numFmtId="192" fontId="9" fillId="48" borderId="45" xfId="915" quotePrefix="1" applyNumberFormat="1" applyFont="1" applyFill="1" applyBorder="1" applyAlignment="1">
      <alignment horizontal="left"/>
    </xf>
    <xf numFmtId="169" fontId="9" fillId="48" borderId="46" xfId="915" applyFont="1" applyFill="1" applyBorder="1" applyAlignment="1">
      <alignment horizontal="right"/>
    </xf>
    <xf numFmtId="169" fontId="9" fillId="48" borderId="0" xfId="915" applyFont="1" applyFill="1" applyBorder="1" applyAlignment="1">
      <alignment horizontal="right"/>
    </xf>
    <xf numFmtId="0" fontId="9" fillId="48" borderId="0" xfId="0" applyFont="1" applyFill="1" applyAlignment="1">
      <alignment horizontal="left"/>
    </xf>
    <xf numFmtId="169" fontId="8" fillId="48" borderId="40" xfId="915" applyFont="1" applyFill="1" applyBorder="1" applyAlignment="1">
      <alignment horizontal="centerContinuous"/>
    </xf>
    <xf numFmtId="169" fontId="8" fillId="48" borderId="40" xfId="915" applyFont="1" applyFill="1" applyBorder="1"/>
    <xf numFmtId="169" fontId="8" fillId="48" borderId="24" xfId="915" applyFont="1" applyFill="1" applyBorder="1" applyAlignment="1">
      <alignment horizontal="centerContinuous"/>
    </xf>
    <xf numFmtId="192" fontId="8" fillId="48" borderId="24" xfId="915" applyNumberFormat="1" applyFont="1" applyFill="1" applyBorder="1"/>
    <xf numFmtId="192" fontId="8" fillId="48" borderId="45" xfId="915" applyNumberFormat="1" applyFont="1" applyFill="1" applyBorder="1"/>
    <xf numFmtId="169" fontId="9" fillId="48" borderId="0" xfId="915" applyFont="1" applyFill="1" applyAlignment="1">
      <alignment horizontal="right"/>
    </xf>
    <xf numFmtId="169" fontId="9" fillId="48" borderId="0" xfId="915" applyFont="1" applyFill="1" applyAlignment="1">
      <alignment horizontal="left"/>
    </xf>
    <xf numFmtId="169" fontId="8" fillId="48" borderId="0" xfId="915" applyFont="1" applyFill="1" applyAlignment="1">
      <alignment horizontal="centerContinuous"/>
    </xf>
    <xf numFmtId="4" fontId="8" fillId="48" borderId="40" xfId="915" applyNumberFormat="1" applyFont="1" applyFill="1" applyBorder="1"/>
    <xf numFmtId="4" fontId="8" fillId="48" borderId="24" xfId="915" applyNumberFormat="1" applyFont="1" applyFill="1" applyBorder="1"/>
    <xf numFmtId="192" fontId="8" fillId="48" borderId="40" xfId="915" applyNumberFormat="1" applyFont="1" applyFill="1" applyBorder="1"/>
    <xf numFmtId="4" fontId="8" fillId="48" borderId="24" xfId="915" applyNumberFormat="1" applyFont="1" applyFill="1" applyBorder="1" applyAlignment="1"/>
    <xf numFmtId="192" fontId="9" fillId="48" borderId="0" xfId="915" quotePrefix="1" applyNumberFormat="1" applyFont="1" applyFill="1" applyBorder="1" applyAlignment="1">
      <alignment horizontal="center"/>
    </xf>
    <xf numFmtId="0" fontId="14" fillId="42" borderId="0" xfId="0" applyFont="1" applyFill="1"/>
    <xf numFmtId="0" fontId="13" fillId="42" borderId="0" xfId="0" applyFont="1" applyFill="1"/>
    <xf numFmtId="0" fontId="13" fillId="42" borderId="0" xfId="0" applyFont="1" applyFill="1" applyAlignment="1">
      <alignment horizontal="center"/>
    </xf>
    <xf numFmtId="0" fontId="13" fillId="42" borderId="38" xfId="0" applyFont="1" applyFill="1" applyBorder="1"/>
    <xf numFmtId="0" fontId="13" fillId="42" borderId="38" xfId="0" applyFont="1" applyFill="1" applyBorder="1" applyAlignment="1">
      <alignment horizontal="center"/>
    </xf>
    <xf numFmtId="4" fontId="13" fillId="42" borderId="38" xfId="703" applyNumberFormat="1" applyFont="1" applyFill="1" applyBorder="1"/>
    <xf numFmtId="2" fontId="13" fillId="42" borderId="38" xfId="703" applyNumberFormat="1" applyFont="1" applyFill="1" applyBorder="1"/>
    <xf numFmtId="2" fontId="13" fillId="48" borderId="38" xfId="0" applyNumberFormat="1" applyFont="1" applyFill="1" applyBorder="1"/>
    <xf numFmtId="2" fontId="13" fillId="42" borderId="38" xfId="0" applyNumberFormat="1" applyFont="1" applyFill="1" applyBorder="1"/>
    <xf numFmtId="2" fontId="14" fillId="42" borderId="38" xfId="0" applyNumberFormat="1" applyFont="1" applyFill="1" applyBorder="1"/>
    <xf numFmtId="181" fontId="8" fillId="48" borderId="40" xfId="915" applyNumberFormat="1" applyFont="1" applyFill="1" applyBorder="1"/>
    <xf numFmtId="181" fontId="8" fillId="48" borderId="24" xfId="915" applyNumberFormat="1" applyFont="1" applyFill="1" applyBorder="1"/>
    <xf numFmtId="181" fontId="8" fillId="48" borderId="24" xfId="915" applyNumberFormat="1" applyFont="1" applyFill="1" applyBorder="1" applyAlignment="1"/>
    <xf numFmtId="4" fontId="8" fillId="48" borderId="40" xfId="915" applyNumberFormat="1" applyFont="1" applyFill="1" applyBorder="1" applyAlignment="1"/>
    <xf numFmtId="176" fontId="8" fillId="48" borderId="24" xfId="915" applyNumberFormat="1" applyFont="1" applyFill="1" applyBorder="1"/>
    <xf numFmtId="0" fontId="9" fillId="48" borderId="0" xfId="0" applyFont="1" applyFill="1" applyBorder="1" applyAlignment="1">
      <alignment horizontal="left"/>
    </xf>
    <xf numFmtId="0" fontId="8" fillId="48" borderId="42" xfId="0" quotePrefix="1" applyFont="1" applyFill="1" applyBorder="1" applyAlignment="1">
      <alignment horizontal="left"/>
    </xf>
    <xf numFmtId="0" fontId="27" fillId="48" borderId="0" xfId="0" applyFont="1" applyFill="1" applyAlignment="1">
      <alignment horizontal="left"/>
    </xf>
    <xf numFmtId="192" fontId="28" fillId="48" borderId="0" xfId="915" applyNumberFormat="1" applyFont="1" applyFill="1" applyAlignment="1">
      <alignment horizontal="centerContinuous"/>
    </xf>
    <xf numFmtId="169" fontId="28" fillId="48" borderId="0" xfId="915" applyFont="1" applyFill="1" applyAlignment="1">
      <alignment horizontal="centerContinuous"/>
    </xf>
    <xf numFmtId="169" fontId="8" fillId="48" borderId="24" xfId="915" quotePrefix="1" applyFont="1" applyFill="1" applyBorder="1" applyAlignment="1">
      <alignment horizontal="centerContinuous"/>
    </xf>
    <xf numFmtId="169" fontId="9" fillId="48" borderId="0" xfId="915" applyFont="1" applyFill="1" applyBorder="1"/>
    <xf numFmtId="0" fontId="9" fillId="0" borderId="47" xfId="0" quotePrefix="1" applyFont="1" applyFill="1" applyBorder="1" applyAlignment="1" applyProtection="1">
      <alignment horizontal="left" vertical="center"/>
    </xf>
    <xf numFmtId="0" fontId="8" fillId="0" borderId="47" xfId="0" applyFont="1" applyFill="1" applyBorder="1" applyAlignment="1">
      <alignment horizontal="right" vertical="center"/>
    </xf>
    <xf numFmtId="0" fontId="8" fillId="0" borderId="47" xfId="0" applyFont="1" applyFill="1" applyBorder="1" applyAlignment="1">
      <alignment horizontal="center" vertical="center"/>
    </xf>
    <xf numFmtId="0" fontId="8" fillId="0" borderId="39" xfId="0" applyFont="1" applyFill="1" applyBorder="1" applyAlignment="1" applyProtection="1">
      <alignment horizontal="left" vertical="center"/>
    </xf>
    <xf numFmtId="0" fontId="8" fillId="0" borderId="40" xfId="0" applyFont="1" applyFill="1" applyBorder="1" applyAlignment="1" applyProtection="1">
      <alignment horizontal="right" vertical="center"/>
    </xf>
    <xf numFmtId="0" fontId="8" fillId="0" borderId="40" xfId="0" applyFont="1" applyFill="1" applyBorder="1" applyAlignment="1" applyProtection="1">
      <alignment horizontal="center" vertical="center"/>
    </xf>
    <xf numFmtId="4" fontId="8" fillId="0" borderId="40" xfId="0" applyNumberFormat="1" applyFont="1" applyFill="1" applyBorder="1" applyAlignment="1" applyProtection="1">
      <alignment horizontal="right" vertical="center"/>
    </xf>
    <xf numFmtId="4" fontId="8" fillId="0" borderId="41" xfId="0" applyNumberFormat="1" applyFont="1" applyFill="1" applyBorder="1" applyAlignment="1" applyProtection="1">
      <alignment horizontal="right" vertical="center"/>
      <protection locked="0"/>
    </xf>
    <xf numFmtId="0" fontId="8" fillId="0" borderId="42" xfId="0" quotePrefix="1" applyFont="1" applyFill="1" applyBorder="1" applyAlignment="1" applyProtection="1">
      <alignment horizontal="left" vertical="center"/>
    </xf>
    <xf numFmtId="2" fontId="8" fillId="0" borderId="24" xfId="0" applyNumberFormat="1" applyFont="1" applyFill="1" applyBorder="1" applyAlignment="1" applyProtection="1">
      <alignment horizontal="right" vertical="center"/>
    </xf>
    <xf numFmtId="0" fontId="8" fillId="0" borderId="24" xfId="0" applyFont="1" applyFill="1" applyBorder="1" applyAlignment="1" applyProtection="1">
      <alignment horizontal="center" vertical="center"/>
    </xf>
    <xf numFmtId="4" fontId="8" fillId="0" borderId="24" xfId="0" applyNumberFormat="1" applyFont="1" applyFill="1" applyBorder="1" applyAlignment="1" applyProtection="1">
      <alignment horizontal="right" vertical="center"/>
    </xf>
    <xf numFmtId="4" fontId="8" fillId="0" borderId="43" xfId="0" applyNumberFormat="1" applyFont="1" applyFill="1" applyBorder="1" applyAlignment="1" applyProtection="1">
      <alignment horizontal="right" vertical="center"/>
      <protection locked="0"/>
    </xf>
    <xf numFmtId="0" fontId="8" fillId="0" borderId="24" xfId="0" applyFont="1" applyFill="1" applyBorder="1" applyAlignment="1">
      <alignment horizontal="center" vertical="center"/>
    </xf>
    <xf numFmtId="0" fontId="8" fillId="0" borderId="44" xfId="0" applyFont="1" applyFill="1" applyBorder="1" applyAlignment="1">
      <alignment vertical="center"/>
    </xf>
    <xf numFmtId="0" fontId="8" fillId="0" borderId="45" xfId="0" applyFont="1" applyFill="1" applyBorder="1" applyAlignment="1">
      <alignment horizontal="right" vertical="center"/>
    </xf>
    <xf numFmtId="0" fontId="8" fillId="0" borderId="45" xfId="0" applyFont="1" applyFill="1" applyBorder="1" applyAlignment="1">
      <alignment horizontal="center" vertical="center"/>
    </xf>
    <xf numFmtId="39" fontId="9" fillId="0" borderId="45" xfId="0" quotePrefix="1" applyNumberFormat="1" applyFont="1" applyFill="1" applyBorder="1" applyAlignment="1" applyProtection="1">
      <alignment horizontal="right" vertical="center"/>
    </xf>
    <xf numFmtId="194" fontId="9" fillId="0" borderId="46" xfId="0" applyNumberFormat="1" applyFont="1" applyFill="1" applyBorder="1" applyAlignment="1" applyProtection="1">
      <alignment horizontal="right" vertical="center"/>
    </xf>
    <xf numFmtId="0" fontId="8" fillId="48" borderId="47" xfId="0" applyFont="1" applyFill="1" applyBorder="1" applyAlignment="1">
      <alignment horizontal="right" vertical="center"/>
    </xf>
    <xf numFmtId="0" fontId="8" fillId="48" borderId="47" xfId="0" applyFont="1" applyFill="1" applyBorder="1" applyAlignment="1">
      <alignment horizontal="center" vertical="center"/>
    </xf>
    <xf numFmtId="0" fontId="8" fillId="0" borderId="48" xfId="0" applyFont="1" applyFill="1" applyBorder="1" applyAlignment="1" applyProtection="1">
      <alignment horizontal="left" vertical="center"/>
    </xf>
    <xf numFmtId="0" fontId="8" fillId="0" borderId="25" xfId="0" applyFont="1" applyFill="1" applyBorder="1" applyAlignment="1" applyProtection="1">
      <alignment horizontal="right" vertical="center"/>
    </xf>
    <xf numFmtId="0" fontId="8" fillId="0" borderId="25" xfId="0" applyFont="1" applyFill="1" applyBorder="1" applyAlignment="1" applyProtection="1">
      <alignment horizontal="center" vertical="center"/>
    </xf>
    <xf numFmtId="4" fontId="8" fillId="0" borderId="25" xfId="0" applyNumberFormat="1" applyFont="1" applyFill="1" applyBorder="1" applyAlignment="1" applyProtection="1">
      <alignment horizontal="right" vertical="center"/>
    </xf>
    <xf numFmtId="0" fontId="8" fillId="0" borderId="0" xfId="0" applyFont="1" applyFill="1" applyBorder="1" applyAlignment="1">
      <alignment vertical="center"/>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xf>
    <xf numFmtId="39" fontId="9" fillId="0" borderId="0" xfId="0" quotePrefix="1" applyNumberFormat="1" applyFont="1" applyFill="1" applyBorder="1" applyAlignment="1" applyProtection="1">
      <alignment horizontal="right" vertical="center"/>
    </xf>
    <xf numFmtId="194" fontId="9" fillId="0" borderId="0" xfId="0" applyNumberFormat="1" applyFont="1" applyFill="1" applyBorder="1" applyAlignment="1" applyProtection="1">
      <alignment horizontal="right" vertical="center"/>
    </xf>
    <xf numFmtId="169" fontId="8" fillId="48" borderId="40" xfId="915" applyFont="1" applyFill="1" applyBorder="1" applyAlignment="1">
      <alignment horizontal="right"/>
    </xf>
    <xf numFmtId="169" fontId="8" fillId="48" borderId="24" xfId="915" applyFont="1" applyFill="1" applyBorder="1" applyAlignment="1">
      <alignment horizontal="right"/>
    </xf>
    <xf numFmtId="169" fontId="8" fillId="48" borderId="45" xfId="915" applyFont="1" applyFill="1" applyBorder="1" applyAlignment="1">
      <alignment horizontal="centerContinuous"/>
    </xf>
    <xf numFmtId="169" fontId="9" fillId="48" borderId="45" xfId="915" applyFont="1" applyFill="1" applyBorder="1" applyAlignment="1">
      <alignment horizontal="right"/>
    </xf>
    <xf numFmtId="184" fontId="29" fillId="48" borderId="0" xfId="1282" applyFont="1" applyFill="1"/>
    <xf numFmtId="0" fontId="8" fillId="48" borderId="24" xfId="1293" applyFont="1" applyFill="1" applyBorder="1" applyAlignment="1">
      <alignment wrapText="1"/>
    </xf>
    <xf numFmtId="2" fontId="8" fillId="48" borderId="24" xfId="1293" applyNumberFormat="1" applyFont="1" applyFill="1" applyBorder="1"/>
    <xf numFmtId="0" fontId="8" fillId="48" borderId="24" xfId="1293" applyFont="1" applyFill="1" applyBorder="1" applyAlignment="1">
      <alignment horizontal="centerContinuous"/>
    </xf>
    <xf numFmtId="39" fontId="8" fillId="48" borderId="24" xfId="1293" applyNumberFormat="1" applyFont="1" applyFill="1" applyBorder="1"/>
    <xf numFmtId="0" fontId="8" fillId="48" borderId="24" xfId="1293" applyFont="1" applyFill="1" applyBorder="1"/>
    <xf numFmtId="0" fontId="8" fillId="48" borderId="24" xfId="1293" applyFont="1" applyFill="1" applyBorder="1" applyAlignment="1">
      <alignment horizontal="center"/>
    </xf>
    <xf numFmtId="39" fontId="8" fillId="48" borderId="24" xfId="1293" applyNumberFormat="1" applyFont="1" applyFill="1" applyBorder="1" applyAlignment="1">
      <alignment horizontal="right"/>
    </xf>
    <xf numFmtId="184" fontId="9" fillId="48" borderId="24" xfId="1282" applyFont="1" applyFill="1" applyBorder="1" applyAlignment="1">
      <alignment horizontal="right"/>
    </xf>
    <xf numFmtId="39" fontId="9" fillId="48" borderId="24" xfId="1293" applyNumberFormat="1" applyFont="1" applyFill="1" applyBorder="1" applyAlignment="1">
      <alignment horizontal="right"/>
    </xf>
    <xf numFmtId="184" fontId="8" fillId="48" borderId="24" xfId="1282" applyFont="1" applyFill="1" applyBorder="1"/>
    <xf numFmtId="4" fontId="8" fillId="48" borderId="24" xfId="1282" applyNumberFormat="1" applyFont="1" applyFill="1" applyBorder="1"/>
    <xf numFmtId="184" fontId="8" fillId="48" borderId="24" xfId="1282" applyFont="1" applyFill="1" applyBorder="1" applyAlignment="1">
      <alignment horizontal="center"/>
    </xf>
    <xf numFmtId="4" fontId="8" fillId="48" borderId="24" xfId="703" applyNumberFormat="1" applyFont="1" applyFill="1" applyBorder="1"/>
    <xf numFmtId="39" fontId="8" fillId="48" borderId="24" xfId="1282" applyNumberFormat="1" applyFont="1" applyFill="1" applyBorder="1"/>
    <xf numFmtId="184" fontId="30" fillId="48" borderId="24" xfId="1282" applyFont="1" applyFill="1" applyBorder="1" applyAlignment="1">
      <alignment horizontal="right"/>
    </xf>
    <xf numFmtId="39" fontId="9" fillId="48" borderId="24" xfId="1282" applyNumberFormat="1" applyFont="1" applyFill="1" applyBorder="1"/>
    <xf numFmtId="184" fontId="29" fillId="48" borderId="24" xfId="1282" applyFont="1" applyFill="1" applyBorder="1"/>
    <xf numFmtId="184" fontId="30" fillId="48" borderId="24" xfId="1282" applyFont="1" applyFill="1" applyBorder="1"/>
    <xf numFmtId="4" fontId="0" fillId="48" borderId="0" xfId="0" applyNumberFormat="1" applyFill="1"/>
    <xf numFmtId="0" fontId="0" fillId="48" borderId="0" xfId="0" applyFill="1" applyAlignment="1">
      <alignment horizontal="center"/>
    </xf>
    <xf numFmtId="0" fontId="0" fillId="48" borderId="24" xfId="0" applyFill="1" applyBorder="1"/>
    <xf numFmtId="4" fontId="0" fillId="48" borderId="24" xfId="0" applyNumberFormat="1" applyFill="1" applyBorder="1"/>
    <xf numFmtId="4" fontId="0" fillId="48" borderId="24" xfId="0" applyNumberFormat="1" applyFill="1" applyBorder="1" applyAlignment="1">
      <alignment horizontal="center"/>
    </xf>
    <xf numFmtId="4" fontId="9" fillId="48" borderId="24" xfId="0" applyNumberFormat="1" applyFont="1" applyFill="1" applyBorder="1"/>
    <xf numFmtId="0" fontId="9" fillId="48" borderId="0" xfId="0" applyFont="1" applyFill="1" applyBorder="1" applyAlignment="1"/>
    <xf numFmtId="192" fontId="8" fillId="48" borderId="0" xfId="0" applyNumberFormat="1" applyFont="1" applyFill="1"/>
    <xf numFmtId="0" fontId="13" fillId="42" borderId="39" xfId="0" applyFont="1" applyFill="1" applyBorder="1"/>
    <xf numFmtId="0" fontId="13" fillId="42" borderId="40" xfId="0" applyFont="1" applyFill="1" applyBorder="1"/>
    <xf numFmtId="0" fontId="13" fillId="42" borderId="40" xfId="0" applyFont="1" applyFill="1" applyBorder="1" applyAlignment="1">
      <alignment horizontal="center"/>
    </xf>
    <xf numFmtId="4" fontId="13" fillId="42" borderId="40" xfId="703" applyNumberFormat="1" applyFont="1" applyFill="1" applyBorder="1"/>
    <xf numFmtId="4" fontId="13" fillId="42" borderId="41" xfId="703" applyNumberFormat="1" applyFont="1" applyFill="1" applyBorder="1"/>
    <xf numFmtId="0" fontId="13" fillId="42" borderId="42" xfId="0" applyFont="1" applyFill="1" applyBorder="1"/>
    <xf numFmtId="2" fontId="13" fillId="42" borderId="24" xfId="0" applyNumberFormat="1" applyFont="1" applyFill="1" applyBorder="1"/>
    <xf numFmtId="0" fontId="13" fillId="42" borderId="24" xfId="0" applyFont="1" applyFill="1" applyBorder="1" applyAlignment="1">
      <alignment horizontal="center"/>
    </xf>
    <xf numFmtId="4" fontId="13" fillId="42" borderId="24" xfId="703" applyNumberFormat="1" applyFont="1" applyFill="1" applyBorder="1"/>
    <xf numFmtId="4" fontId="13" fillId="42" borderId="43" xfId="703" applyNumberFormat="1" applyFont="1" applyFill="1" applyBorder="1"/>
    <xf numFmtId="0" fontId="13" fillId="42" borderId="44" xfId="0" applyFont="1" applyFill="1" applyBorder="1"/>
    <xf numFmtId="0" fontId="13" fillId="42" borderId="45" xfId="0" applyFont="1" applyFill="1" applyBorder="1"/>
    <xf numFmtId="4" fontId="14" fillId="42" borderId="46" xfId="703" applyNumberFormat="1" applyFont="1" applyFill="1" applyBorder="1"/>
    <xf numFmtId="2" fontId="13" fillId="51" borderId="24" xfId="0" applyNumberFormat="1" applyFont="1" applyFill="1" applyBorder="1"/>
    <xf numFmtId="0" fontId="13" fillId="42" borderId="0" xfId="0" applyFont="1" applyFill="1" applyBorder="1"/>
    <xf numFmtId="0" fontId="14" fillId="42" borderId="0" xfId="0" applyFont="1" applyFill="1" applyBorder="1" applyAlignment="1">
      <alignment horizontal="center"/>
    </xf>
    <xf numFmtId="4" fontId="14" fillId="42" borderId="0" xfId="703" applyNumberFormat="1" applyFont="1" applyFill="1" applyBorder="1"/>
    <xf numFmtId="2" fontId="13" fillId="42" borderId="40" xfId="0" applyNumberFormat="1" applyFont="1" applyFill="1" applyBorder="1"/>
    <xf numFmtId="0" fontId="13" fillId="42" borderId="48" xfId="0" applyFont="1" applyFill="1" applyBorder="1"/>
    <xf numFmtId="2" fontId="13" fillId="42" borderId="25" xfId="0" applyNumberFormat="1" applyFont="1" applyFill="1" applyBorder="1"/>
    <xf numFmtId="0" fontId="13" fillId="42" borderId="25" xfId="0" applyFont="1" applyFill="1" applyBorder="1" applyAlignment="1">
      <alignment horizontal="center"/>
    </xf>
    <xf numFmtId="4" fontId="13" fillId="42" borderId="25" xfId="703" applyNumberFormat="1" applyFont="1" applyFill="1" applyBorder="1"/>
    <xf numFmtId="0" fontId="9" fillId="48" borderId="0" xfId="0" applyFont="1" applyFill="1" applyBorder="1"/>
    <xf numFmtId="0" fontId="26" fillId="48" borderId="0" xfId="0" applyFont="1" applyFill="1" applyBorder="1"/>
    <xf numFmtId="0" fontId="8" fillId="48" borderId="39" xfId="0" applyFont="1" applyFill="1" applyBorder="1"/>
    <xf numFmtId="4" fontId="8" fillId="48" borderId="40" xfId="0" applyNumberFormat="1" applyFont="1" applyFill="1" applyBorder="1"/>
    <xf numFmtId="0" fontId="8" fillId="48" borderId="40" xfId="0" applyFont="1" applyFill="1" applyBorder="1" applyAlignment="1">
      <alignment horizontal="center"/>
    </xf>
    <xf numFmtId="4" fontId="8" fillId="48" borderId="49" xfId="0" applyNumberFormat="1" applyFont="1" applyFill="1" applyBorder="1"/>
    <xf numFmtId="0" fontId="8" fillId="48" borderId="25" xfId="0" applyFont="1" applyFill="1" applyBorder="1" applyAlignment="1">
      <alignment horizontal="center"/>
    </xf>
    <xf numFmtId="0" fontId="8" fillId="48" borderId="42" xfId="0" applyFont="1" applyFill="1" applyBorder="1"/>
    <xf numFmtId="2" fontId="8" fillId="48" borderId="24" xfId="0" applyNumberFormat="1" applyFont="1" applyFill="1" applyBorder="1"/>
    <xf numFmtId="0" fontId="8" fillId="48" borderId="24" xfId="0" applyFont="1" applyFill="1" applyBorder="1" applyAlignment="1">
      <alignment horizontal="center"/>
    </xf>
    <xf numFmtId="4" fontId="8" fillId="48" borderId="24" xfId="0" applyNumberFormat="1" applyFont="1" applyFill="1" applyBorder="1"/>
    <xf numFmtId="0" fontId="9" fillId="48" borderId="42" xfId="0" applyFont="1" applyFill="1" applyBorder="1"/>
    <xf numFmtId="192" fontId="8" fillId="48" borderId="24" xfId="0" applyNumberFormat="1" applyFont="1" applyFill="1" applyBorder="1"/>
    <xf numFmtId="0" fontId="8" fillId="48" borderId="24" xfId="0" applyFont="1" applyFill="1" applyBorder="1"/>
    <xf numFmtId="4" fontId="8" fillId="48" borderId="50" xfId="0" applyNumberFormat="1" applyFont="1" applyFill="1" applyBorder="1"/>
    <xf numFmtId="0" fontId="17" fillId="48" borderId="42" xfId="0" applyFont="1" applyFill="1" applyBorder="1"/>
    <xf numFmtId="2" fontId="17" fillId="48" borderId="24" xfId="0" applyNumberFormat="1" applyFont="1" applyFill="1" applyBorder="1"/>
    <xf numFmtId="0" fontId="17" fillId="48" borderId="24" xfId="0" applyFont="1" applyFill="1" applyBorder="1" applyAlignment="1">
      <alignment horizontal="center"/>
    </xf>
    <xf numFmtId="4" fontId="17" fillId="48" borderId="24" xfId="0" applyNumberFormat="1" applyFont="1" applyFill="1" applyBorder="1"/>
    <xf numFmtId="169" fontId="17" fillId="48" borderId="43" xfId="915" applyFont="1" applyFill="1" applyBorder="1"/>
    <xf numFmtId="0" fontId="8" fillId="48" borderId="51" xfId="0" applyFont="1" applyFill="1" applyBorder="1"/>
    <xf numFmtId="2" fontId="8" fillId="48" borderId="20" xfId="0" applyNumberFormat="1" applyFont="1" applyFill="1" applyBorder="1"/>
    <xf numFmtId="0" fontId="8" fillId="48" borderId="20" xfId="0" applyFont="1" applyFill="1" applyBorder="1" applyAlignment="1">
      <alignment horizontal="center"/>
    </xf>
    <xf numFmtId="4" fontId="8" fillId="48" borderId="20" xfId="0" applyNumberFormat="1" applyFont="1" applyFill="1" applyBorder="1"/>
    <xf numFmtId="169" fontId="8" fillId="48" borderId="52" xfId="915" applyFont="1" applyFill="1" applyBorder="1"/>
    <xf numFmtId="0" fontId="8" fillId="48" borderId="44" xfId="0" applyFont="1" applyFill="1" applyBorder="1"/>
    <xf numFmtId="192" fontId="8" fillId="48" borderId="45" xfId="0" applyNumberFormat="1" applyFont="1" applyFill="1" applyBorder="1"/>
    <xf numFmtId="4" fontId="14" fillId="48" borderId="46" xfId="740" applyNumberFormat="1" applyFont="1" applyFill="1" applyBorder="1"/>
    <xf numFmtId="0" fontId="31" fillId="48" borderId="0" xfId="0" applyFont="1" applyFill="1" applyAlignment="1">
      <alignment horizontal="center"/>
    </xf>
    <xf numFmtId="0" fontId="32" fillId="48" borderId="0" xfId="0" applyFont="1" applyFill="1" applyAlignment="1">
      <alignment horizontal="right"/>
    </xf>
    <xf numFmtId="2" fontId="32" fillId="48" borderId="0" xfId="0" applyNumberFormat="1" applyFont="1" applyFill="1" applyAlignment="1">
      <alignment horizontal="center"/>
    </xf>
    <xf numFmtId="0" fontId="32" fillId="48" borderId="0" xfId="0" applyFont="1" applyFill="1"/>
    <xf numFmtId="0" fontId="33" fillId="48" borderId="0" xfId="0" applyFont="1" applyFill="1"/>
    <xf numFmtId="0" fontId="32" fillId="48" borderId="0" xfId="0" applyFont="1" applyFill="1" applyAlignment="1">
      <alignment horizontal="left"/>
    </xf>
    <xf numFmtId="0" fontId="33" fillId="48" borderId="39" xfId="0" applyFont="1" applyFill="1" applyBorder="1"/>
    <xf numFmtId="0" fontId="33" fillId="48" borderId="40" xfId="0" applyFont="1" applyFill="1" applyBorder="1"/>
    <xf numFmtId="0" fontId="33" fillId="48" borderId="40" xfId="0" applyFont="1" applyFill="1" applyBorder="1" applyAlignment="1">
      <alignment horizontal="centerContinuous"/>
    </xf>
    <xf numFmtId="39" fontId="10" fillId="48" borderId="40" xfId="1293" applyNumberFormat="1" applyFont="1" applyFill="1" applyBorder="1"/>
    <xf numFmtId="39" fontId="33" fillId="48" borderId="41" xfId="0" applyNumberFormat="1" applyFont="1" applyFill="1" applyBorder="1"/>
    <xf numFmtId="0" fontId="33" fillId="48" borderId="42" xfId="0" applyFont="1" applyFill="1" applyBorder="1"/>
    <xf numFmtId="2" fontId="33" fillId="48" borderId="24" xfId="0" applyNumberFormat="1" applyFont="1" applyFill="1" applyBorder="1"/>
    <xf numFmtId="0" fontId="33" fillId="48" borderId="24" xfId="0" applyFont="1" applyFill="1" applyBorder="1" applyAlignment="1">
      <alignment horizontal="centerContinuous"/>
    </xf>
    <xf numFmtId="39" fontId="10" fillId="48" borderId="24" xfId="1293" applyNumberFormat="1" applyFont="1" applyFill="1" applyBorder="1"/>
    <xf numFmtId="39" fontId="33" fillId="48" borderId="43" xfId="0" applyNumberFormat="1" applyFont="1" applyFill="1" applyBorder="1"/>
    <xf numFmtId="0" fontId="33" fillId="48" borderId="51" xfId="0" applyFont="1" applyFill="1" applyBorder="1"/>
    <xf numFmtId="2" fontId="33" fillId="48" borderId="20" xfId="0" applyNumberFormat="1" applyFont="1" applyFill="1" applyBorder="1"/>
    <xf numFmtId="0" fontId="33" fillId="48" borderId="20" xfId="0" applyFont="1" applyFill="1" applyBorder="1" applyAlignment="1">
      <alignment horizontal="centerContinuous"/>
    </xf>
    <xf numFmtId="39" fontId="10" fillId="48" borderId="20" xfId="1293" applyNumberFormat="1" applyFont="1" applyFill="1" applyBorder="1"/>
    <xf numFmtId="0" fontId="33" fillId="48" borderId="44" xfId="0" applyFont="1" applyFill="1" applyBorder="1"/>
    <xf numFmtId="0" fontId="33" fillId="48" borderId="45" xfId="0" applyFont="1" applyFill="1" applyBorder="1"/>
    <xf numFmtId="0" fontId="32" fillId="48" borderId="45" xfId="0" applyFont="1" applyFill="1" applyBorder="1" applyAlignment="1">
      <alignment horizontal="right"/>
    </xf>
    <xf numFmtId="39" fontId="32" fillId="48" borderId="46" xfId="0" applyNumberFormat="1" applyFont="1" applyFill="1" applyBorder="1" applyAlignment="1">
      <alignment horizontal="right"/>
    </xf>
    <xf numFmtId="0" fontId="33" fillId="48" borderId="0" xfId="0" applyFont="1" applyFill="1" applyBorder="1"/>
    <xf numFmtId="4" fontId="8" fillId="48" borderId="0" xfId="0" applyNumberFormat="1" applyFont="1" applyFill="1" applyBorder="1"/>
    <xf numFmtId="0" fontId="32" fillId="48" borderId="53" xfId="0" applyFont="1" applyFill="1" applyBorder="1" applyAlignment="1">
      <alignment horizontal="right"/>
    </xf>
    <xf numFmtId="39" fontId="32" fillId="48" borderId="54" xfId="0" applyNumberFormat="1" applyFont="1" applyFill="1" applyBorder="1" applyAlignment="1">
      <alignment horizontal="right"/>
    </xf>
    <xf numFmtId="4" fontId="33" fillId="48" borderId="40" xfId="0" applyNumberFormat="1" applyFont="1" applyFill="1" applyBorder="1"/>
    <xf numFmtId="4" fontId="34" fillId="48" borderId="40" xfId="0" applyNumberFormat="1" applyFont="1" applyFill="1" applyBorder="1" applyAlignment="1" applyProtection="1">
      <alignment horizontal="right" vertical="center"/>
    </xf>
    <xf numFmtId="0" fontId="33" fillId="48" borderId="48" xfId="0" applyFont="1" applyFill="1" applyBorder="1"/>
    <xf numFmtId="2" fontId="33" fillId="48" borderId="25" xfId="0" applyNumberFormat="1" applyFont="1" applyFill="1" applyBorder="1"/>
    <xf numFmtId="0" fontId="33" fillId="48" borderId="25" xfId="0" applyFont="1" applyFill="1" applyBorder="1" applyAlignment="1">
      <alignment horizontal="centerContinuous"/>
    </xf>
    <xf numFmtId="4" fontId="34" fillId="48" borderId="25" xfId="0" applyNumberFormat="1" applyFont="1" applyFill="1" applyBorder="1" applyAlignment="1" applyProtection="1">
      <alignment horizontal="right" vertical="center"/>
    </xf>
    <xf numFmtId="39" fontId="10" fillId="48" borderId="25" xfId="1293" applyNumberFormat="1" applyFont="1" applyFill="1" applyBorder="1"/>
    <xf numFmtId="2" fontId="10" fillId="48" borderId="20" xfId="1293" applyNumberFormat="1" applyFont="1" applyFill="1" applyBorder="1"/>
    <xf numFmtId="0" fontId="33" fillId="48" borderId="20" xfId="0" applyFont="1" applyFill="1" applyBorder="1" applyAlignment="1">
      <alignment horizontal="center"/>
    </xf>
    <xf numFmtId="39" fontId="33" fillId="48" borderId="24" xfId="0" applyNumberFormat="1" applyFont="1" applyFill="1" applyBorder="1"/>
    <xf numFmtId="39" fontId="33" fillId="48" borderId="52" xfId="0" applyNumberFormat="1" applyFont="1" applyFill="1" applyBorder="1"/>
    <xf numFmtId="0" fontId="33" fillId="48" borderId="55" xfId="0" applyFont="1" applyFill="1" applyBorder="1"/>
    <xf numFmtId="0" fontId="33" fillId="48" borderId="56" xfId="0" applyFont="1" applyFill="1" applyBorder="1"/>
    <xf numFmtId="0" fontId="32" fillId="48" borderId="0" xfId="0" applyFont="1" applyFill="1" applyBorder="1" applyAlignment="1"/>
    <xf numFmtId="0" fontId="32" fillId="48" borderId="55" xfId="0" applyFont="1" applyFill="1" applyBorder="1" applyAlignment="1"/>
    <xf numFmtId="39" fontId="32" fillId="48" borderId="55" xfId="0" applyNumberFormat="1" applyFont="1" applyFill="1" applyBorder="1" applyAlignment="1">
      <alignment horizontal="right"/>
    </xf>
    <xf numFmtId="39" fontId="32" fillId="48" borderId="57" xfId="0" applyNumberFormat="1" applyFont="1" applyFill="1" applyBorder="1" applyAlignment="1">
      <alignment horizontal="right"/>
    </xf>
    <xf numFmtId="0" fontId="8" fillId="48" borderId="0" xfId="1293" applyFont="1" applyFill="1"/>
    <xf numFmtId="0" fontId="9" fillId="48" borderId="0" xfId="1293" applyFont="1" applyFill="1" applyBorder="1"/>
    <xf numFmtId="0" fontId="8" fillId="48" borderId="0" xfId="1293" applyFont="1" applyFill="1" applyBorder="1"/>
    <xf numFmtId="0" fontId="8" fillId="48" borderId="0" xfId="1293" applyFont="1" applyFill="1" applyBorder="1" applyAlignment="1">
      <alignment horizontal="centerContinuous"/>
    </xf>
    <xf numFmtId="39" fontId="8" fillId="48" borderId="0" xfId="1293" applyNumberFormat="1" applyFont="1" applyFill="1" applyBorder="1"/>
    <xf numFmtId="2" fontId="8" fillId="48" borderId="0" xfId="1293" applyNumberFormat="1" applyFont="1" applyFill="1" applyBorder="1"/>
    <xf numFmtId="0" fontId="8" fillId="48" borderId="39" xfId="1293" applyFont="1" applyFill="1" applyBorder="1"/>
    <xf numFmtId="0" fontId="8" fillId="48" borderId="40" xfId="1293" applyFont="1" applyFill="1" applyBorder="1"/>
    <xf numFmtId="0" fontId="8" fillId="48" borderId="40" xfId="1293" applyFont="1" applyFill="1" applyBorder="1" applyAlignment="1">
      <alignment horizontal="center" vertical="top"/>
    </xf>
    <xf numFmtId="39" fontId="8" fillId="48" borderId="41" xfId="0" applyNumberFormat="1" applyFont="1" applyFill="1" applyBorder="1"/>
    <xf numFmtId="0" fontId="8" fillId="48" borderId="44" xfId="1293" applyFont="1" applyFill="1" applyBorder="1"/>
    <xf numFmtId="0" fontId="8" fillId="48" borderId="45" xfId="1293" applyFont="1" applyFill="1" applyBorder="1"/>
    <xf numFmtId="39" fontId="9" fillId="48" borderId="46" xfId="1293" applyNumberFormat="1" applyFont="1" applyFill="1" applyBorder="1"/>
    <xf numFmtId="0" fontId="33" fillId="48" borderId="0" xfId="1293" applyFont="1" applyFill="1"/>
    <xf numFmtId="0" fontId="33" fillId="48" borderId="53" xfId="1293" applyFont="1" applyFill="1" applyBorder="1"/>
    <xf numFmtId="0" fontId="32" fillId="48" borderId="58" xfId="1293" applyFont="1" applyFill="1" applyBorder="1"/>
    <xf numFmtId="39" fontId="32" fillId="48" borderId="54" xfId="1293" applyNumberFormat="1" applyFont="1" applyFill="1" applyBorder="1"/>
    <xf numFmtId="0" fontId="14" fillId="52" borderId="0" xfId="1293" applyFont="1" applyFill="1" applyAlignment="1">
      <alignment horizontal="center"/>
    </xf>
    <xf numFmtId="0" fontId="9" fillId="53" borderId="0" xfId="1300" applyFont="1" applyFill="1" applyBorder="1" applyAlignment="1">
      <alignment horizontal="left"/>
    </xf>
    <xf numFmtId="169" fontId="9" fillId="52" borderId="0" xfId="920" applyFont="1" applyFill="1" applyBorder="1" applyAlignment="1">
      <alignment horizontal="center"/>
    </xf>
    <xf numFmtId="0" fontId="9" fillId="52" borderId="20" xfId="1300" applyFont="1" applyFill="1" applyBorder="1" applyAlignment="1">
      <alignment horizontal="center"/>
    </xf>
    <xf numFmtId="169" fontId="9" fillId="52" borderId="20" xfId="920" applyFont="1" applyFill="1" applyBorder="1" applyAlignment="1">
      <alignment horizontal="center"/>
    </xf>
    <xf numFmtId="0" fontId="8" fillId="52" borderId="19" xfId="0" applyFont="1" applyFill="1" applyBorder="1"/>
    <xf numFmtId="169" fontId="8" fillId="52" borderId="19" xfId="920" applyFont="1" applyFill="1" applyBorder="1"/>
    <xf numFmtId="169" fontId="8" fillId="52" borderId="19" xfId="920" applyFont="1" applyFill="1" applyBorder="1" applyAlignment="1">
      <alignment horizontal="center"/>
    </xf>
    <xf numFmtId="0" fontId="8" fillId="52" borderId="25" xfId="1288" applyFont="1" applyFill="1" applyBorder="1" applyAlignment="1">
      <alignment horizontal="right"/>
    </xf>
    <xf numFmtId="169" fontId="8" fillId="52" borderId="25" xfId="920" applyFont="1" applyFill="1" applyBorder="1"/>
    <xf numFmtId="169" fontId="8" fillId="52" borderId="25" xfId="920" applyFont="1" applyFill="1" applyBorder="1" applyAlignment="1" applyProtection="1">
      <alignment horizontal="center"/>
    </xf>
    <xf numFmtId="169" fontId="9" fillId="52" borderId="25" xfId="920" applyFont="1" applyFill="1" applyBorder="1" applyAlignment="1">
      <alignment horizontal="right"/>
    </xf>
    <xf numFmtId="0" fontId="8" fillId="52" borderId="0" xfId="0" applyFont="1" applyFill="1" applyBorder="1"/>
    <xf numFmtId="0" fontId="8" fillId="52" borderId="0" xfId="1288" applyFont="1" applyFill="1" applyBorder="1" applyAlignment="1">
      <alignment horizontal="right"/>
    </xf>
    <xf numFmtId="169" fontId="8" fillId="52" borderId="0" xfId="920" applyFont="1" applyFill="1" applyBorder="1"/>
    <xf numFmtId="0" fontId="8" fillId="53" borderId="26" xfId="1051" applyFont="1" applyFill="1" applyBorder="1"/>
    <xf numFmtId="170" fontId="9" fillId="53" borderId="59" xfId="1051" applyNumberFormat="1" applyFont="1" applyFill="1" applyBorder="1"/>
    <xf numFmtId="0" fontId="13" fillId="52" borderId="0" xfId="1293" applyFont="1" applyFill="1"/>
    <xf numFmtId="4" fontId="13" fillId="52" borderId="0" xfId="1293" applyNumberFormat="1" applyFont="1" applyFill="1"/>
    <xf numFmtId="0" fontId="9" fillId="52" borderId="0" xfId="1051" applyNumberFormat="1" applyFont="1" applyFill="1" applyBorder="1" applyAlignment="1" applyProtection="1"/>
    <xf numFmtId="0" fontId="8" fillId="52" borderId="0" xfId="1051" applyNumberFormat="1" applyFont="1" applyFill="1" applyBorder="1" applyAlignment="1"/>
    <xf numFmtId="0" fontId="8" fillId="52" borderId="39" xfId="1051" applyFont="1" applyFill="1" applyBorder="1"/>
    <xf numFmtId="0" fontId="9" fillId="52" borderId="40" xfId="1051" applyFont="1" applyFill="1" applyBorder="1" applyAlignment="1">
      <alignment horizontal="center"/>
    </xf>
    <xf numFmtId="0" fontId="9" fillId="52" borderId="41" xfId="1051" applyFont="1" applyFill="1" applyBorder="1" applyAlignment="1">
      <alignment horizontal="center"/>
    </xf>
    <xf numFmtId="0" fontId="8" fillId="52" borderId="60" xfId="1051" applyFont="1" applyFill="1" applyBorder="1" applyAlignment="1" applyProtection="1">
      <alignment horizontal="left"/>
    </xf>
    <xf numFmtId="184" fontId="8" fillId="52" borderId="19" xfId="1051" applyNumberFormat="1" applyFont="1" applyFill="1" applyBorder="1" applyAlignment="1" applyProtection="1">
      <alignment horizontal="right"/>
    </xf>
    <xf numFmtId="0" fontId="8" fillId="52" borderId="19" xfId="1051" applyFont="1" applyFill="1" applyBorder="1" applyAlignment="1" applyProtection="1">
      <alignment horizontal="center"/>
    </xf>
    <xf numFmtId="169" fontId="8" fillId="52" borderId="19" xfId="914" applyFont="1" applyFill="1" applyBorder="1" applyAlignment="1">
      <alignment horizontal="right"/>
    </xf>
    <xf numFmtId="169" fontId="8" fillId="52" borderId="61" xfId="914" applyFont="1" applyFill="1" applyBorder="1" applyAlignment="1">
      <alignment horizontal="right"/>
    </xf>
    <xf numFmtId="0" fontId="8" fillId="52" borderId="60" xfId="1051" applyFont="1" applyFill="1" applyBorder="1" applyProtection="1"/>
    <xf numFmtId="184" fontId="8" fillId="52" borderId="19" xfId="1051" applyNumberFormat="1" applyFont="1" applyFill="1" applyBorder="1" applyProtection="1"/>
    <xf numFmtId="0" fontId="8" fillId="52" borderId="60" xfId="1051" applyFont="1" applyFill="1" applyBorder="1"/>
    <xf numFmtId="0" fontId="8" fillId="52" borderId="19" xfId="1051" applyFont="1" applyFill="1" applyBorder="1"/>
    <xf numFmtId="169" fontId="9" fillId="52" borderId="19" xfId="914" applyFont="1" applyFill="1" applyBorder="1" applyAlignment="1">
      <alignment horizontal="right"/>
    </xf>
    <xf numFmtId="169" fontId="9" fillId="52" borderId="61" xfId="914" applyFont="1" applyFill="1" applyBorder="1" applyAlignment="1"/>
    <xf numFmtId="0" fontId="8" fillId="52" borderId="62" xfId="1299" applyFont="1" applyFill="1" applyBorder="1"/>
    <xf numFmtId="169" fontId="8" fillId="52" borderId="63" xfId="914" applyFont="1" applyFill="1" applyBorder="1"/>
    <xf numFmtId="169" fontId="8" fillId="52" borderId="63" xfId="914" applyFont="1" applyFill="1" applyBorder="1" applyAlignment="1"/>
    <xf numFmtId="169" fontId="8" fillId="52" borderId="64" xfId="914" applyFont="1" applyFill="1" applyBorder="1"/>
    <xf numFmtId="0" fontId="8" fillId="52" borderId="0" xfId="1299" applyFont="1" applyFill="1" applyBorder="1"/>
    <xf numFmtId="169" fontId="8" fillId="52" borderId="0" xfId="914" applyFont="1" applyFill="1" applyBorder="1"/>
    <xf numFmtId="169" fontId="9" fillId="52" borderId="0" xfId="914" applyFont="1" applyFill="1" applyBorder="1" applyAlignment="1">
      <alignment horizontal="right"/>
    </xf>
    <xf numFmtId="170" fontId="9" fillId="52" borderId="0" xfId="1051" applyNumberFormat="1" applyFont="1" applyFill="1" applyBorder="1" applyAlignment="1">
      <alignment horizontal="right"/>
    </xf>
    <xf numFmtId="0" fontId="79" fillId="0" borderId="0" xfId="0" applyFont="1"/>
    <xf numFmtId="43" fontId="13" fillId="48" borderId="0" xfId="923" applyNumberFormat="1" applyFont="1" applyFill="1" applyBorder="1"/>
    <xf numFmtId="43" fontId="13" fillId="48" borderId="0" xfId="461" applyNumberFormat="1" applyFont="1" applyFill="1" applyBorder="1" applyAlignment="1">
      <alignment horizontal="center"/>
    </xf>
    <xf numFmtId="0" fontId="13" fillId="48" borderId="39" xfId="1293" applyFont="1" applyFill="1" applyBorder="1" applyAlignment="1">
      <alignment horizontal="left"/>
    </xf>
    <xf numFmtId="43" fontId="13" fillId="48" borderId="40" xfId="923" applyNumberFormat="1" applyFont="1" applyFill="1" applyBorder="1"/>
    <xf numFmtId="43" fontId="13" fillId="48" borderId="40" xfId="461" applyNumberFormat="1" applyFont="1" applyFill="1" applyBorder="1" applyAlignment="1">
      <alignment horizontal="center"/>
    </xf>
    <xf numFmtId="43" fontId="13" fillId="48" borderId="49" xfId="923" applyNumberFormat="1" applyFont="1" applyFill="1" applyBorder="1"/>
    <xf numFmtId="4" fontId="13" fillId="48" borderId="65" xfId="923" applyNumberFormat="1" applyFont="1" applyFill="1" applyBorder="1"/>
    <xf numFmtId="0" fontId="13" fillId="48" borderId="42" xfId="1293" applyFont="1" applyFill="1" applyBorder="1" applyAlignment="1">
      <alignment horizontal="left"/>
    </xf>
    <xf numFmtId="43" fontId="13" fillId="48" borderId="24" xfId="923" applyNumberFormat="1" applyFont="1" applyFill="1" applyBorder="1"/>
    <xf numFmtId="43" fontId="13" fillId="48" borderId="24" xfId="461" applyNumberFormat="1" applyFont="1" applyFill="1" applyBorder="1" applyAlignment="1">
      <alignment horizontal="center"/>
    </xf>
    <xf numFmtId="43" fontId="13" fillId="48" borderId="66" xfId="461" applyNumberFormat="1" applyFont="1" applyFill="1" applyBorder="1" applyAlignment="1">
      <alignment horizontal="center"/>
    </xf>
    <xf numFmtId="43" fontId="14" fillId="48" borderId="66" xfId="461" applyNumberFormat="1" applyFont="1" applyFill="1" applyBorder="1" applyAlignment="1"/>
    <xf numFmtId="0" fontId="8" fillId="0" borderId="0" xfId="1047" applyFont="1"/>
    <xf numFmtId="0" fontId="8" fillId="48" borderId="0" xfId="1047" applyFont="1" applyFill="1"/>
    <xf numFmtId="0" fontId="9" fillId="48" borderId="0" xfId="1047" applyFont="1" applyFill="1" applyAlignment="1">
      <alignment horizontal="right"/>
    </xf>
    <xf numFmtId="169" fontId="9" fillId="48" borderId="0" xfId="1047" applyNumberFormat="1" applyFont="1" applyFill="1"/>
    <xf numFmtId="0" fontId="8" fillId="48" borderId="19" xfId="0" applyFont="1" applyFill="1" applyBorder="1" applyAlignment="1">
      <alignment horizontal="left"/>
    </xf>
    <xf numFmtId="43" fontId="13" fillId="48" borderId="0" xfId="923" applyNumberFormat="1" applyFont="1" applyFill="1" applyBorder="1" applyAlignment="1"/>
    <xf numFmtId="0" fontId="13" fillId="48" borderId="48" xfId="1293" applyFont="1" applyFill="1" applyBorder="1" applyAlignment="1">
      <alignment horizontal="left"/>
    </xf>
    <xf numFmtId="43" fontId="13" fillId="48" borderId="25" xfId="923" applyNumberFormat="1" applyFont="1" applyFill="1" applyBorder="1"/>
    <xf numFmtId="43" fontId="13" fillId="48" borderId="25" xfId="461" applyNumberFormat="1" applyFont="1" applyFill="1" applyBorder="1" applyAlignment="1">
      <alignment horizontal="center"/>
    </xf>
    <xf numFmtId="43" fontId="13" fillId="48" borderId="67" xfId="923" applyNumberFormat="1" applyFont="1" applyFill="1" applyBorder="1"/>
    <xf numFmtId="0" fontId="14" fillId="48" borderId="48" xfId="1293" applyFont="1" applyFill="1" applyBorder="1" applyAlignment="1">
      <alignment horizontal="left"/>
    </xf>
    <xf numFmtId="0" fontId="13" fillId="48" borderId="51" xfId="1293" applyFont="1" applyFill="1" applyBorder="1" applyAlignment="1">
      <alignment horizontal="left"/>
    </xf>
    <xf numFmtId="43" fontId="13" fillId="48" borderId="20" xfId="923" applyNumberFormat="1" applyFont="1" applyFill="1" applyBorder="1"/>
    <xf numFmtId="43" fontId="13" fillId="48" borderId="68" xfId="461" applyNumberFormat="1" applyFont="1" applyFill="1" applyBorder="1" applyAlignment="1">
      <alignment horizontal="center"/>
    </xf>
    <xf numFmtId="43" fontId="14" fillId="48" borderId="69" xfId="461" applyNumberFormat="1" applyFont="1" applyFill="1" applyBorder="1" applyAlignment="1"/>
    <xf numFmtId="4" fontId="13" fillId="48" borderId="61" xfId="923" applyNumberFormat="1" applyFont="1" applyFill="1" applyBorder="1"/>
    <xf numFmtId="0" fontId="35" fillId="48" borderId="44" xfId="1293" applyFont="1" applyFill="1" applyBorder="1" applyAlignment="1">
      <alignment horizontal="left"/>
    </xf>
    <xf numFmtId="43" fontId="35" fillId="48" borderId="45" xfId="923" applyNumberFormat="1" applyFont="1" applyFill="1" applyBorder="1"/>
    <xf numFmtId="43" fontId="36" fillId="48" borderId="70" xfId="461" applyNumberFormat="1" applyFont="1" applyFill="1" applyBorder="1" applyAlignment="1">
      <alignment horizontal="right"/>
    </xf>
    <xf numFmtId="43" fontId="36" fillId="48" borderId="71" xfId="461" applyNumberFormat="1" applyFont="1" applyFill="1" applyBorder="1" applyAlignment="1">
      <alignment horizontal="right"/>
    </xf>
    <xf numFmtId="43" fontId="36" fillId="48" borderId="46" xfId="923" applyNumberFormat="1" applyFont="1" applyFill="1" applyBorder="1"/>
    <xf numFmtId="43" fontId="35" fillId="48" borderId="0" xfId="923" applyNumberFormat="1" applyFont="1" applyFill="1" applyBorder="1"/>
    <xf numFmtId="43" fontId="35" fillId="48" borderId="0" xfId="461" applyNumberFormat="1" applyFont="1" applyFill="1" applyBorder="1" applyAlignment="1">
      <alignment horizontal="center"/>
    </xf>
    <xf numFmtId="169" fontId="29" fillId="0" borderId="0" xfId="1047" applyNumberFormat="1" applyFont="1"/>
    <xf numFmtId="0" fontId="82" fillId="0" borderId="0" xfId="0" applyFont="1"/>
    <xf numFmtId="0" fontId="37" fillId="48" borderId="47" xfId="1299" applyFont="1" applyFill="1" applyBorder="1" applyAlignment="1">
      <alignment vertical="distributed" wrapText="1"/>
    </xf>
    <xf numFmtId="0" fontId="30" fillId="48" borderId="39" xfId="1299" applyFont="1" applyFill="1" applyBorder="1" applyAlignment="1" applyProtection="1"/>
    <xf numFmtId="0" fontId="30" fillId="48" borderId="40" xfId="1299" applyFont="1" applyFill="1" applyBorder="1" applyAlignment="1" applyProtection="1"/>
    <xf numFmtId="0" fontId="29" fillId="48" borderId="40" xfId="1299" applyFont="1" applyFill="1" applyBorder="1"/>
    <xf numFmtId="0" fontId="29" fillId="48" borderId="40" xfId="1299" applyFont="1" applyFill="1" applyBorder="1" applyAlignment="1">
      <alignment horizontal="center"/>
    </xf>
    <xf numFmtId="0" fontId="29" fillId="48" borderId="41" xfId="1299" applyFont="1" applyFill="1" applyBorder="1" applyAlignment="1">
      <alignment horizontal="center"/>
    </xf>
    <xf numFmtId="0" fontId="29" fillId="48" borderId="42" xfId="1286" applyFont="1" applyFill="1" applyBorder="1" applyProtection="1"/>
    <xf numFmtId="0" fontId="29" fillId="48" borderId="24" xfId="1286" applyFont="1" applyFill="1" applyBorder="1" applyAlignment="1" applyProtection="1">
      <alignment horizontal="center"/>
    </xf>
    <xf numFmtId="184" fontId="29" fillId="48" borderId="24" xfId="1286" applyNumberFormat="1" applyFont="1" applyFill="1" applyBorder="1" applyProtection="1"/>
    <xf numFmtId="165" fontId="29" fillId="48" borderId="24" xfId="1299" applyNumberFormat="1" applyFont="1" applyFill="1" applyBorder="1" applyProtection="1"/>
    <xf numFmtId="165" fontId="29" fillId="48" borderId="43" xfId="1286" applyNumberFormat="1" applyFont="1" applyFill="1" applyBorder="1" applyAlignment="1" applyProtection="1">
      <alignment horizontal="center"/>
    </xf>
    <xf numFmtId="165" fontId="29" fillId="48" borderId="24" xfId="1286" applyNumberFormat="1" applyFont="1" applyFill="1" applyBorder="1" applyProtection="1"/>
    <xf numFmtId="0" fontId="29" fillId="48" borderId="44" xfId="1286" applyFont="1" applyFill="1" applyBorder="1" applyProtection="1"/>
    <xf numFmtId="0" fontId="29" fillId="48" borderId="45" xfId="1286" applyFont="1" applyFill="1" applyBorder="1" applyAlignment="1" applyProtection="1">
      <alignment horizontal="center"/>
    </xf>
    <xf numFmtId="184" fontId="29" fillId="48" borderId="45" xfId="1286" applyNumberFormat="1" applyFont="1" applyFill="1" applyBorder="1" applyProtection="1"/>
    <xf numFmtId="165" fontId="29" fillId="48" borderId="45" xfId="1286" applyNumberFormat="1" applyFont="1" applyFill="1" applyBorder="1" applyProtection="1"/>
    <xf numFmtId="0" fontId="29" fillId="48" borderId="0" xfId="1286" applyFont="1" applyFill="1" applyBorder="1" applyProtection="1"/>
    <xf numFmtId="0" fontId="29" fillId="48" borderId="0" xfId="1299" applyFont="1" applyFill="1" applyBorder="1" applyAlignment="1" applyProtection="1">
      <alignment horizontal="center"/>
    </xf>
    <xf numFmtId="0" fontId="29" fillId="48" borderId="0" xfId="1299" applyFont="1" applyFill="1" applyBorder="1"/>
    <xf numFmtId="0" fontId="30" fillId="48" borderId="0" xfId="1299" applyFont="1" applyFill="1" applyBorder="1" applyAlignment="1" applyProtection="1">
      <alignment horizontal="right"/>
    </xf>
    <xf numFmtId="165" fontId="30" fillId="48" borderId="0" xfId="1299" applyNumberFormat="1" applyFont="1" applyFill="1" applyBorder="1" applyAlignment="1" applyProtection="1">
      <alignment horizontal="center"/>
    </xf>
    <xf numFmtId="0" fontId="30" fillId="48" borderId="0" xfId="1299" applyFont="1" applyFill="1" applyBorder="1" applyAlignment="1" applyProtection="1">
      <alignment horizontal="center"/>
    </xf>
    <xf numFmtId="0" fontId="29" fillId="48" borderId="0" xfId="1288" applyFont="1" applyFill="1" applyBorder="1" applyAlignment="1">
      <alignment horizontal="left"/>
    </xf>
    <xf numFmtId="0" fontId="30" fillId="48" borderId="0" xfId="1299" applyFont="1" applyFill="1" applyBorder="1" applyProtection="1"/>
    <xf numFmtId="0" fontId="30" fillId="48" borderId="0" xfId="1299" applyFont="1" applyFill="1" applyBorder="1"/>
    <xf numFmtId="2" fontId="30" fillId="48" borderId="0" xfId="1299" applyNumberFormat="1" applyFont="1" applyFill="1" applyBorder="1" applyAlignment="1" applyProtection="1">
      <alignment horizontal="center"/>
    </xf>
    <xf numFmtId="0" fontId="83" fillId="0" borderId="0" xfId="0" applyFont="1"/>
    <xf numFmtId="0" fontId="82" fillId="0" borderId="0" xfId="0" applyFont="1" applyAlignment="1">
      <alignment horizontal="center"/>
    </xf>
    <xf numFmtId="0" fontId="0" fillId="0" borderId="0" xfId="0" applyAlignment="1">
      <alignment horizontal="center"/>
    </xf>
    <xf numFmtId="0" fontId="30" fillId="48" borderId="0" xfId="0" applyFont="1" applyFill="1" applyBorder="1" applyAlignment="1"/>
    <xf numFmtId="192" fontId="29" fillId="48" borderId="0" xfId="0" applyNumberFormat="1" applyFont="1" applyFill="1"/>
    <xf numFmtId="0" fontId="29" fillId="48" borderId="0" xfId="0" applyFont="1" applyFill="1"/>
    <xf numFmtId="0" fontId="35" fillId="42" borderId="39" xfId="0" applyFont="1" applyFill="1" applyBorder="1"/>
    <xf numFmtId="0" fontId="35" fillId="42" borderId="40" xfId="0" applyFont="1" applyFill="1" applyBorder="1"/>
    <xf numFmtId="0" fontId="35" fillId="42" borderId="40" xfId="0" applyFont="1" applyFill="1" applyBorder="1" applyAlignment="1">
      <alignment horizontal="center"/>
    </xf>
    <xf numFmtId="4" fontId="35" fillId="42" borderId="40" xfId="703" applyNumberFormat="1" applyFont="1" applyFill="1" applyBorder="1"/>
    <xf numFmtId="4" fontId="35" fillId="42" borderId="41" xfId="703" applyNumberFormat="1" applyFont="1" applyFill="1" applyBorder="1"/>
    <xf numFmtId="0" fontId="35" fillId="42" borderId="42" xfId="0" applyFont="1" applyFill="1" applyBorder="1"/>
    <xf numFmtId="2" fontId="35" fillId="42" borderId="24" xfId="0" applyNumberFormat="1" applyFont="1" applyFill="1" applyBorder="1"/>
    <xf numFmtId="0" fontId="35" fillId="42" borderId="24" xfId="0" applyFont="1" applyFill="1" applyBorder="1" applyAlignment="1">
      <alignment horizontal="center"/>
    </xf>
    <xf numFmtId="4" fontId="35" fillId="42" borderId="24" xfId="703" applyNumberFormat="1" applyFont="1" applyFill="1" applyBorder="1"/>
    <xf numFmtId="4" fontId="35" fillId="42" borderId="43" xfId="703" applyNumberFormat="1" applyFont="1" applyFill="1" applyBorder="1"/>
    <xf numFmtId="0" fontId="35" fillId="42" borderId="44" xfId="0" applyFont="1" applyFill="1" applyBorder="1"/>
    <xf numFmtId="0" fontId="35" fillId="42" borderId="45" xfId="0" applyFont="1" applyFill="1" applyBorder="1"/>
    <xf numFmtId="4" fontId="36" fillId="42" borderId="46" xfId="703" applyNumberFormat="1" applyFont="1" applyFill="1" applyBorder="1"/>
    <xf numFmtId="169" fontId="29" fillId="48" borderId="0" xfId="0" applyNumberFormat="1" applyFont="1" applyFill="1"/>
    <xf numFmtId="0" fontId="30" fillId="0" borderId="0" xfId="0" applyFont="1"/>
    <xf numFmtId="0" fontId="30" fillId="0" borderId="0" xfId="0" quotePrefix="1" applyFont="1" applyAlignment="1">
      <alignment horizontal="left"/>
    </xf>
    <xf numFmtId="0" fontId="38" fillId="0" borderId="0" xfId="0" applyFont="1"/>
    <xf numFmtId="0" fontId="30" fillId="0" borderId="24" xfId="0" applyFont="1" applyBorder="1" applyAlignment="1">
      <alignment horizontal="center"/>
    </xf>
    <xf numFmtId="0" fontId="30" fillId="0" borderId="24" xfId="0" applyFont="1" applyBorder="1" applyAlignment="1">
      <alignment horizontal="center" wrapText="1"/>
    </xf>
    <xf numFmtId="0" fontId="38" fillId="0" borderId="0" xfId="0" quotePrefix="1" applyFont="1" applyAlignment="1">
      <alignment horizontal="left"/>
    </xf>
    <xf numFmtId="4" fontId="30" fillId="0" borderId="24" xfId="0" applyNumberFormat="1" applyFont="1" applyBorder="1" applyAlignment="1">
      <alignment horizontal="center"/>
    </xf>
    <xf numFmtId="4" fontId="30" fillId="0" borderId="0" xfId="0" applyNumberFormat="1" applyFont="1"/>
    <xf numFmtId="0" fontId="82" fillId="0" borderId="24" xfId="0" applyFont="1" applyBorder="1"/>
    <xf numFmtId="2" fontId="82" fillId="0" borderId="24" xfId="0" applyNumberFormat="1" applyFont="1" applyBorder="1"/>
    <xf numFmtId="0" fontId="82" fillId="0" borderId="24" xfId="0" applyFont="1" applyBorder="1" applyAlignment="1">
      <alignment horizontal="centerContinuous"/>
    </xf>
    <xf numFmtId="39" fontId="82" fillId="0" borderId="24" xfId="0" applyNumberFormat="1" applyFont="1" applyBorder="1"/>
    <xf numFmtId="0" fontId="0" fillId="0" borderId="24" xfId="0" applyBorder="1"/>
    <xf numFmtId="2" fontId="0" fillId="0" borderId="24" xfId="0" applyNumberFormat="1" applyBorder="1"/>
    <xf numFmtId="0" fontId="0" fillId="0" borderId="24" xfId="0" applyBorder="1" applyAlignment="1">
      <alignment horizontal="centerContinuous"/>
    </xf>
    <xf numFmtId="39" fontId="0" fillId="0" borderId="24" xfId="0" applyNumberFormat="1" applyBorder="1"/>
    <xf numFmtId="0" fontId="9" fillId="0" borderId="24" xfId="0" applyFont="1" applyBorder="1" applyAlignment="1">
      <alignment horizontal="right"/>
    </xf>
    <xf numFmtId="39" fontId="9" fillId="0" borderId="24" xfId="0" applyNumberFormat="1" applyFont="1" applyBorder="1" applyAlignment="1">
      <alignment horizontal="right"/>
    </xf>
    <xf numFmtId="0" fontId="0" fillId="0" borderId="0" xfId="0" applyBorder="1"/>
    <xf numFmtId="0" fontId="9" fillId="0" borderId="0" xfId="0" applyFont="1" applyBorder="1" applyAlignment="1">
      <alignment horizontal="right"/>
    </xf>
    <xf numFmtId="39" fontId="9" fillId="0" borderId="0" xfId="0" applyNumberFormat="1" applyFont="1" applyBorder="1" applyAlignment="1">
      <alignment horizontal="right"/>
    </xf>
    <xf numFmtId="0" fontId="28" fillId="0" borderId="0" xfId="0" applyFont="1"/>
    <xf numFmtId="0" fontId="8" fillId="0" borderId="24" xfId="0" quotePrefix="1" applyFont="1" applyBorder="1" applyAlignment="1">
      <alignment horizontal="left"/>
    </xf>
    <xf numFmtId="39" fontId="0" fillId="0" borderId="0" xfId="0" applyNumberFormat="1"/>
    <xf numFmtId="0" fontId="9" fillId="0" borderId="24" xfId="0" quotePrefix="1" applyFont="1" applyBorder="1" applyAlignment="1">
      <alignment horizontal="right"/>
    </xf>
    <xf numFmtId="0" fontId="8" fillId="48" borderId="48" xfId="0" applyFont="1" applyFill="1" applyBorder="1"/>
    <xf numFmtId="2" fontId="8" fillId="48" borderId="19" xfId="0" applyNumberFormat="1" applyFont="1" applyFill="1" applyBorder="1"/>
    <xf numFmtId="0" fontId="8" fillId="48" borderId="19" xfId="0" applyFont="1" applyFill="1" applyBorder="1" applyAlignment="1">
      <alignment horizontal="center"/>
    </xf>
    <xf numFmtId="4" fontId="8" fillId="48" borderId="19" xfId="0" applyNumberFormat="1" applyFont="1" applyFill="1" applyBorder="1"/>
    <xf numFmtId="192" fontId="8" fillId="48" borderId="19" xfId="0" applyNumberFormat="1" applyFont="1" applyFill="1" applyBorder="1"/>
    <xf numFmtId="0" fontId="8" fillId="48" borderId="19" xfId="0" applyFont="1" applyFill="1" applyBorder="1"/>
    <xf numFmtId="192" fontId="8" fillId="48" borderId="25" xfId="0" applyNumberFormat="1" applyFont="1" applyFill="1" applyBorder="1"/>
    <xf numFmtId="4" fontId="0" fillId="0" borderId="0" xfId="0" applyNumberFormat="1"/>
    <xf numFmtId="0" fontId="84" fillId="0" borderId="20" xfId="1016" applyFont="1" applyBorder="1"/>
    <xf numFmtId="0" fontId="132" fillId="0" borderId="20" xfId="1016" applyBorder="1"/>
    <xf numFmtId="0" fontId="132" fillId="0" borderId="19" xfId="1016" applyBorder="1"/>
    <xf numFmtId="4" fontId="132" fillId="0" borderId="19" xfId="1016" applyNumberFormat="1" applyBorder="1"/>
    <xf numFmtId="4" fontId="84" fillId="0" borderId="19" xfId="1016" applyNumberFormat="1" applyFont="1" applyBorder="1" applyAlignment="1">
      <alignment wrapText="1"/>
    </xf>
    <xf numFmtId="4" fontId="84" fillId="0" borderId="19" xfId="1016" applyNumberFormat="1" applyFont="1" applyBorder="1"/>
    <xf numFmtId="0" fontId="84" fillId="0" borderId="19" xfId="1016" applyFont="1" applyBorder="1"/>
    <xf numFmtId="0" fontId="13" fillId="48" borderId="19" xfId="1293" applyFont="1" applyFill="1" applyBorder="1"/>
    <xf numFmtId="0" fontId="8" fillId="0" borderId="19" xfId="1051" applyFont="1" applyBorder="1"/>
    <xf numFmtId="0" fontId="8" fillId="48" borderId="19" xfId="0" applyFont="1" applyFill="1" applyBorder="1" applyAlignment="1"/>
    <xf numFmtId="2" fontId="8" fillId="48" borderId="25" xfId="0" applyNumberFormat="1" applyFont="1" applyFill="1" applyBorder="1" applyAlignment="1"/>
    <xf numFmtId="4" fontId="8" fillId="48" borderId="25" xfId="0" applyNumberFormat="1" applyFont="1" applyFill="1" applyBorder="1" applyAlignment="1"/>
    <xf numFmtId="169" fontId="8" fillId="48" borderId="72" xfId="915" applyFont="1" applyFill="1" applyBorder="1" applyAlignment="1"/>
    <xf numFmtId="0" fontId="0" fillId="0" borderId="0" xfId="0" applyAlignment="1"/>
    <xf numFmtId="0" fontId="9" fillId="54" borderId="0" xfId="1300" applyFont="1" applyFill="1" applyBorder="1" applyAlignment="1">
      <alignment horizontal="left"/>
    </xf>
    <xf numFmtId="169" fontId="9" fillId="50" borderId="0" xfId="920" applyFont="1" applyFill="1" applyBorder="1" applyAlignment="1">
      <alignment horizontal="center"/>
    </xf>
    <xf numFmtId="0" fontId="9" fillId="50" borderId="20" xfId="1300" applyFont="1" applyFill="1" applyBorder="1" applyAlignment="1">
      <alignment horizontal="center"/>
    </xf>
    <xf numFmtId="169" fontId="9" fillId="50" borderId="20" xfId="920" applyFont="1" applyFill="1" applyBorder="1" applyAlignment="1">
      <alignment horizontal="center"/>
    </xf>
    <xf numFmtId="0" fontId="8" fillId="50" borderId="19" xfId="0" applyFont="1" applyFill="1" applyBorder="1"/>
    <xf numFmtId="169" fontId="8" fillId="50" borderId="19" xfId="920" applyFont="1" applyFill="1" applyBorder="1"/>
    <xf numFmtId="169" fontId="8" fillId="50" borderId="19" xfId="920" applyFont="1" applyFill="1" applyBorder="1" applyAlignment="1">
      <alignment horizontal="center"/>
    </xf>
    <xf numFmtId="0" fontId="8" fillId="50" borderId="25" xfId="1288" applyFont="1" applyFill="1" applyBorder="1" applyAlignment="1">
      <alignment horizontal="right"/>
    </xf>
    <xf numFmtId="169" fontId="8" fillId="50" borderId="25" xfId="920" applyFont="1" applyFill="1" applyBorder="1"/>
    <xf numFmtId="169" fontId="8" fillId="50" borderId="25" xfId="920" applyFont="1" applyFill="1" applyBorder="1" applyAlignment="1" applyProtection="1">
      <alignment horizontal="center"/>
    </xf>
    <xf numFmtId="169" fontId="9" fillId="50" borderId="25" xfId="920" applyFont="1" applyFill="1" applyBorder="1" applyAlignment="1">
      <alignment horizontal="right"/>
    </xf>
    <xf numFmtId="43" fontId="13" fillId="50" borderId="24" xfId="923" applyNumberFormat="1" applyFont="1" applyFill="1" applyBorder="1"/>
    <xf numFmtId="43" fontId="13" fillId="50" borderId="24" xfId="461" applyNumberFormat="1" applyFont="1" applyFill="1" applyBorder="1" applyAlignment="1">
      <alignment horizontal="center"/>
    </xf>
    <xf numFmtId="169" fontId="13" fillId="50" borderId="24" xfId="919" applyFont="1" applyFill="1" applyBorder="1"/>
    <xf numFmtId="39" fontId="13" fillId="50" borderId="24" xfId="1301" applyNumberFormat="1" applyFont="1" applyFill="1" applyBorder="1" applyAlignment="1">
      <alignment horizontal="center"/>
    </xf>
    <xf numFmtId="4" fontId="13" fillId="50" borderId="24" xfId="1301" applyNumberFormat="1" applyFont="1" applyFill="1" applyBorder="1"/>
    <xf numFmtId="0" fontId="14" fillId="50" borderId="24" xfId="1293" applyFont="1" applyFill="1" applyBorder="1" applyAlignment="1">
      <alignment horizontal="left"/>
    </xf>
    <xf numFmtId="0" fontId="79" fillId="50" borderId="24" xfId="0" applyFont="1" applyFill="1" applyBorder="1"/>
    <xf numFmtId="0" fontId="13" fillId="50" borderId="24" xfId="1293" applyFont="1" applyFill="1" applyBorder="1" applyAlignment="1">
      <alignment horizontal="left"/>
    </xf>
    <xf numFmtId="4" fontId="13" fillId="50" borderId="24" xfId="923" applyNumberFormat="1" applyFont="1" applyFill="1" applyBorder="1"/>
    <xf numFmtId="43" fontId="14" fillId="50" borderId="24" xfId="461" applyNumberFormat="1" applyFont="1" applyFill="1" applyBorder="1" applyAlignment="1"/>
    <xf numFmtId="43" fontId="14" fillId="50" borderId="24" xfId="923" applyNumberFormat="1" applyFont="1" applyFill="1" applyBorder="1"/>
    <xf numFmtId="43" fontId="14" fillId="50" borderId="24" xfId="461" applyNumberFormat="1" applyFont="1" applyFill="1" applyBorder="1" applyAlignment="1">
      <alignment horizontal="right"/>
    </xf>
    <xf numFmtId="0" fontId="8" fillId="0" borderId="24" xfId="1047" applyFont="1" applyBorder="1"/>
    <xf numFmtId="0" fontId="13" fillId="50" borderId="24" xfId="1293" applyFont="1" applyFill="1" applyBorder="1" applyAlignment="1">
      <alignment horizontal="center"/>
    </xf>
    <xf numFmtId="0" fontId="13" fillId="50" borderId="24" xfId="1293" applyFont="1" applyFill="1" applyBorder="1"/>
    <xf numFmtId="39" fontId="13" fillId="50" borderId="24" xfId="1293" applyNumberFormat="1" applyFont="1" applyFill="1" applyBorder="1" applyAlignment="1">
      <alignment horizontal="center"/>
    </xf>
    <xf numFmtId="39" fontId="14" fillId="50" borderId="24" xfId="1293" quotePrefix="1" applyNumberFormat="1" applyFont="1" applyFill="1" applyBorder="1" applyAlignment="1">
      <alignment horizontal="left"/>
    </xf>
    <xf numFmtId="43" fontId="14" fillId="50" borderId="24" xfId="923" quotePrefix="1" applyNumberFormat="1" applyFont="1" applyFill="1" applyBorder="1" applyAlignment="1">
      <alignment horizontal="left"/>
    </xf>
    <xf numFmtId="43" fontId="14" fillId="50" borderId="24" xfId="923" applyNumberFormat="1" applyFont="1" applyFill="1" applyBorder="1" applyAlignment="1">
      <alignment horizontal="right"/>
    </xf>
    <xf numFmtId="39" fontId="13" fillId="50" borderId="24" xfId="1301" applyFont="1" applyFill="1" applyBorder="1"/>
    <xf numFmtId="43" fontId="13" fillId="50" borderId="24" xfId="918" applyNumberFormat="1" applyFont="1" applyFill="1" applyBorder="1"/>
    <xf numFmtId="0" fontId="8" fillId="50" borderId="24" xfId="1047" applyFont="1" applyFill="1" applyBorder="1"/>
    <xf numFmtId="0" fontId="9" fillId="50" borderId="24" xfId="1047" applyFont="1" applyFill="1" applyBorder="1" applyAlignment="1">
      <alignment horizontal="right"/>
    </xf>
    <xf numFmtId="169" fontId="9" fillId="50" borderId="24" xfId="1047" applyNumberFormat="1" applyFont="1" applyFill="1" applyBorder="1"/>
    <xf numFmtId="0" fontId="8" fillId="50" borderId="0" xfId="1299" applyFont="1" applyFill="1" applyBorder="1"/>
    <xf numFmtId="169" fontId="8" fillId="50" borderId="0" xfId="914" applyFont="1" applyFill="1" applyBorder="1"/>
    <xf numFmtId="169" fontId="9" fillId="50" borderId="0" xfId="914" applyFont="1" applyFill="1" applyBorder="1" applyAlignment="1">
      <alignment horizontal="right"/>
    </xf>
    <xf numFmtId="170" fontId="9" fillId="50" borderId="0" xfId="1051" applyNumberFormat="1" applyFont="1" applyFill="1" applyBorder="1" applyAlignment="1">
      <alignment horizontal="right"/>
    </xf>
    <xf numFmtId="0" fontId="8" fillId="50" borderId="0" xfId="1047" applyFont="1" applyFill="1" applyBorder="1"/>
    <xf numFmtId="0" fontId="9" fillId="50" borderId="0" xfId="1047" applyFont="1" applyFill="1" applyBorder="1" applyAlignment="1">
      <alignment horizontal="right"/>
    </xf>
    <xf numFmtId="169" fontId="9" fillId="50" borderId="0" xfId="1047" applyNumberFormat="1" applyFont="1" applyFill="1" applyBorder="1"/>
    <xf numFmtId="0" fontId="8" fillId="50" borderId="24" xfId="1051" applyFont="1" applyFill="1" applyBorder="1"/>
    <xf numFmtId="0" fontId="9" fillId="50" borderId="24" xfId="1051" applyFont="1" applyFill="1" applyBorder="1" applyAlignment="1">
      <alignment horizontal="center"/>
    </xf>
    <xf numFmtId="0" fontId="8" fillId="50" borderId="24" xfId="1051" applyFont="1" applyFill="1" applyBorder="1" applyAlignment="1" applyProtection="1">
      <alignment horizontal="left"/>
    </xf>
    <xf numFmtId="184" fontId="8" fillId="50" borderId="24" xfId="1051" applyNumberFormat="1" applyFont="1" applyFill="1" applyBorder="1" applyAlignment="1" applyProtection="1">
      <alignment horizontal="right"/>
    </xf>
    <xf numFmtId="0" fontId="8" fillId="50" borderId="24" xfId="1051" applyFont="1" applyFill="1" applyBorder="1" applyAlignment="1" applyProtection="1">
      <alignment horizontal="center"/>
    </xf>
    <xf numFmtId="169" fontId="8" fillId="50" borderId="24" xfId="914" applyFont="1" applyFill="1" applyBorder="1" applyAlignment="1">
      <alignment horizontal="right"/>
    </xf>
    <xf numFmtId="0" fontId="8" fillId="50" borderId="24" xfId="1051" applyFont="1" applyFill="1" applyBorder="1" applyProtection="1"/>
    <xf numFmtId="184" fontId="8" fillId="50" borderId="24" xfId="1051" applyNumberFormat="1" applyFont="1" applyFill="1" applyBorder="1" applyProtection="1"/>
    <xf numFmtId="169" fontId="9" fillId="50" borderId="24" xfId="914" applyFont="1" applyFill="1" applyBorder="1" applyAlignment="1">
      <alignment horizontal="right"/>
    </xf>
    <xf numFmtId="169" fontId="9" fillId="50" borderId="24" xfId="914" applyFont="1" applyFill="1" applyBorder="1" applyAlignment="1"/>
    <xf numFmtId="0" fontId="8" fillId="50" borderId="24" xfId="1299" applyFont="1" applyFill="1" applyBorder="1"/>
    <xf numFmtId="169" fontId="8" fillId="50" borderId="24" xfId="914" applyFont="1" applyFill="1" applyBorder="1"/>
    <xf numFmtId="169" fontId="8" fillId="50" borderId="24" xfId="914" applyFont="1" applyFill="1" applyBorder="1" applyAlignment="1"/>
    <xf numFmtId="170" fontId="9" fillId="50" borderId="24" xfId="1051" applyNumberFormat="1" applyFont="1" applyFill="1" applyBorder="1" applyAlignment="1">
      <alignment horizontal="right"/>
    </xf>
    <xf numFmtId="43" fontId="85" fillId="50" borderId="24" xfId="885" applyFont="1" applyFill="1" applyBorder="1" applyAlignment="1">
      <alignment horizontal="left" vertical="center"/>
    </xf>
    <xf numFmtId="0" fontId="0" fillId="50" borderId="24" xfId="0" applyFill="1" applyBorder="1"/>
    <xf numFmtId="43" fontId="86" fillId="50" borderId="24" xfId="885" applyFont="1" applyFill="1" applyBorder="1" applyAlignment="1">
      <alignment horizontal="center" vertical="center"/>
    </xf>
    <xf numFmtId="0" fontId="87" fillId="50" borderId="24" xfId="972" applyFont="1" applyFill="1" applyBorder="1" applyAlignment="1">
      <alignment wrapText="1"/>
    </xf>
    <xf numFmtId="2" fontId="88" fillId="50" borderId="24" xfId="972" applyNumberFormat="1" applyFont="1" applyFill="1" applyBorder="1"/>
    <xf numFmtId="2" fontId="87" fillId="50" borderId="24" xfId="972" applyNumberFormat="1" applyFont="1" applyFill="1" applyBorder="1"/>
    <xf numFmtId="0" fontId="87" fillId="50" borderId="24" xfId="972" applyFont="1" applyFill="1" applyBorder="1"/>
    <xf numFmtId="0" fontId="88" fillId="50" borderId="24" xfId="972" applyFont="1" applyFill="1" applyBorder="1"/>
    <xf numFmtId="174" fontId="85" fillId="50" borderId="24" xfId="1061" applyNumberFormat="1" applyFont="1" applyFill="1" applyBorder="1" applyAlignment="1">
      <alignment horizontal="right"/>
    </xf>
    <xf numFmtId="0" fontId="8" fillId="50" borderId="24" xfId="0" applyFont="1" applyFill="1" applyBorder="1"/>
    <xf numFmtId="0" fontId="9" fillId="50" borderId="24" xfId="0" applyFont="1" applyFill="1" applyBorder="1" applyAlignment="1">
      <alignment horizontal="center"/>
    </xf>
    <xf numFmtId="2" fontId="8" fillId="50" borderId="24" xfId="0" applyNumberFormat="1" applyFont="1" applyFill="1" applyBorder="1" applyAlignment="1">
      <alignment horizontal="right"/>
    </xf>
    <xf numFmtId="0" fontId="8" fillId="50" borderId="24" xfId="0" applyFont="1" applyFill="1" applyBorder="1" applyAlignment="1">
      <alignment horizontal="center"/>
    </xf>
    <xf numFmtId="4" fontId="8" fillId="50" borderId="24" xfId="0" applyNumberFormat="1" applyFont="1" applyFill="1" applyBorder="1" applyAlignment="1">
      <alignment horizontal="right"/>
    </xf>
    <xf numFmtId="4" fontId="9" fillId="50" borderId="24" xfId="0" applyNumberFormat="1" applyFont="1" applyFill="1" applyBorder="1" applyAlignment="1"/>
    <xf numFmtId="4" fontId="8" fillId="50" borderId="19" xfId="0" applyNumberFormat="1" applyFont="1" applyFill="1" applyBorder="1" applyAlignment="1">
      <alignment horizontal="right"/>
    </xf>
    <xf numFmtId="0" fontId="8" fillId="53" borderId="0" xfId="1051" applyFont="1" applyFill="1" applyBorder="1"/>
    <xf numFmtId="170" fontId="9" fillId="53" borderId="0" xfId="1051" applyNumberFormat="1" applyFont="1" applyFill="1" applyBorder="1"/>
    <xf numFmtId="0" fontId="9" fillId="50" borderId="24" xfId="0" applyFont="1" applyFill="1" applyBorder="1"/>
    <xf numFmtId="0" fontId="9" fillId="50" borderId="24" xfId="1288" applyFont="1" applyFill="1" applyBorder="1" applyAlignment="1">
      <alignment horizontal="right"/>
    </xf>
    <xf numFmtId="169" fontId="9" fillId="50" borderId="24" xfId="920" applyFont="1" applyFill="1" applyBorder="1"/>
    <xf numFmtId="0" fontId="9" fillId="54" borderId="24" xfId="1051" applyFont="1" applyFill="1" applyBorder="1"/>
    <xf numFmtId="170" fontId="9" fillId="54" borderId="24" xfId="1051" applyNumberFormat="1" applyFont="1" applyFill="1" applyBorder="1"/>
    <xf numFmtId="0" fontId="8" fillId="50" borderId="24" xfId="0" applyFont="1" applyFill="1" applyBorder="1" applyAlignment="1"/>
    <xf numFmtId="4" fontId="9" fillId="50" borderId="24" xfId="0" applyNumberFormat="1" applyFont="1" applyFill="1" applyBorder="1" applyAlignment="1">
      <alignment horizontal="right"/>
    </xf>
    <xf numFmtId="2" fontId="8" fillId="50" borderId="24" xfId="0" applyNumberFormat="1" applyFont="1" applyFill="1" applyBorder="1"/>
    <xf numFmtId="0" fontId="9" fillId="50" borderId="24" xfId="0" applyFont="1" applyFill="1" applyBorder="1" applyAlignment="1">
      <alignment horizontal="right"/>
    </xf>
    <xf numFmtId="170" fontId="9" fillId="50" borderId="24" xfId="0" applyNumberFormat="1" applyFont="1" applyFill="1" applyBorder="1" applyAlignment="1">
      <alignment horizontal="right"/>
    </xf>
    <xf numFmtId="0" fontId="132" fillId="50" borderId="25" xfId="1016" applyFill="1" applyBorder="1"/>
    <xf numFmtId="4" fontId="132" fillId="50" borderId="25" xfId="1016" applyNumberFormat="1" applyFill="1" applyBorder="1"/>
    <xf numFmtId="4" fontId="84" fillId="50" borderId="25" xfId="1016" applyNumberFormat="1" applyFont="1" applyFill="1" applyBorder="1"/>
    <xf numFmtId="0" fontId="84" fillId="50" borderId="24" xfId="1016" applyFont="1" applyFill="1" applyBorder="1" applyAlignment="1">
      <alignment wrapText="1"/>
    </xf>
    <xf numFmtId="0" fontId="84" fillId="50" borderId="24" xfId="1016" applyFont="1" applyFill="1" applyBorder="1"/>
    <xf numFmtId="0" fontId="132" fillId="50" borderId="24" xfId="1016" applyFill="1" applyBorder="1"/>
    <xf numFmtId="4" fontId="132" fillId="50" borderId="24" xfId="1016" applyNumberFormat="1" applyFill="1" applyBorder="1"/>
    <xf numFmtId="4" fontId="132" fillId="50" borderId="24" xfId="1016" applyNumberFormat="1" applyFill="1" applyBorder="1" applyAlignment="1">
      <alignment horizontal="center"/>
    </xf>
    <xf numFmtId="0" fontId="39" fillId="50" borderId="24" xfId="0" applyFont="1" applyFill="1" applyBorder="1"/>
    <xf numFmtId="4" fontId="29" fillId="50" borderId="24" xfId="0" applyNumberFormat="1" applyFont="1" applyFill="1" applyBorder="1"/>
    <xf numFmtId="0" fontId="29" fillId="50" borderId="24" xfId="0" applyFont="1" applyFill="1" applyBorder="1" applyAlignment="1">
      <alignment horizontal="center"/>
    </xf>
    <xf numFmtId="0" fontId="40" fillId="50" borderId="24" xfId="0" applyFont="1" applyFill="1" applyBorder="1"/>
    <xf numFmtId="0" fontId="30" fillId="50" borderId="24" xfId="0" applyFont="1" applyFill="1" applyBorder="1"/>
    <xf numFmtId="0" fontId="38" fillId="50" borderId="24" xfId="0" applyFont="1" applyFill="1" applyBorder="1" applyAlignment="1"/>
    <xf numFmtId="4" fontId="30" fillId="50" borderId="24" xfId="0" applyNumberFormat="1" applyFont="1" applyFill="1" applyBorder="1" applyAlignment="1"/>
    <xf numFmtId="0" fontId="30" fillId="50" borderId="24" xfId="0" applyFont="1" applyFill="1" applyBorder="1" applyAlignment="1">
      <alignment horizontal="center"/>
    </xf>
    <xf numFmtId="0" fontId="29" fillId="50" borderId="24" xfId="0" applyFont="1" applyFill="1" applyBorder="1"/>
    <xf numFmtId="4" fontId="29" fillId="50" borderId="24" xfId="0" applyNumberFormat="1" applyFont="1" applyFill="1" applyBorder="1" applyAlignment="1">
      <alignment horizontal="right"/>
    </xf>
    <xf numFmtId="4" fontId="30" fillId="50" borderId="24" xfId="0" applyNumberFormat="1" applyFont="1" applyFill="1" applyBorder="1" applyAlignment="1">
      <alignment horizontal="right"/>
    </xf>
    <xf numFmtId="4" fontId="41" fillId="50" borderId="24" xfId="0" applyNumberFormat="1" applyFont="1" applyFill="1" applyBorder="1"/>
    <xf numFmtId="196" fontId="29" fillId="50" borderId="24" xfId="0" applyNumberFormat="1" applyFont="1" applyFill="1" applyBorder="1"/>
    <xf numFmtId="0" fontId="42" fillId="50" borderId="24" xfId="0" applyFont="1" applyFill="1" applyBorder="1" applyAlignment="1"/>
    <xf numFmtId="4" fontId="42" fillId="50" borderId="24" xfId="0" applyNumberFormat="1" applyFont="1" applyFill="1" applyBorder="1" applyAlignment="1"/>
    <xf numFmtId="0" fontId="42" fillId="50" borderId="24" xfId="0" applyFont="1" applyFill="1" applyBorder="1" applyAlignment="1">
      <alignment horizontal="center"/>
    </xf>
    <xf numFmtId="4" fontId="30" fillId="50" borderId="24" xfId="0" applyNumberFormat="1" applyFont="1" applyFill="1" applyBorder="1"/>
    <xf numFmtId="4" fontId="40" fillId="50" borderId="24" xfId="0" applyNumberFormat="1" applyFont="1" applyFill="1" applyBorder="1"/>
    <xf numFmtId="4" fontId="8" fillId="0" borderId="0" xfId="0" applyNumberFormat="1" applyFont="1" applyFill="1" applyAlignment="1">
      <alignment vertical="top" wrapText="1"/>
    </xf>
    <xf numFmtId="0" fontId="10" fillId="48" borderId="0" xfId="1284" applyFont="1" applyFill="1" applyBorder="1"/>
    <xf numFmtId="187" fontId="8" fillId="48" borderId="19" xfId="838" applyNumberFormat="1" applyFont="1" applyFill="1" applyBorder="1" applyAlignment="1" applyProtection="1">
      <alignment horizontal="right" vertical="center"/>
    </xf>
    <xf numFmtId="4" fontId="8" fillId="48" borderId="19" xfId="868" applyNumberFormat="1" applyFont="1" applyFill="1" applyBorder="1" applyAlignment="1">
      <alignment horizontal="center" vertical="center"/>
    </xf>
    <xf numFmtId="4" fontId="9" fillId="48" borderId="19" xfId="868" applyNumberFormat="1" applyFont="1" applyFill="1" applyBorder="1" applyAlignment="1">
      <alignment horizontal="right" vertical="center" wrapText="1"/>
    </xf>
    <xf numFmtId="0" fontId="9" fillId="48" borderId="19" xfId="0" applyFont="1" applyFill="1" applyBorder="1" applyAlignment="1">
      <alignment vertical="top" wrapText="1"/>
    </xf>
    <xf numFmtId="0" fontId="9" fillId="0" borderId="0" xfId="0" applyFont="1" applyFill="1" applyBorder="1" applyAlignment="1">
      <alignment vertical="top" wrapText="1"/>
    </xf>
    <xf numFmtId="0" fontId="8" fillId="0" borderId="0" xfId="0" applyFont="1" applyFill="1" applyBorder="1"/>
    <xf numFmtId="0" fontId="9" fillId="50" borderId="0" xfId="0" applyFont="1" applyFill="1" applyBorder="1"/>
    <xf numFmtId="4" fontId="9" fillId="48" borderId="0" xfId="868" applyNumberFormat="1" applyFont="1" applyFill="1" applyBorder="1" applyAlignment="1" applyProtection="1">
      <alignment horizontal="right" wrapText="1"/>
    </xf>
    <xf numFmtId="0" fontId="9" fillId="0" borderId="0" xfId="0" applyFont="1" applyFill="1" applyBorder="1"/>
    <xf numFmtId="0" fontId="8" fillId="48" borderId="0" xfId="1210" applyFont="1" applyFill="1" applyBorder="1"/>
    <xf numFmtId="190" fontId="13" fillId="48" borderId="0" xfId="0" applyNumberFormat="1" applyFont="1" applyFill="1" applyBorder="1" applyAlignment="1">
      <alignment horizontal="center" vertical="center"/>
    </xf>
    <xf numFmtId="0" fontId="8" fillId="0" borderId="19" xfId="0" applyFont="1" applyFill="1" applyBorder="1" applyAlignment="1">
      <alignment horizontal="center"/>
    </xf>
    <xf numFmtId="187" fontId="8" fillId="55" borderId="19" xfId="838" applyNumberFormat="1" applyFont="1" applyFill="1" applyBorder="1" applyAlignment="1" applyProtection="1">
      <alignment horizontal="right" vertical="center"/>
    </xf>
    <xf numFmtId="0" fontId="9" fillId="55" borderId="19" xfId="0" applyFont="1" applyFill="1" applyBorder="1" applyAlignment="1">
      <alignment horizontal="right" vertical="top" wrapText="1"/>
    </xf>
    <xf numFmtId="4" fontId="8" fillId="55" borderId="19" xfId="868" applyNumberFormat="1" applyFont="1" applyFill="1" applyBorder="1" applyAlignment="1">
      <alignment horizontal="right" vertical="center" wrapText="1"/>
    </xf>
    <xf numFmtId="4" fontId="8" fillId="55" borderId="19" xfId="868" applyNumberFormat="1" applyFont="1" applyFill="1" applyBorder="1" applyAlignment="1">
      <alignment horizontal="center" vertical="center"/>
    </xf>
    <xf numFmtId="4" fontId="9" fillId="55" borderId="19" xfId="868" applyNumberFormat="1" applyFont="1" applyFill="1" applyBorder="1" applyAlignment="1">
      <alignment horizontal="right" vertical="center" wrapText="1"/>
    </xf>
    <xf numFmtId="169" fontId="8" fillId="0" borderId="19" xfId="0" applyNumberFormat="1" applyFont="1" applyFill="1" applyBorder="1" applyAlignment="1">
      <alignment horizontal="right" wrapText="1"/>
    </xf>
    <xf numFmtId="4" fontId="9" fillId="48" borderId="19" xfId="0" applyNumberFormat="1" applyFont="1" applyFill="1" applyBorder="1" applyAlignment="1">
      <alignment horizontal="right" wrapText="1"/>
    </xf>
    <xf numFmtId="4" fontId="9" fillId="48" borderId="19" xfId="0" applyNumberFormat="1" applyFont="1" applyFill="1" applyBorder="1" applyAlignment="1">
      <alignment horizontal="center" wrapText="1"/>
    </xf>
    <xf numFmtId="4" fontId="9" fillId="48" borderId="19" xfId="699" applyNumberFormat="1" applyFont="1" applyFill="1" applyBorder="1" applyAlignment="1">
      <alignment horizontal="right" wrapText="1"/>
    </xf>
    <xf numFmtId="0" fontId="9" fillId="48" borderId="0" xfId="0" applyFont="1" applyFill="1" applyBorder="1" applyAlignment="1">
      <alignment horizontal="right" wrapText="1"/>
    </xf>
    <xf numFmtId="4" fontId="9" fillId="48" borderId="0" xfId="0" applyNumberFormat="1" applyFont="1" applyFill="1" applyBorder="1" applyAlignment="1">
      <alignment horizontal="right" wrapText="1"/>
    </xf>
    <xf numFmtId="4" fontId="9" fillId="48" borderId="0" xfId="0" applyNumberFormat="1" applyFont="1" applyFill="1" applyBorder="1" applyAlignment="1">
      <alignment horizontal="center" wrapText="1"/>
    </xf>
    <xf numFmtId="4" fontId="9" fillId="48" borderId="0" xfId="699" applyNumberFormat="1" applyFont="1" applyFill="1" applyBorder="1" applyAlignment="1">
      <alignment horizontal="right" wrapText="1"/>
    </xf>
    <xf numFmtId="4" fontId="9" fillId="55" borderId="19" xfId="0" applyNumberFormat="1" applyFont="1" applyFill="1" applyBorder="1" applyAlignment="1">
      <alignment horizontal="right" wrapText="1"/>
    </xf>
    <xf numFmtId="4" fontId="9" fillId="55" borderId="19" xfId="0" applyNumberFormat="1" applyFont="1" applyFill="1" applyBorder="1" applyAlignment="1">
      <alignment horizontal="center" wrapText="1"/>
    </xf>
    <xf numFmtId="4" fontId="9" fillId="55" borderId="19" xfId="699" applyNumberFormat="1" applyFont="1" applyFill="1" applyBorder="1" applyAlignment="1">
      <alignment horizontal="right" wrapText="1"/>
    </xf>
    <xf numFmtId="0" fontId="9" fillId="55" borderId="25" xfId="0" applyFont="1" applyFill="1" applyBorder="1" applyAlignment="1">
      <alignment horizontal="right" wrapText="1"/>
    </xf>
    <xf numFmtId="4" fontId="9" fillId="55" borderId="25" xfId="0" applyNumberFormat="1" applyFont="1" applyFill="1" applyBorder="1" applyAlignment="1">
      <alignment horizontal="right" wrapText="1"/>
    </xf>
    <xf numFmtId="4" fontId="9" fillId="55" borderId="25" xfId="0" applyNumberFormat="1" applyFont="1" applyFill="1" applyBorder="1" applyAlignment="1">
      <alignment horizontal="center" wrapText="1"/>
    </xf>
    <xf numFmtId="4" fontId="9" fillId="55" borderId="25" xfId="699" applyNumberFormat="1" applyFont="1" applyFill="1" applyBorder="1" applyAlignment="1">
      <alignment horizontal="right" wrapText="1"/>
    </xf>
    <xf numFmtId="187" fontId="8" fillId="55" borderId="25" xfId="838" applyNumberFormat="1" applyFont="1" applyFill="1" applyBorder="1" applyAlignment="1" applyProtection="1">
      <alignment horizontal="right" vertical="center"/>
    </xf>
    <xf numFmtId="0" fontId="9" fillId="55" borderId="25" xfId="0" applyFont="1" applyFill="1" applyBorder="1" applyAlignment="1">
      <alignment horizontal="center" vertical="top" wrapText="1"/>
    </xf>
    <xf numFmtId="4" fontId="8" fillId="55" borderId="25" xfId="868" applyNumberFormat="1" applyFont="1" applyFill="1" applyBorder="1" applyAlignment="1">
      <alignment horizontal="right" vertical="center" wrapText="1"/>
    </xf>
    <xf numFmtId="4" fontId="8" fillId="55" borderId="25" xfId="868" applyNumberFormat="1" applyFont="1" applyFill="1" applyBorder="1" applyAlignment="1">
      <alignment horizontal="center" vertical="center"/>
    </xf>
    <xf numFmtId="4" fontId="9" fillId="55" borderId="25" xfId="868" applyNumberFormat="1" applyFont="1" applyFill="1" applyBorder="1" applyAlignment="1">
      <alignment horizontal="right" vertical="center" wrapText="1"/>
    </xf>
    <xf numFmtId="187" fontId="8" fillId="55" borderId="20" xfId="838" applyNumberFormat="1" applyFont="1" applyFill="1" applyBorder="1" applyAlignment="1" applyProtection="1">
      <alignment horizontal="right" vertical="center"/>
    </xf>
    <xf numFmtId="0" fontId="9" fillId="55" borderId="20" xfId="0" applyFont="1" applyFill="1" applyBorder="1" applyAlignment="1">
      <alignment horizontal="center" vertical="top" wrapText="1"/>
    </xf>
    <xf numFmtId="4" fontId="8" fillId="55" borderId="20" xfId="868" applyNumberFormat="1" applyFont="1" applyFill="1" applyBorder="1" applyAlignment="1">
      <alignment horizontal="right" vertical="center" wrapText="1"/>
    </xf>
    <xf numFmtId="4" fontId="8" fillId="55" borderId="20" xfId="868" applyNumberFormat="1" applyFont="1" applyFill="1" applyBorder="1" applyAlignment="1">
      <alignment horizontal="center" vertical="center"/>
    </xf>
    <xf numFmtId="4" fontId="9" fillId="55" borderId="20" xfId="868" applyNumberFormat="1" applyFont="1" applyFill="1" applyBorder="1" applyAlignment="1">
      <alignment horizontal="right" vertical="center" wrapText="1"/>
    </xf>
    <xf numFmtId="0" fontId="9" fillId="55" borderId="19" xfId="0" applyFont="1" applyFill="1" applyBorder="1" applyAlignment="1">
      <alignment horizontal="center" vertical="top" wrapText="1"/>
    </xf>
    <xf numFmtId="0" fontId="9" fillId="55" borderId="24" xfId="0" applyFont="1" applyFill="1" applyBorder="1" applyAlignment="1">
      <alignment horizontal="center" vertical="center" wrapText="1"/>
    </xf>
    <xf numFmtId="187" fontId="13" fillId="48" borderId="19" xfId="838" applyNumberFormat="1" applyFont="1" applyFill="1" applyBorder="1" applyAlignment="1" applyProtection="1">
      <alignment horizontal="right" vertical="center" wrapText="1"/>
    </xf>
    <xf numFmtId="169" fontId="8" fillId="48" borderId="19" xfId="699" applyFont="1" applyFill="1" applyBorder="1" applyAlignment="1">
      <alignment horizontal="right" wrapText="1"/>
    </xf>
    <xf numFmtId="0" fontId="8" fillId="48" borderId="19" xfId="0" applyFont="1" applyFill="1" applyBorder="1" applyAlignment="1">
      <alignment vertical="top" wrapText="1"/>
    </xf>
    <xf numFmtId="2" fontId="8" fillId="48" borderId="19" xfId="0" applyNumberFormat="1" applyFont="1" applyFill="1" applyBorder="1" applyAlignment="1">
      <alignment horizontal="right" vertical="top" wrapText="1"/>
    </xf>
    <xf numFmtId="4" fontId="8" fillId="0" borderId="0" xfId="0" applyNumberFormat="1" applyFont="1" applyFill="1"/>
    <xf numFmtId="169" fontId="8" fillId="48" borderId="0" xfId="699" applyFont="1" applyFill="1" applyAlignment="1">
      <alignment horizontal="right" wrapText="1"/>
    </xf>
    <xf numFmtId="4" fontId="8" fillId="48" borderId="0" xfId="0" applyNumberFormat="1" applyFont="1" applyFill="1"/>
    <xf numFmtId="2" fontId="8" fillId="48" borderId="25" xfId="0" applyNumberFormat="1" applyFont="1" applyFill="1" applyBorder="1" applyAlignment="1">
      <alignment horizontal="right" vertical="top" wrapText="1"/>
    </xf>
    <xf numFmtId="0" fontId="8" fillId="48" borderId="25" xfId="0" applyFont="1" applyFill="1" applyBorder="1" applyAlignment="1">
      <alignment vertical="top" wrapText="1"/>
    </xf>
    <xf numFmtId="4" fontId="8" fillId="48" borderId="25" xfId="0" applyNumberFormat="1" applyFont="1" applyFill="1" applyBorder="1" applyAlignment="1">
      <alignment horizontal="center" vertical="top" wrapText="1"/>
    </xf>
    <xf numFmtId="169" fontId="8" fillId="48" borderId="25" xfId="699" applyFont="1" applyFill="1" applyBorder="1" applyAlignment="1">
      <alignment horizontal="right" wrapText="1"/>
    </xf>
    <xf numFmtId="4" fontId="9" fillId="0" borderId="0" xfId="0" applyNumberFormat="1" applyFont="1" applyFill="1"/>
    <xf numFmtId="4" fontId="84" fillId="50" borderId="24" xfId="1016" applyNumberFormat="1" applyFont="1" applyFill="1" applyBorder="1"/>
    <xf numFmtId="187" fontId="14" fillId="48" borderId="19" xfId="838" applyNumberFormat="1" applyFont="1" applyFill="1" applyBorder="1" applyAlignment="1" applyProtection="1">
      <alignment horizontal="center" vertical="top"/>
    </xf>
    <xf numFmtId="37" fontId="13" fillId="48" borderId="19" xfId="0" applyNumberFormat="1" applyFont="1" applyFill="1" applyBorder="1" applyAlignment="1" applyProtection="1">
      <alignment horizontal="right" vertical="center"/>
    </xf>
    <xf numFmtId="0" fontId="8" fillId="48" borderId="19" xfId="0" applyNumberFormat="1" applyFont="1" applyFill="1" applyBorder="1" applyAlignment="1">
      <alignment wrapText="1"/>
    </xf>
    <xf numFmtId="0" fontId="9" fillId="48" borderId="19" xfId="0" applyNumberFormat="1" applyFont="1" applyFill="1" applyBorder="1" applyAlignment="1">
      <alignment horizontal="left"/>
    </xf>
    <xf numFmtId="4" fontId="8" fillId="48" borderId="19" xfId="868" applyNumberFormat="1" applyFont="1" applyFill="1" applyBorder="1" applyAlignment="1" applyProtection="1">
      <alignment horizontal="right" vertical="center" wrapText="1"/>
    </xf>
    <xf numFmtId="4" fontId="8" fillId="48" borderId="19" xfId="0" applyNumberFormat="1" applyFont="1" applyFill="1" applyBorder="1" applyAlignment="1">
      <alignment horizontal="center" vertical="center"/>
    </xf>
    <xf numFmtId="4" fontId="8" fillId="48" borderId="19" xfId="868" applyNumberFormat="1" applyFont="1" applyFill="1" applyBorder="1" applyAlignment="1" applyProtection="1">
      <alignment horizontal="right" vertical="center" wrapText="1"/>
      <protection locked="0"/>
    </xf>
    <xf numFmtId="185" fontId="8" fillId="48" borderId="19" xfId="0" applyNumberFormat="1" applyFont="1" applyFill="1" applyBorder="1" applyAlignment="1">
      <alignment horizontal="right" vertical="justify" wrapText="1"/>
    </xf>
    <xf numFmtId="0" fontId="8" fillId="48" borderId="19" xfId="0" applyNumberFormat="1" applyFont="1" applyFill="1" applyBorder="1" applyAlignment="1">
      <alignment horizontal="left"/>
    </xf>
    <xf numFmtId="0" fontId="8" fillId="48" borderId="19" xfId="0" applyNumberFormat="1" applyFont="1" applyFill="1" applyBorder="1" applyAlignment="1">
      <alignment horizontal="left" wrapText="1"/>
    </xf>
    <xf numFmtId="37" fontId="9" fillId="48" borderId="19" xfId="1281" applyNumberFormat="1" applyFont="1" applyFill="1" applyBorder="1" applyAlignment="1" applyProtection="1">
      <alignment horizontal="right" vertical="top"/>
    </xf>
    <xf numFmtId="185" fontId="9" fillId="48" borderId="19" xfId="1281" applyNumberFormat="1" applyFont="1" applyFill="1" applyBorder="1" applyAlignment="1" applyProtection="1">
      <alignment horizontal="right" vertical="top"/>
    </xf>
    <xf numFmtId="37" fontId="14" fillId="48" borderId="19" xfId="0" applyNumberFormat="1" applyFont="1" applyFill="1" applyBorder="1" applyAlignment="1" applyProtection="1">
      <alignment horizontal="right" vertical="center"/>
    </xf>
    <xf numFmtId="188" fontId="14" fillId="48" borderId="19" xfId="838" applyNumberFormat="1" applyFont="1" applyFill="1" applyBorder="1" applyAlignment="1" applyProtection="1">
      <alignment horizontal="right" vertical="center" wrapText="1"/>
    </xf>
    <xf numFmtId="0" fontId="9" fillId="48" borderId="19" xfId="0" applyNumberFormat="1" applyFont="1" applyFill="1" applyBorder="1" applyAlignment="1">
      <alignment horizontal="left" vertical="justify" wrapText="1"/>
    </xf>
    <xf numFmtId="2" fontId="8" fillId="48" borderId="19" xfId="0" applyNumberFormat="1" applyFont="1" applyFill="1" applyBorder="1" applyAlignment="1">
      <alignment horizontal="center"/>
    </xf>
    <xf numFmtId="4" fontId="8" fillId="48" borderId="19" xfId="0" applyNumberFormat="1" applyFont="1" applyFill="1" applyBorder="1" applyAlignment="1">
      <alignment horizontal="right" wrapText="1"/>
    </xf>
    <xf numFmtId="0" fontId="8" fillId="48" borderId="19" xfId="0" applyFont="1" applyFill="1" applyBorder="1" applyAlignment="1">
      <alignment horizontal="right" vertical="top" wrapText="1"/>
    </xf>
    <xf numFmtId="0" fontId="13" fillId="48" borderId="19" xfId="0" applyFont="1" applyFill="1" applyBorder="1" applyAlignment="1">
      <alignment horizontal="left" vertical="top" wrapText="1"/>
    </xf>
    <xf numFmtId="4" fontId="8" fillId="48" borderId="19" xfId="0" applyNumberFormat="1" applyFont="1" applyFill="1" applyBorder="1" applyAlignment="1">
      <alignment horizontal="center" wrapText="1"/>
    </xf>
    <xf numFmtId="4" fontId="8" fillId="48" borderId="19" xfId="805" applyNumberFormat="1" applyFont="1" applyFill="1" applyBorder="1" applyAlignment="1">
      <alignment vertical="center" wrapText="1"/>
    </xf>
    <xf numFmtId="4" fontId="9" fillId="48" borderId="19" xfId="868" applyNumberFormat="1" applyFont="1" applyFill="1" applyBorder="1" applyAlignment="1" applyProtection="1">
      <alignment horizontal="right" wrapText="1"/>
    </xf>
    <xf numFmtId="4" fontId="9" fillId="48" borderId="19" xfId="0" applyNumberFormat="1" applyFont="1" applyFill="1" applyBorder="1" applyAlignment="1">
      <alignment horizontal="center"/>
    </xf>
    <xf numFmtId="4" fontId="9" fillId="48" borderId="19" xfId="868" applyNumberFormat="1" applyFont="1" applyFill="1" applyBorder="1" applyAlignment="1" applyProtection="1">
      <alignment horizontal="right" wrapText="1"/>
      <protection locked="0"/>
    </xf>
    <xf numFmtId="1" fontId="8" fillId="48" borderId="19" xfId="0" applyNumberFormat="1" applyFont="1" applyFill="1" applyBorder="1" applyAlignment="1">
      <alignment horizontal="right" vertical="top" wrapText="1"/>
    </xf>
    <xf numFmtId="169" fontId="8" fillId="48" borderId="19" xfId="1306" applyNumberFormat="1" applyFill="1" applyBorder="1"/>
    <xf numFmtId="185" fontId="14" fillId="48" borderId="19" xfId="0" applyNumberFormat="1" applyFont="1" applyFill="1" applyBorder="1" applyAlignment="1" applyProtection="1">
      <alignment horizontal="right" vertical="top"/>
    </xf>
    <xf numFmtId="49" fontId="9" fillId="48" borderId="19" xfId="1302" applyNumberFormat="1" applyFont="1" applyFill="1" applyBorder="1" applyAlignment="1">
      <alignment horizontal="left" vertical="center"/>
    </xf>
    <xf numFmtId="173" fontId="8" fillId="48" borderId="19" xfId="736" applyFont="1" applyFill="1" applyBorder="1" applyAlignment="1">
      <alignment horizontal="right" wrapText="1"/>
    </xf>
    <xf numFmtId="187" fontId="14" fillId="48" borderId="19" xfId="838" applyNumberFormat="1" applyFont="1" applyFill="1" applyBorder="1" applyAlignment="1" applyProtection="1">
      <alignment horizontal="right" vertical="center"/>
    </xf>
    <xf numFmtId="188" fontId="13" fillId="48" borderId="19" xfId="838" applyNumberFormat="1" applyFont="1" applyFill="1" applyBorder="1" applyAlignment="1" applyProtection="1">
      <alignment horizontal="right" vertical="top"/>
    </xf>
    <xf numFmtId="185" fontId="13" fillId="48" borderId="25" xfId="0" applyNumberFormat="1" applyFont="1" applyFill="1" applyBorder="1" applyAlignment="1" applyProtection="1">
      <alignment horizontal="right" vertical="top"/>
    </xf>
    <xf numFmtId="0" fontId="8" fillId="48" borderId="25" xfId="1210" applyFont="1" applyFill="1" applyBorder="1" applyAlignment="1">
      <alignment horizontal="left" vertical="top" wrapText="1"/>
    </xf>
    <xf numFmtId="4" fontId="13" fillId="48" borderId="25" xfId="868" applyNumberFormat="1" applyFont="1" applyFill="1" applyBorder="1" applyAlignment="1">
      <alignment horizontal="center" vertical="top"/>
    </xf>
    <xf numFmtId="4" fontId="8" fillId="48" borderId="25" xfId="0" applyNumberFormat="1" applyFont="1" applyFill="1" applyBorder="1" applyAlignment="1">
      <alignment vertical="top" wrapText="1"/>
    </xf>
    <xf numFmtId="185" fontId="13" fillId="48" borderId="19" xfId="0" applyNumberFormat="1" applyFont="1" applyFill="1" applyBorder="1" applyAlignment="1" applyProtection="1">
      <alignment horizontal="right"/>
    </xf>
    <xf numFmtId="0" fontId="9" fillId="48" borderId="19" xfId="0" applyFont="1" applyFill="1" applyBorder="1" applyAlignment="1">
      <alignment wrapText="1"/>
    </xf>
    <xf numFmtId="0" fontId="8" fillId="48" borderId="19" xfId="0" applyFont="1" applyFill="1" applyBorder="1" applyAlignment="1">
      <alignment wrapText="1"/>
    </xf>
    <xf numFmtId="37" fontId="14" fillId="48" borderId="19" xfId="0" applyNumberFormat="1" applyFont="1" applyFill="1" applyBorder="1" applyAlignment="1" applyProtection="1">
      <alignment horizontal="right"/>
    </xf>
    <xf numFmtId="0" fontId="8" fillId="48" borderId="19" xfId="0" applyNumberFormat="1" applyFont="1" applyFill="1" applyBorder="1" applyAlignment="1">
      <alignment horizontal="left" vertical="top" wrapText="1"/>
    </xf>
    <xf numFmtId="0" fontId="13" fillId="50" borderId="24" xfId="1297" applyFont="1" applyFill="1" applyBorder="1" applyAlignment="1">
      <alignment horizontal="center" vertical="center"/>
    </xf>
    <xf numFmtId="49" fontId="14" fillId="50" borderId="24" xfId="924" applyNumberFormat="1" applyFont="1" applyFill="1" applyBorder="1" applyAlignment="1">
      <alignment horizontal="right" vertical="center"/>
    </xf>
    <xf numFmtId="2" fontId="84" fillId="50" borderId="24" xfId="0" applyNumberFormat="1" applyFont="1" applyFill="1" applyBorder="1"/>
    <xf numFmtId="0" fontId="14" fillId="50" borderId="0" xfId="1297" applyFont="1" applyFill="1" applyBorder="1" applyAlignment="1" applyProtection="1">
      <alignment horizontal="left" vertical="center"/>
    </xf>
    <xf numFmtId="195" fontId="13" fillId="50" borderId="0" xfId="923" applyFont="1" applyFill="1" applyBorder="1" applyAlignment="1">
      <alignment horizontal="right" vertical="center"/>
    </xf>
    <xf numFmtId="0" fontId="13" fillId="50" borderId="0" xfId="1297" applyFont="1" applyFill="1" applyBorder="1" applyAlignment="1">
      <alignment horizontal="center" vertical="center"/>
    </xf>
    <xf numFmtId="0" fontId="13" fillId="50" borderId="40" xfId="1297" applyFont="1" applyFill="1" applyBorder="1" applyAlignment="1" applyProtection="1">
      <alignment horizontal="left" vertical="center"/>
    </xf>
    <xf numFmtId="4" fontId="13" fillId="50" borderId="40" xfId="923" applyNumberFormat="1" applyFont="1" applyFill="1" applyBorder="1" applyAlignment="1">
      <alignment horizontal="right" vertical="center"/>
    </xf>
    <xf numFmtId="0" fontId="13" fillId="50" borderId="40" xfId="1297" applyFont="1" applyFill="1" applyBorder="1" applyAlignment="1">
      <alignment horizontal="center" vertical="center"/>
    </xf>
    <xf numFmtId="4" fontId="13" fillId="50" borderId="65" xfId="923" applyNumberFormat="1" applyFont="1" applyFill="1" applyBorder="1" applyAlignment="1" applyProtection="1">
      <alignment horizontal="right" vertical="center"/>
      <protection locked="0"/>
    </xf>
    <xf numFmtId="0" fontId="13" fillId="50" borderId="24" xfId="1297" applyFont="1" applyFill="1" applyBorder="1" applyAlignment="1" applyProtection="1">
      <alignment horizontal="left" vertical="center"/>
    </xf>
    <xf numFmtId="4" fontId="13" fillId="50" borderId="24" xfId="923" applyNumberFormat="1" applyFont="1" applyFill="1" applyBorder="1" applyAlignment="1">
      <alignment horizontal="right" vertical="center"/>
    </xf>
    <xf numFmtId="4" fontId="13" fillId="50" borderId="43" xfId="923" applyNumberFormat="1" applyFont="1" applyFill="1" applyBorder="1" applyAlignment="1" applyProtection="1">
      <alignment horizontal="right" vertical="center"/>
      <protection locked="0"/>
    </xf>
    <xf numFmtId="0" fontId="8" fillId="50" borderId="20" xfId="1299" applyFont="1" applyFill="1" applyBorder="1"/>
    <xf numFmtId="4" fontId="13" fillId="50" borderId="20" xfId="923" applyNumberFormat="1" applyFont="1" applyFill="1" applyBorder="1" applyAlignment="1">
      <alignment horizontal="right" vertical="center"/>
    </xf>
    <xf numFmtId="0" fontId="13" fillId="50" borderId="20" xfId="1297" applyFont="1" applyFill="1" applyBorder="1" applyAlignment="1">
      <alignment horizontal="center" vertical="center"/>
    </xf>
    <xf numFmtId="4" fontId="13" fillId="50" borderId="52" xfId="923" applyNumberFormat="1" applyFont="1" applyFill="1" applyBorder="1" applyAlignment="1" applyProtection="1">
      <alignment horizontal="right" vertical="center"/>
      <protection locked="0"/>
    </xf>
    <xf numFmtId="0" fontId="13" fillId="50" borderId="73" xfId="1297" applyFont="1" applyFill="1" applyBorder="1" applyAlignment="1" applyProtection="1">
      <alignment horizontal="left" vertical="center"/>
    </xf>
    <xf numFmtId="4" fontId="13" fillId="50" borderId="73" xfId="923" applyNumberFormat="1" applyFont="1" applyFill="1" applyBorder="1" applyAlignment="1">
      <alignment horizontal="right" vertical="center"/>
    </xf>
    <xf numFmtId="0" fontId="13" fillId="50" borderId="73" xfId="1297" applyFont="1" applyFill="1" applyBorder="1" applyAlignment="1">
      <alignment horizontal="center" vertical="center"/>
    </xf>
    <xf numFmtId="49" fontId="14" fillId="50" borderId="73" xfId="923" applyNumberFormat="1" applyFont="1" applyFill="1" applyBorder="1" applyAlignment="1">
      <alignment horizontal="right" vertical="center"/>
    </xf>
    <xf numFmtId="4" fontId="14" fillId="50" borderId="65" xfId="923" applyNumberFormat="1" applyFont="1" applyFill="1" applyBorder="1" applyAlignment="1">
      <alignment horizontal="right" vertical="center"/>
    </xf>
    <xf numFmtId="0" fontId="13" fillId="50" borderId="45" xfId="1297" applyFont="1" applyFill="1" applyBorder="1" applyAlignment="1" applyProtection="1">
      <alignment horizontal="left" vertical="center"/>
    </xf>
    <xf numFmtId="195" fontId="13" fillId="50" borderId="45" xfId="923" applyFont="1" applyFill="1" applyBorder="1" applyAlignment="1">
      <alignment horizontal="right" vertical="center"/>
    </xf>
    <xf numFmtId="0" fontId="13" fillId="50" borderId="45" xfId="1297" applyFont="1" applyFill="1" applyBorder="1" applyAlignment="1">
      <alignment horizontal="center" vertical="center"/>
    </xf>
    <xf numFmtId="49" fontId="14" fillId="50" borderId="45" xfId="923" applyNumberFormat="1" applyFont="1" applyFill="1" applyBorder="1" applyAlignment="1">
      <alignment horizontal="right" vertical="center"/>
    </xf>
    <xf numFmtId="4" fontId="14" fillId="50" borderId="46" xfId="923" applyNumberFormat="1" applyFont="1" applyFill="1" applyBorder="1" applyAlignment="1">
      <alignment horizontal="right" vertical="center"/>
    </xf>
    <xf numFmtId="0" fontId="0" fillId="50" borderId="0" xfId="0" applyFill="1"/>
    <xf numFmtId="0" fontId="14" fillId="50" borderId="24" xfId="1297" applyFont="1" applyFill="1" applyBorder="1" applyAlignment="1" applyProtection="1">
      <alignment horizontal="left" vertical="center"/>
    </xf>
    <xf numFmtId="43" fontId="13" fillId="50" borderId="24" xfId="924" applyFont="1" applyFill="1" applyBorder="1" applyAlignment="1">
      <alignment horizontal="right" vertical="center"/>
    </xf>
    <xf numFmtId="0" fontId="44" fillId="50" borderId="24" xfId="1047" applyFont="1" applyFill="1" applyBorder="1" applyAlignment="1">
      <alignment horizontal="center" vertical="top"/>
    </xf>
    <xf numFmtId="174" fontId="44" fillId="50" borderId="24" xfId="1047" applyNumberFormat="1" applyFont="1" applyFill="1" applyBorder="1" applyAlignment="1">
      <alignment vertical="top"/>
    </xf>
    <xf numFmtId="4" fontId="13" fillId="50" borderId="24" xfId="924" applyNumberFormat="1" applyFont="1" applyFill="1" applyBorder="1" applyAlignment="1">
      <alignment horizontal="right" vertical="center"/>
    </xf>
    <xf numFmtId="4" fontId="13" fillId="50" borderId="24" xfId="924" applyNumberFormat="1" applyFont="1" applyFill="1" applyBorder="1" applyAlignment="1" applyProtection="1">
      <alignment horizontal="right" vertical="center"/>
      <protection locked="0"/>
    </xf>
    <xf numFmtId="0" fontId="8" fillId="50" borderId="24" xfId="1299" applyFont="1" applyFill="1" applyBorder="1" applyAlignment="1">
      <alignment wrapText="1"/>
    </xf>
    <xf numFmtId="4" fontId="14" fillId="50" borderId="24" xfId="924" applyNumberFormat="1" applyFont="1" applyFill="1" applyBorder="1" applyAlignment="1">
      <alignment horizontal="right" vertical="center"/>
    </xf>
    <xf numFmtId="0" fontId="9" fillId="56" borderId="0" xfId="0" quotePrefix="1" applyFont="1" applyFill="1" applyAlignment="1">
      <alignment horizontal="left"/>
    </xf>
    <xf numFmtId="192" fontId="8" fillId="56" borderId="0" xfId="915" applyNumberFormat="1" applyFont="1" applyFill="1"/>
    <xf numFmtId="169" fontId="8" fillId="56" borderId="0" xfId="915" applyFont="1" applyFill="1"/>
    <xf numFmtId="0" fontId="8" fillId="56" borderId="39" xfId="0" applyFont="1" applyFill="1" applyBorder="1" applyAlignment="1">
      <alignment horizontal="left"/>
    </xf>
    <xf numFmtId="2" fontId="8" fillId="56" borderId="40" xfId="915" applyNumberFormat="1" applyFont="1" applyFill="1" applyBorder="1"/>
    <xf numFmtId="169" fontId="8" fillId="56" borderId="40" xfId="915" applyFont="1" applyFill="1" applyBorder="1" applyAlignment="1">
      <alignment horizontal="centerContinuous"/>
    </xf>
    <xf numFmtId="169" fontId="8" fillId="56" borderId="40" xfId="915" applyFont="1" applyFill="1" applyBorder="1"/>
    <xf numFmtId="169" fontId="8" fillId="56" borderId="41" xfId="915" applyFont="1" applyFill="1" applyBorder="1"/>
    <xf numFmtId="0" fontId="8" fillId="56" borderId="42" xfId="0" applyFont="1" applyFill="1" applyBorder="1" applyAlignment="1">
      <alignment horizontal="left"/>
    </xf>
    <xf numFmtId="2" fontId="8" fillId="56" borderId="24" xfId="915" applyNumberFormat="1" applyFont="1" applyFill="1" applyBorder="1"/>
    <xf numFmtId="169" fontId="8" fillId="56" borderId="24" xfId="915" applyFont="1" applyFill="1" applyBorder="1" applyAlignment="1">
      <alignment horizontal="centerContinuous"/>
    </xf>
    <xf numFmtId="169" fontId="8" fillId="56" borderId="24" xfId="915" applyFont="1" applyFill="1" applyBorder="1"/>
    <xf numFmtId="169" fontId="8" fillId="56" borderId="43" xfId="915" applyFont="1" applyFill="1" applyBorder="1"/>
    <xf numFmtId="192" fontId="8" fillId="56" borderId="24" xfId="915" applyNumberFormat="1" applyFont="1" applyFill="1" applyBorder="1"/>
    <xf numFmtId="0" fontId="8" fillId="56" borderId="44" xfId="0" applyFont="1" applyFill="1" applyBorder="1" applyAlignment="1">
      <alignment horizontal="left"/>
    </xf>
    <xf numFmtId="192" fontId="8" fillId="56" borderId="45" xfId="915" applyNumberFormat="1" applyFont="1" applyFill="1" applyBorder="1"/>
    <xf numFmtId="169" fontId="9" fillId="56" borderId="46" xfId="915" applyFont="1" applyFill="1" applyBorder="1" applyAlignment="1">
      <alignment horizontal="right"/>
    </xf>
    <xf numFmtId="4" fontId="8" fillId="0" borderId="24" xfId="1306" applyNumberFormat="1" applyFill="1" applyBorder="1"/>
    <xf numFmtId="4" fontId="8" fillId="50" borderId="19" xfId="868" applyNumberFormat="1" applyFont="1" applyFill="1" applyBorder="1" applyAlignment="1" applyProtection="1">
      <alignment horizontal="right" wrapText="1"/>
      <protection locked="0"/>
    </xf>
    <xf numFmtId="4" fontId="13" fillId="0" borderId="19" xfId="868" applyNumberFormat="1" applyFont="1" applyFill="1" applyBorder="1" applyAlignment="1">
      <alignment horizontal="right" vertical="center" wrapText="1"/>
    </xf>
    <xf numFmtId="4" fontId="8" fillId="0" borderId="19" xfId="868" applyNumberFormat="1" applyFont="1" applyFill="1" applyBorder="1" applyAlignment="1" applyProtection="1">
      <alignment horizontal="right" wrapText="1"/>
    </xf>
    <xf numFmtId="4" fontId="8" fillId="0" borderId="19" xfId="868" applyNumberFormat="1" applyFont="1" applyFill="1" applyBorder="1" applyAlignment="1" applyProtection="1">
      <alignment horizontal="right" vertical="center" wrapText="1"/>
    </xf>
    <xf numFmtId="4" fontId="13" fillId="0" borderId="19" xfId="868" applyNumberFormat="1" applyFont="1" applyFill="1" applyBorder="1" applyAlignment="1">
      <alignment horizontal="right" vertical="top" wrapText="1"/>
    </xf>
    <xf numFmtId="49" fontId="9" fillId="48" borderId="19" xfId="1305" applyNumberFormat="1" applyFont="1" applyFill="1" applyBorder="1" applyAlignment="1">
      <alignment horizontal="center" vertical="top"/>
    </xf>
    <xf numFmtId="0" fontId="9" fillId="48" borderId="19" xfId="0" applyFont="1" applyFill="1" applyBorder="1" applyAlignment="1">
      <alignment vertical="center"/>
    </xf>
    <xf numFmtId="4" fontId="8" fillId="48" borderId="19" xfId="1305" applyNumberFormat="1" applyFont="1" applyFill="1" applyBorder="1" applyAlignment="1">
      <alignment horizontal="right"/>
    </xf>
    <xf numFmtId="4" fontId="8" fillId="48" borderId="19" xfId="1305" applyNumberFormat="1" applyFont="1" applyFill="1" applyBorder="1" applyAlignment="1">
      <alignment horizontal="center"/>
    </xf>
    <xf numFmtId="43" fontId="8" fillId="48" borderId="19" xfId="805" applyFont="1" applyFill="1" applyBorder="1" applyAlignment="1">
      <alignment horizontal="right"/>
    </xf>
    <xf numFmtId="39" fontId="8" fillId="48" borderId="0" xfId="1305" applyFont="1" applyFill="1" applyBorder="1" applyAlignment="1">
      <alignment vertical="top"/>
    </xf>
    <xf numFmtId="49" fontId="8" fillId="48" borderId="19" xfId="1305" applyNumberFormat="1" applyFont="1" applyFill="1" applyBorder="1" applyAlignment="1">
      <alignment horizontal="right" vertical="top"/>
    </xf>
    <xf numFmtId="4" fontId="8" fillId="48" borderId="19" xfId="0" applyNumberFormat="1" applyFont="1" applyFill="1" applyBorder="1" applyAlignment="1">
      <alignment horizontal="center" vertical="center" wrapText="1"/>
    </xf>
    <xf numFmtId="39" fontId="8" fillId="48" borderId="19" xfId="805" applyNumberFormat="1" applyFont="1" applyFill="1" applyBorder="1"/>
    <xf numFmtId="0" fontId="8" fillId="48" borderId="19" xfId="0" applyFont="1" applyFill="1" applyBorder="1" applyAlignment="1">
      <alignment vertical="justify"/>
    </xf>
    <xf numFmtId="49" fontId="9" fillId="48" borderId="19" xfId="1305" applyNumberFormat="1" applyFont="1" applyFill="1" applyBorder="1" applyAlignment="1">
      <alignment horizontal="right" vertical="top"/>
    </xf>
    <xf numFmtId="0" fontId="9" fillId="48" borderId="19" xfId="0" applyFont="1" applyFill="1" applyBorder="1" applyAlignment="1">
      <alignment vertical="justify"/>
    </xf>
    <xf numFmtId="0" fontId="9" fillId="48" borderId="19" xfId="0" applyFont="1" applyFill="1" applyBorder="1"/>
    <xf numFmtId="49" fontId="8" fillId="49" borderId="19" xfId="1305" applyNumberFormat="1" applyFont="1" applyFill="1" applyBorder="1" applyAlignment="1">
      <alignment horizontal="right" vertical="top"/>
    </xf>
    <xf numFmtId="49" fontId="9" fillId="49" borderId="19" xfId="1305" applyNumberFormat="1" applyFont="1" applyFill="1" applyBorder="1" applyAlignment="1">
      <alignment horizontal="center" vertical="top" wrapText="1"/>
    </xf>
    <xf numFmtId="4" fontId="8" fillId="49" borderId="19" xfId="1305" applyNumberFormat="1" applyFont="1" applyFill="1" applyBorder="1" applyAlignment="1">
      <alignment horizontal="center"/>
    </xf>
    <xf numFmtId="43" fontId="8" fillId="49" borderId="19" xfId="805" applyFont="1" applyFill="1" applyBorder="1" applyAlignment="1">
      <alignment horizontal="right"/>
    </xf>
    <xf numFmtId="39" fontId="8" fillId="49" borderId="0" xfId="1305" applyFont="1" applyFill="1" applyBorder="1" applyAlignment="1">
      <alignment vertical="top"/>
    </xf>
    <xf numFmtId="1" fontId="9" fillId="48" borderId="19" xfId="0" applyNumberFormat="1" applyFont="1" applyFill="1" applyBorder="1" applyAlignment="1">
      <alignment horizontal="center" vertical="top"/>
    </xf>
    <xf numFmtId="4" fontId="8" fillId="48" borderId="19" xfId="0" applyNumberFormat="1" applyFont="1" applyFill="1" applyBorder="1" applyAlignment="1"/>
    <xf numFmtId="174" fontId="9" fillId="48" borderId="19" xfId="0" applyNumberFormat="1" applyFont="1" applyFill="1" applyBorder="1" applyAlignment="1">
      <alignment horizontal="right"/>
    </xf>
    <xf numFmtId="0" fontId="8" fillId="48" borderId="19" xfId="0" applyFont="1" applyFill="1" applyBorder="1" applyAlignment="1">
      <alignment horizontal="right" vertical="top"/>
    </xf>
    <xf numFmtId="0" fontId="8" fillId="48" borderId="19" xfId="0" applyFont="1" applyFill="1" applyBorder="1" applyAlignment="1">
      <alignment horizontal="left" vertical="top" wrapText="1"/>
    </xf>
    <xf numFmtId="174" fontId="8" fillId="48" borderId="19" xfId="0" applyNumberFormat="1" applyFont="1" applyFill="1" applyBorder="1" applyAlignment="1">
      <alignment horizontal="center" vertical="top" wrapText="1"/>
    </xf>
    <xf numFmtId="0" fontId="9" fillId="48" borderId="19" xfId="0" applyFont="1" applyFill="1" applyBorder="1" applyAlignment="1">
      <alignment horizontal="right" vertical="top"/>
    </xf>
    <xf numFmtId="174" fontId="8" fillId="48" borderId="19" xfId="0" applyNumberFormat="1" applyFont="1" applyFill="1" applyBorder="1" applyAlignment="1">
      <alignment horizontal="center" wrapText="1"/>
    </xf>
    <xf numFmtId="0" fontId="8" fillId="49" borderId="19" xfId="0" applyFont="1" applyFill="1" applyBorder="1" applyAlignment="1">
      <alignment horizontal="right"/>
    </xf>
    <xf numFmtId="0" fontId="9" fillId="49" borderId="19" xfId="0" applyFont="1" applyFill="1" applyBorder="1" applyAlignment="1">
      <alignment horizontal="center"/>
    </xf>
    <xf numFmtId="4" fontId="8" fillId="49" borderId="19" xfId="0" applyNumberFormat="1" applyFont="1" applyFill="1" applyBorder="1"/>
    <xf numFmtId="0" fontId="8" fillId="49" borderId="19" xfId="0" applyFont="1" applyFill="1" applyBorder="1" applyAlignment="1">
      <alignment horizontal="center"/>
    </xf>
    <xf numFmtId="43" fontId="8" fillId="49" borderId="19" xfId="805" applyFont="1" applyFill="1" applyBorder="1" applyAlignment="1">
      <alignment horizontal="center"/>
    </xf>
    <xf numFmtId="4" fontId="9" fillId="49" borderId="19" xfId="0" applyNumberFormat="1" applyFont="1" applyFill="1" applyBorder="1" applyAlignment="1">
      <alignment horizontal="right"/>
    </xf>
    <xf numFmtId="4" fontId="8" fillId="49" borderId="0" xfId="0" applyNumberFormat="1" applyFont="1" applyFill="1" applyBorder="1"/>
    <xf numFmtId="39" fontId="8" fillId="48" borderId="0" xfId="0" applyNumberFormat="1" applyFont="1" applyFill="1" applyBorder="1" applyProtection="1">
      <protection locked="0"/>
    </xf>
    <xf numFmtId="0" fontId="8" fillId="48" borderId="0" xfId="0" applyFont="1" applyFill="1" applyBorder="1" applyAlignment="1">
      <alignment vertical="top" wrapText="1"/>
    </xf>
    <xf numFmtId="0" fontId="8" fillId="48" borderId="0" xfId="0" applyFont="1" applyFill="1" applyBorder="1" applyAlignment="1">
      <alignment vertical="center"/>
    </xf>
    <xf numFmtId="4" fontId="46" fillId="48" borderId="0" xfId="0" applyNumberFormat="1" applyFont="1" applyFill="1" applyBorder="1"/>
    <xf numFmtId="0" fontId="46" fillId="48" borderId="0" xfId="0" applyFont="1" applyFill="1" applyBorder="1"/>
    <xf numFmtId="0" fontId="9" fillId="49" borderId="19" xfId="0" applyFont="1" applyFill="1" applyBorder="1" applyAlignment="1">
      <alignment horizontal="center" vertical="top" wrapText="1"/>
    </xf>
    <xf numFmtId="49" fontId="9" fillId="49" borderId="19" xfId="0" applyNumberFormat="1" applyFont="1" applyFill="1" applyBorder="1" applyAlignment="1">
      <alignment horizontal="center" vertical="top" wrapText="1"/>
    </xf>
    <xf numFmtId="39" fontId="8" fillId="49" borderId="19" xfId="805" applyNumberFormat="1" applyFont="1" applyFill="1" applyBorder="1" applyAlignment="1">
      <alignment vertical="top" wrapText="1"/>
    </xf>
    <xf numFmtId="174" fontId="8" fillId="49" borderId="19" xfId="0" applyNumberFormat="1" applyFont="1" applyFill="1" applyBorder="1" applyAlignment="1">
      <alignment horizontal="center" vertical="top" wrapText="1"/>
    </xf>
    <xf numFmtId="39" fontId="8" fillId="49" borderId="19" xfId="0" applyNumberFormat="1" applyFont="1" applyFill="1" applyBorder="1" applyAlignment="1" applyProtection="1">
      <alignment vertical="top" wrapText="1"/>
      <protection locked="0"/>
    </xf>
    <xf numFmtId="0" fontId="8" fillId="49" borderId="0" xfId="0" applyFont="1" applyFill="1" applyBorder="1" applyAlignment="1">
      <alignment vertical="top" wrapText="1"/>
    </xf>
    <xf numFmtId="0" fontId="9" fillId="48" borderId="19" xfId="0" applyFont="1" applyFill="1" applyBorder="1" applyAlignment="1">
      <alignment vertical="center" wrapText="1"/>
    </xf>
    <xf numFmtId="4" fontId="8" fillId="0" borderId="0" xfId="0" applyNumberFormat="1" applyFont="1" applyFill="1" applyAlignment="1">
      <alignment vertical="center" wrapText="1"/>
    </xf>
    <xf numFmtId="0" fontId="8" fillId="48" borderId="19" xfId="0" applyFont="1" applyFill="1" applyBorder="1" applyAlignment="1">
      <alignment horizontal="left" vertical="center" wrapText="1"/>
    </xf>
    <xf numFmtId="4" fontId="13"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xf>
    <xf numFmtId="187" fontId="8" fillId="57" borderId="19" xfId="838" applyNumberFormat="1" applyFont="1" applyFill="1" applyBorder="1" applyAlignment="1" applyProtection="1">
      <alignment horizontal="right" vertical="center"/>
    </xf>
    <xf numFmtId="0" fontId="9" fillId="57" borderId="19" xfId="0" applyFont="1" applyFill="1" applyBorder="1" applyAlignment="1">
      <alignment horizontal="center" vertical="top" wrapText="1"/>
    </xf>
    <xf numFmtId="4" fontId="8" fillId="57" borderId="19" xfId="868" applyNumberFormat="1" applyFont="1" applyFill="1" applyBorder="1" applyAlignment="1">
      <alignment horizontal="right" vertical="center" wrapText="1"/>
    </xf>
    <xf numFmtId="4" fontId="8" fillId="57" borderId="19" xfId="868" applyNumberFormat="1" applyFont="1" applyFill="1" applyBorder="1" applyAlignment="1">
      <alignment horizontal="center" vertical="center"/>
    </xf>
    <xf numFmtId="0" fontId="9" fillId="57" borderId="19" xfId="0" applyFont="1" applyFill="1" applyBorder="1" applyAlignment="1">
      <alignment horizontal="left" vertical="top" wrapText="1"/>
    </xf>
    <xf numFmtId="4" fontId="9" fillId="57" borderId="19" xfId="0" applyNumberFormat="1" applyFont="1" applyFill="1" applyBorder="1" applyAlignment="1" applyProtection="1">
      <alignment vertical="top" wrapText="1"/>
    </xf>
    <xf numFmtId="174" fontId="9" fillId="57" borderId="19" xfId="0" applyNumberFormat="1" applyFont="1" applyFill="1" applyBorder="1" applyAlignment="1">
      <alignment horizontal="center" vertical="top" wrapText="1"/>
    </xf>
    <xf numFmtId="43" fontId="9" fillId="57" borderId="19" xfId="805" applyFont="1" applyFill="1" applyBorder="1" applyAlignment="1" applyProtection="1">
      <alignment vertical="top" wrapText="1"/>
    </xf>
    <xf numFmtId="0" fontId="9" fillId="57" borderId="19" xfId="0" applyFont="1" applyFill="1" applyBorder="1" applyAlignment="1">
      <alignment horizontal="center"/>
    </xf>
    <xf numFmtId="39" fontId="8" fillId="57" borderId="19" xfId="805" applyNumberFormat="1" applyFont="1" applyFill="1" applyBorder="1"/>
    <xf numFmtId="0" fontId="8" fillId="57" borderId="19" xfId="0" applyFont="1" applyFill="1" applyBorder="1" applyAlignment="1">
      <alignment horizontal="center"/>
    </xf>
    <xf numFmtId="174" fontId="8" fillId="57" borderId="19" xfId="0" applyNumberFormat="1" applyFont="1" applyFill="1" applyBorder="1"/>
    <xf numFmtId="0" fontId="8" fillId="57" borderId="19" xfId="0" applyFont="1" applyFill="1" applyBorder="1" applyAlignment="1">
      <alignment horizontal="right"/>
    </xf>
    <xf numFmtId="0" fontId="8" fillId="57" borderId="19" xfId="0" applyFont="1" applyFill="1" applyBorder="1"/>
    <xf numFmtId="0" fontId="9" fillId="57" borderId="19" xfId="0" applyFont="1" applyFill="1" applyBorder="1" applyAlignment="1">
      <alignment vertical="center"/>
    </xf>
    <xf numFmtId="4" fontId="8" fillId="57" borderId="19" xfId="0" applyNumberFormat="1" applyFont="1" applyFill="1" applyBorder="1" applyAlignment="1" applyProtection="1">
      <alignment horizontal="right" vertical="center"/>
    </xf>
    <xf numFmtId="174" fontId="8" fillId="57" borderId="19" xfId="0" applyNumberFormat="1" applyFont="1" applyFill="1" applyBorder="1" applyAlignment="1">
      <alignment horizontal="center" vertical="center"/>
    </xf>
    <xf numFmtId="43" fontId="8" fillId="57" borderId="19" xfId="805" applyFont="1" applyFill="1" applyBorder="1" applyProtection="1">
      <protection locked="0"/>
    </xf>
    <xf numFmtId="197" fontId="8" fillId="57" borderId="19" xfId="0" applyNumberFormat="1" applyFont="1" applyFill="1" applyBorder="1" applyAlignment="1">
      <alignment horizontal="right" vertical="center"/>
    </xf>
    <xf numFmtId="0" fontId="8" fillId="57" borderId="19" xfId="0" applyFont="1" applyFill="1" applyBorder="1" applyAlignment="1">
      <alignment vertical="center"/>
    </xf>
    <xf numFmtId="4" fontId="8" fillId="57" borderId="19" xfId="0" applyNumberFormat="1" applyFont="1" applyFill="1" applyBorder="1" applyAlignment="1"/>
    <xf numFmtId="174" fontId="8" fillId="57" borderId="19" xfId="0" applyNumberFormat="1" applyFont="1" applyFill="1" applyBorder="1" applyAlignment="1">
      <alignment horizontal="center" wrapText="1"/>
    </xf>
    <xf numFmtId="43" fontId="8" fillId="57" borderId="19" xfId="805" applyFont="1" applyFill="1" applyBorder="1" applyAlignment="1">
      <alignment horizontal="right"/>
    </xf>
    <xf numFmtId="0" fontId="8" fillId="57" borderId="19" xfId="0" applyFont="1" applyFill="1" applyBorder="1" applyAlignment="1">
      <alignment vertical="justify"/>
    </xf>
    <xf numFmtId="39" fontId="8" fillId="57" borderId="19" xfId="1283" applyFont="1" applyFill="1" applyBorder="1" applyAlignment="1">
      <alignment horizontal="left" vertical="justify"/>
    </xf>
    <xf numFmtId="0" fontId="9" fillId="57" borderId="19" xfId="0" applyFont="1" applyFill="1" applyBorder="1" applyAlignment="1">
      <alignment horizontal="right"/>
    </xf>
    <xf numFmtId="0" fontId="9" fillId="57" borderId="19" xfId="0" applyFont="1" applyFill="1" applyBorder="1"/>
    <xf numFmtId="0" fontId="9" fillId="57" borderId="19" xfId="0" quotePrefix="1" applyFont="1" applyFill="1" applyBorder="1" applyAlignment="1">
      <alignment horizontal="left"/>
    </xf>
    <xf numFmtId="0" fontId="8" fillId="57" borderId="19" xfId="0" quotePrefix="1" applyFont="1" applyFill="1" applyBorder="1" applyAlignment="1">
      <alignment horizontal="left"/>
    </xf>
    <xf numFmtId="0" fontId="8" fillId="57" borderId="19" xfId="0" applyFont="1" applyFill="1" applyBorder="1" applyAlignment="1">
      <alignment horizontal="left"/>
    </xf>
    <xf numFmtId="4" fontId="8" fillId="57" borderId="19" xfId="0" applyNumberFormat="1" applyFont="1" applyFill="1" applyBorder="1"/>
    <xf numFmtId="0" fontId="9" fillId="57" borderId="19" xfId="0" applyFont="1" applyFill="1" applyBorder="1" applyAlignment="1">
      <alignment horizontal="left"/>
    </xf>
    <xf numFmtId="193" fontId="9" fillId="57" borderId="19" xfId="0" applyNumberFormat="1" applyFont="1" applyFill="1" applyBorder="1" applyAlignment="1">
      <alignment horizontal="right"/>
    </xf>
    <xf numFmtId="0" fontId="8" fillId="57" borderId="19" xfId="0" quotePrefix="1" applyFont="1" applyFill="1" applyBorder="1" applyAlignment="1">
      <alignment horizontal="right"/>
    </xf>
    <xf numFmtId="0" fontId="8" fillId="57" borderId="19" xfId="0" quotePrefix="1" applyFont="1" applyFill="1" applyBorder="1" applyAlignment="1">
      <alignment horizontal="right" vertical="top" wrapText="1"/>
    </xf>
    <xf numFmtId="0" fontId="8" fillId="57" borderId="19" xfId="0" applyFont="1" applyFill="1" applyBorder="1" applyAlignment="1">
      <alignment wrapText="1"/>
    </xf>
    <xf numFmtId="0" fontId="8" fillId="57" borderId="19" xfId="0" applyFont="1" applyFill="1" applyBorder="1" applyAlignment="1">
      <alignment horizontal="right" vertical="top"/>
    </xf>
    <xf numFmtId="0" fontId="8" fillId="57" borderId="19" xfId="0" applyFont="1" applyFill="1" applyBorder="1" applyAlignment="1">
      <alignment horizontal="right" vertical="top" wrapText="1"/>
    </xf>
    <xf numFmtId="0" fontId="9" fillId="57" borderId="19" xfId="0" applyFont="1" applyFill="1" applyBorder="1" applyAlignment="1">
      <alignment horizontal="right" vertical="top" wrapText="1"/>
    </xf>
    <xf numFmtId="0" fontId="9" fillId="57" borderId="19" xfId="0" applyFont="1" applyFill="1" applyBorder="1" applyAlignment="1">
      <alignment vertical="top" wrapText="1"/>
    </xf>
    <xf numFmtId="0" fontId="9" fillId="57" borderId="19" xfId="0" quotePrefix="1" applyFont="1" applyFill="1" applyBorder="1" applyAlignment="1">
      <alignment horizontal="left" wrapText="1"/>
    </xf>
    <xf numFmtId="0" fontId="9" fillId="57" borderId="19" xfId="0" applyFont="1" applyFill="1" applyBorder="1" applyAlignment="1">
      <alignment wrapText="1"/>
    </xf>
    <xf numFmtId="0" fontId="8" fillId="57" borderId="19" xfId="0" applyFont="1" applyFill="1" applyBorder="1" applyAlignment="1">
      <alignment horizontal="right" vertical="justify" wrapText="1"/>
    </xf>
    <xf numFmtId="0" fontId="8" fillId="57" borderId="19" xfId="0" applyFont="1" applyFill="1" applyBorder="1" applyAlignment="1">
      <alignment vertical="justify" wrapText="1"/>
    </xf>
    <xf numFmtId="39" fontId="8" fillId="57" borderId="19" xfId="805" applyNumberFormat="1" applyFont="1" applyFill="1" applyBorder="1" applyAlignment="1">
      <alignment vertical="justify"/>
    </xf>
    <xf numFmtId="0" fontId="8" fillId="57" borderId="19" xfId="0" applyFont="1" applyFill="1" applyBorder="1" applyAlignment="1">
      <alignment horizontal="center" vertical="justify"/>
    </xf>
    <xf numFmtId="174" fontId="8" fillId="57" borderId="19" xfId="0" applyNumberFormat="1" applyFont="1" applyFill="1" applyBorder="1" applyAlignment="1">
      <alignment vertical="justify"/>
    </xf>
    <xf numFmtId="0" fontId="9" fillId="57" borderId="19" xfId="0" applyFont="1" applyFill="1" applyBorder="1" applyAlignment="1">
      <alignment horizontal="right" vertical="justify" wrapText="1"/>
    </xf>
    <xf numFmtId="0" fontId="9" fillId="57" borderId="19" xfId="0" quotePrefix="1" applyFont="1" applyFill="1" applyBorder="1" applyAlignment="1">
      <alignment horizontal="left" vertical="justify" wrapText="1"/>
    </xf>
    <xf numFmtId="0" fontId="8" fillId="57" borderId="19" xfId="0" quotePrefix="1" applyFont="1" applyFill="1" applyBorder="1" applyAlignment="1">
      <alignment horizontal="center"/>
    </xf>
    <xf numFmtId="0" fontId="8" fillId="57" borderId="19" xfId="0" applyFont="1" applyFill="1" applyBorder="1" applyAlignment="1">
      <alignment horizontal="left" vertical="top" wrapText="1"/>
    </xf>
    <xf numFmtId="39" fontId="8" fillId="57" borderId="19" xfId="805" applyNumberFormat="1" applyFont="1" applyFill="1" applyBorder="1" applyAlignment="1">
      <alignment horizontal="right" vertical="top"/>
    </xf>
    <xf numFmtId="0" fontId="8" fillId="57" borderId="19" xfId="0" applyFont="1" applyFill="1" applyBorder="1" applyAlignment="1">
      <alignment horizontal="center" vertical="top"/>
    </xf>
    <xf numFmtId="4" fontId="8" fillId="57" borderId="19" xfId="0" applyNumberFormat="1" applyFont="1" applyFill="1" applyBorder="1" applyAlignment="1">
      <alignment horizontal="right" vertical="top"/>
    </xf>
    <xf numFmtId="174" fontId="8" fillId="57" borderId="19" xfId="0" applyNumberFormat="1" applyFont="1" applyFill="1" applyBorder="1" applyAlignment="1">
      <alignment horizontal="center"/>
    </xf>
    <xf numFmtId="0" fontId="8" fillId="57" borderId="19" xfId="0" quotePrefix="1" applyFont="1" applyFill="1" applyBorder="1" applyAlignment="1">
      <alignment horizontal="left" vertical="justify" wrapText="1"/>
    </xf>
    <xf numFmtId="43" fontId="8" fillId="57" borderId="19" xfId="805" applyFont="1" applyFill="1" applyBorder="1"/>
    <xf numFmtId="0" fontId="8" fillId="57" borderId="19" xfId="0" quotePrefix="1" applyFont="1" applyFill="1" applyBorder="1" applyAlignment="1">
      <alignment horizontal="left" vertical="top" wrapText="1"/>
    </xf>
    <xf numFmtId="1" fontId="9" fillId="57" borderId="19" xfId="0" applyNumberFormat="1" applyFont="1" applyFill="1" applyBorder="1" applyAlignment="1">
      <alignment horizontal="right"/>
    </xf>
    <xf numFmtId="193" fontId="8" fillId="57" borderId="19" xfId="0" applyNumberFormat="1" applyFont="1" applyFill="1" applyBorder="1" applyAlignment="1">
      <alignment horizontal="right"/>
    </xf>
    <xf numFmtId="1" fontId="8" fillId="57" borderId="19" xfId="0" applyNumberFormat="1" applyFont="1" applyFill="1" applyBorder="1" applyAlignment="1">
      <alignment horizontal="right"/>
    </xf>
    <xf numFmtId="193" fontId="9" fillId="57" borderId="19" xfId="0" applyNumberFormat="1" applyFont="1" applyFill="1" applyBorder="1" applyAlignment="1">
      <alignment horizontal="center" vertical="center"/>
    </xf>
    <xf numFmtId="39" fontId="9" fillId="57" borderId="19" xfId="1047" applyNumberFormat="1" applyFont="1" applyFill="1" applyBorder="1" applyAlignment="1">
      <alignment horizontal="left" vertical="top" wrapText="1"/>
    </xf>
    <xf numFmtId="39" fontId="8" fillId="57" borderId="19" xfId="805" applyNumberFormat="1" applyFont="1" applyFill="1" applyBorder="1" applyAlignment="1">
      <alignment vertical="top" wrapText="1"/>
    </xf>
    <xf numFmtId="4" fontId="8" fillId="57" borderId="19" xfId="1047" applyNumberFormat="1" applyFont="1" applyFill="1" applyBorder="1" applyAlignment="1">
      <alignment horizontal="center" vertical="top" wrapText="1"/>
    </xf>
    <xf numFmtId="4" fontId="8" fillId="57" borderId="19" xfId="1047" applyNumberFormat="1" applyFont="1" applyFill="1" applyBorder="1" applyAlignment="1" applyProtection="1">
      <alignment vertical="top" wrapText="1"/>
      <protection locked="0"/>
    </xf>
    <xf numFmtId="39" fontId="8" fillId="57" borderId="19" xfId="1047" applyNumberFormat="1" applyFont="1" applyFill="1" applyBorder="1" applyAlignment="1">
      <alignment horizontal="right" vertical="top" wrapText="1"/>
    </xf>
    <xf numFmtId="39" fontId="8" fillId="57" borderId="19" xfId="1047" applyNumberFormat="1" applyFont="1" applyFill="1" applyBorder="1" applyAlignment="1">
      <alignment vertical="top" wrapText="1"/>
    </xf>
    <xf numFmtId="37" fontId="9" fillId="57" borderId="19" xfId="1047" applyNumberFormat="1" applyFont="1" applyFill="1" applyBorder="1" applyAlignment="1">
      <alignment horizontal="right" vertical="top" wrapText="1"/>
    </xf>
    <xf numFmtId="39" fontId="9" fillId="57" borderId="19" xfId="1047" applyNumberFormat="1" applyFont="1" applyFill="1" applyBorder="1" applyAlignment="1">
      <alignment vertical="top" wrapText="1"/>
    </xf>
    <xf numFmtId="197" fontId="8" fillId="57" borderId="19" xfId="1047" applyNumberFormat="1" applyFont="1" applyFill="1" applyBorder="1" applyAlignment="1">
      <alignment horizontal="right" vertical="top" wrapText="1"/>
    </xf>
    <xf numFmtId="4" fontId="8" fillId="57" borderId="19" xfId="0" applyNumberFormat="1" applyFont="1" applyFill="1" applyBorder="1" applyAlignment="1">
      <alignment vertical="center"/>
    </xf>
    <xf numFmtId="39" fontId="8" fillId="57" borderId="19" xfId="805" applyNumberFormat="1" applyFont="1" applyFill="1" applyBorder="1" applyAlignment="1" applyProtection="1">
      <alignment vertical="top" wrapText="1"/>
      <protection locked="0"/>
    </xf>
    <xf numFmtId="4" fontId="8" fillId="57" borderId="19" xfId="1047" applyNumberFormat="1" applyFont="1" applyFill="1" applyBorder="1"/>
    <xf numFmtId="0" fontId="8" fillId="57" borderId="19" xfId="1047" applyFont="1" applyFill="1" applyBorder="1"/>
    <xf numFmtId="39" fontId="8" fillId="57" borderId="19" xfId="805" applyNumberFormat="1" applyFont="1" applyFill="1" applyBorder="1" applyAlignment="1">
      <alignment horizontal="right" vertical="top" wrapText="1"/>
    </xf>
    <xf numFmtId="4" fontId="8" fillId="57" borderId="19" xfId="0" applyNumberFormat="1" applyFont="1" applyFill="1" applyBorder="1" applyAlignment="1">
      <alignment wrapText="1"/>
    </xf>
    <xf numFmtId="39" fontId="8" fillId="57" borderId="19" xfId="805" applyNumberFormat="1" applyFont="1" applyFill="1" applyBorder="1" applyAlignment="1">
      <alignment wrapText="1"/>
    </xf>
    <xf numFmtId="4" fontId="8" fillId="57" borderId="19" xfId="1047" applyNumberFormat="1" applyFont="1" applyFill="1" applyBorder="1" applyAlignment="1">
      <alignment horizontal="center" wrapText="1"/>
    </xf>
    <xf numFmtId="4" fontId="8" fillId="57" borderId="19" xfId="1047" applyNumberFormat="1" applyFont="1" applyFill="1" applyBorder="1" applyAlignment="1" applyProtection="1">
      <alignment wrapText="1"/>
      <protection locked="0"/>
    </xf>
    <xf numFmtId="37" fontId="8" fillId="57" borderId="19" xfId="1047" applyNumberFormat="1" applyFont="1" applyFill="1" applyBorder="1" applyAlignment="1">
      <alignment horizontal="right" vertical="top" wrapText="1"/>
    </xf>
    <xf numFmtId="1" fontId="9" fillId="57" borderId="19" xfId="0" applyNumberFormat="1" applyFont="1" applyFill="1" applyBorder="1" applyAlignment="1">
      <alignment horizontal="right" vertical="center" wrapText="1"/>
    </xf>
    <xf numFmtId="39" fontId="8" fillId="57" borderId="19" xfId="805" applyNumberFormat="1" applyFont="1" applyFill="1" applyBorder="1" applyAlignment="1">
      <alignment vertical="center"/>
    </xf>
    <xf numFmtId="4" fontId="8" fillId="57" borderId="19" xfId="0" applyNumberFormat="1" applyFont="1" applyFill="1" applyBorder="1" applyAlignment="1">
      <alignment horizontal="center" vertical="center"/>
    </xf>
    <xf numFmtId="193" fontId="8" fillId="57" borderId="19" xfId="0" applyNumberFormat="1" applyFont="1" applyFill="1" applyBorder="1" applyAlignment="1">
      <alignment horizontal="right" vertical="justify" wrapText="1"/>
    </xf>
    <xf numFmtId="4" fontId="8" fillId="57" borderId="19" xfId="0" applyNumberFormat="1" applyFont="1" applyFill="1" applyBorder="1" applyAlignment="1">
      <alignment horizontal="center" wrapText="1"/>
    </xf>
    <xf numFmtId="193" fontId="8" fillId="57" borderId="19" xfId="0" applyNumberFormat="1" applyFont="1" applyFill="1" applyBorder="1" applyAlignment="1">
      <alignment horizontal="right" vertical="center" wrapText="1"/>
    </xf>
    <xf numFmtId="1" fontId="8" fillId="57" borderId="19" xfId="0" applyNumberFormat="1" applyFont="1" applyFill="1" applyBorder="1" applyAlignment="1">
      <alignment horizontal="right" vertical="center" wrapText="1"/>
    </xf>
    <xf numFmtId="197" fontId="8" fillId="57" borderId="19" xfId="1047" applyNumberFormat="1" applyFont="1" applyFill="1" applyBorder="1" applyAlignment="1" applyProtection="1">
      <alignment horizontal="right" vertical="top" wrapText="1"/>
    </xf>
    <xf numFmtId="39" fontId="8" fillId="57" borderId="19" xfId="1047" applyNumberFormat="1" applyFont="1" applyFill="1" applyBorder="1" applyAlignment="1" applyProtection="1">
      <alignment vertical="top" wrapText="1"/>
    </xf>
    <xf numFmtId="4" fontId="8" fillId="57" borderId="19" xfId="1047" applyNumberFormat="1" applyFont="1" applyFill="1" applyBorder="1" applyAlignment="1" applyProtection="1">
      <alignment horizontal="center" vertical="top" wrapText="1"/>
    </xf>
    <xf numFmtId="4" fontId="8" fillId="57" borderId="19" xfId="1047" applyNumberFormat="1" applyFont="1" applyFill="1" applyBorder="1" applyAlignment="1" applyProtection="1">
      <alignment horizontal="center" wrapText="1"/>
    </xf>
    <xf numFmtId="39" fontId="8" fillId="57" borderId="19" xfId="1047" applyNumberFormat="1" applyFont="1" applyFill="1" applyBorder="1" applyAlignment="1">
      <alignment vertical="top"/>
    </xf>
    <xf numFmtId="39" fontId="8" fillId="57" borderId="19" xfId="1047" applyNumberFormat="1" applyFont="1" applyFill="1" applyBorder="1" applyAlignment="1">
      <alignment horizontal="left" vertical="top" wrapText="1"/>
    </xf>
    <xf numFmtId="49" fontId="9" fillId="57" borderId="19" xfId="0" applyNumberFormat="1" applyFont="1" applyFill="1" applyBorder="1" applyAlignment="1">
      <alignment horizontal="center" vertical="top" wrapText="1"/>
    </xf>
    <xf numFmtId="174" fontId="8" fillId="57" borderId="19" xfId="0" applyNumberFormat="1" applyFont="1" applyFill="1" applyBorder="1" applyAlignment="1">
      <alignment horizontal="center" vertical="top" wrapText="1"/>
    </xf>
    <xf numFmtId="39" fontId="8" fillId="57" borderId="19" xfId="0" applyNumberFormat="1" applyFont="1" applyFill="1" applyBorder="1" applyAlignment="1" applyProtection="1">
      <alignment vertical="top" wrapText="1"/>
      <protection locked="0"/>
    </xf>
    <xf numFmtId="49" fontId="9" fillId="57" borderId="19" xfId="0" applyNumberFormat="1" applyFont="1" applyFill="1" applyBorder="1" applyAlignment="1">
      <alignment horizontal="left" vertical="top" wrapText="1"/>
    </xf>
    <xf numFmtId="1" fontId="8" fillId="57" borderId="19" xfId="0" applyNumberFormat="1" applyFont="1" applyFill="1" applyBorder="1" applyAlignment="1">
      <alignment horizontal="right" vertical="top" wrapText="1"/>
    </xf>
    <xf numFmtId="49" fontId="8" fillId="57" borderId="19" xfId="0" applyNumberFormat="1" applyFont="1" applyFill="1" applyBorder="1" applyAlignment="1">
      <alignment horizontal="left" vertical="top" wrapText="1"/>
    </xf>
    <xf numFmtId="1" fontId="8" fillId="57" borderId="19" xfId="0" applyNumberFormat="1" applyFont="1" applyFill="1" applyBorder="1" applyAlignment="1">
      <alignment vertical="top" wrapText="1"/>
    </xf>
    <xf numFmtId="49" fontId="8" fillId="57" borderId="19" xfId="0" applyNumberFormat="1" applyFont="1" applyFill="1" applyBorder="1" applyAlignment="1">
      <alignment vertical="top" wrapText="1"/>
    </xf>
    <xf numFmtId="193" fontId="8" fillId="57" borderId="19" xfId="0" applyNumberFormat="1" applyFont="1" applyFill="1" applyBorder="1" applyAlignment="1">
      <alignment vertical="top" wrapText="1"/>
    </xf>
    <xf numFmtId="1" fontId="9" fillId="57" borderId="19" xfId="0" applyNumberFormat="1" applyFont="1" applyFill="1" applyBorder="1" applyAlignment="1">
      <alignment vertical="top" wrapText="1"/>
    </xf>
    <xf numFmtId="49" fontId="9" fillId="57" borderId="19" xfId="0" applyNumberFormat="1" applyFont="1" applyFill="1" applyBorder="1" applyAlignment="1">
      <alignment vertical="top" wrapText="1"/>
    </xf>
    <xf numFmtId="197" fontId="8" fillId="57" borderId="19" xfId="0" applyNumberFormat="1" applyFont="1" applyFill="1" applyBorder="1" applyAlignment="1">
      <alignment horizontal="right" vertical="top" wrapText="1"/>
    </xf>
    <xf numFmtId="37" fontId="9" fillId="57" borderId="19" xfId="0" applyNumberFormat="1" applyFont="1" applyFill="1" applyBorder="1" applyAlignment="1">
      <alignment horizontal="right" vertical="top" wrapText="1"/>
    </xf>
    <xf numFmtId="193" fontId="8" fillId="57" borderId="19" xfId="0" applyNumberFormat="1" applyFont="1" applyFill="1" applyBorder="1" applyAlignment="1">
      <alignment horizontal="right" vertical="top" wrapText="1"/>
    </xf>
    <xf numFmtId="2" fontId="8" fillId="57" borderId="19" xfId="0" applyNumberFormat="1" applyFont="1" applyFill="1" applyBorder="1" applyAlignment="1">
      <alignment horizontal="right" vertical="top" wrapText="1"/>
    </xf>
    <xf numFmtId="0" fontId="8" fillId="57" borderId="19" xfId="0" applyFont="1" applyFill="1" applyBorder="1" applyAlignment="1">
      <alignment vertical="top" wrapText="1"/>
    </xf>
    <xf numFmtId="39" fontId="8" fillId="57" borderId="19" xfId="0" applyNumberFormat="1" applyFont="1" applyFill="1" applyBorder="1" applyAlignment="1" applyProtection="1">
      <alignment wrapText="1"/>
      <protection locked="0"/>
    </xf>
    <xf numFmtId="1" fontId="9" fillId="57" borderId="19" xfId="1303" applyNumberFormat="1" applyFont="1" applyFill="1" applyBorder="1" applyAlignment="1">
      <alignment horizontal="right" vertical="top"/>
    </xf>
    <xf numFmtId="39" fontId="9" fillId="57" borderId="19" xfId="0" applyNumberFormat="1" applyFont="1" applyFill="1" applyBorder="1" applyAlignment="1">
      <alignment wrapText="1"/>
    </xf>
    <xf numFmtId="4" fontId="8" fillId="57" borderId="19" xfId="805" applyNumberFormat="1" applyFont="1" applyFill="1" applyBorder="1"/>
    <xf numFmtId="193" fontId="8" fillId="57" borderId="19" xfId="1303" applyNumberFormat="1" applyFont="1" applyFill="1" applyBorder="1" applyAlignment="1">
      <alignment horizontal="right" vertical="top"/>
    </xf>
    <xf numFmtId="39" fontId="8" fillId="57" borderId="19" xfId="0" applyNumberFormat="1" applyFont="1" applyFill="1" applyBorder="1" applyAlignment="1">
      <alignment vertical="top" wrapText="1"/>
    </xf>
    <xf numFmtId="43" fontId="8" fillId="57" borderId="19" xfId="805" applyFont="1" applyFill="1" applyBorder="1" applyAlignment="1">
      <alignment horizontal="center"/>
    </xf>
    <xf numFmtId="4" fontId="8" fillId="57" borderId="19" xfId="0" applyNumberFormat="1" applyFont="1" applyFill="1" applyBorder="1" applyAlignment="1">
      <alignment horizontal="center"/>
    </xf>
    <xf numFmtId="43" fontId="8" fillId="57" borderId="19" xfId="805" applyFont="1" applyFill="1" applyBorder="1" applyAlignment="1">
      <alignment vertical="top" wrapText="1"/>
    </xf>
    <xf numFmtId="0" fontId="8" fillId="57" borderId="19" xfId="0" applyFont="1" applyFill="1" applyBorder="1" applyAlignment="1">
      <alignment horizontal="center" vertical="top" wrapText="1"/>
    </xf>
    <xf numFmtId="43" fontId="8" fillId="57" borderId="19" xfId="805" applyFont="1" applyFill="1" applyBorder="1" applyAlignment="1" applyProtection="1">
      <alignment vertical="top" wrapText="1"/>
      <protection locked="0"/>
    </xf>
    <xf numFmtId="39" fontId="8" fillId="57" borderId="19" xfId="805" applyNumberFormat="1" applyFont="1" applyFill="1" applyBorder="1" applyAlignment="1">
      <alignment horizontal="right"/>
    </xf>
    <xf numFmtId="1" fontId="9" fillId="57" borderId="19" xfId="0" applyNumberFormat="1" applyFont="1" applyFill="1" applyBorder="1" applyAlignment="1">
      <alignment horizontal="center"/>
    </xf>
    <xf numFmtId="4" fontId="8" fillId="57" borderId="19" xfId="805" applyNumberFormat="1" applyFont="1" applyFill="1" applyBorder="1" applyAlignment="1">
      <alignment horizontal="center"/>
    </xf>
    <xf numFmtId="3" fontId="8" fillId="57" borderId="19" xfId="805" applyNumberFormat="1" applyFont="1" applyFill="1" applyBorder="1"/>
    <xf numFmtId="3" fontId="9" fillId="57" borderId="19" xfId="805" applyNumberFormat="1" applyFont="1" applyFill="1" applyBorder="1"/>
    <xf numFmtId="4" fontId="9" fillId="57" borderId="19" xfId="805" applyNumberFormat="1" applyFont="1" applyFill="1" applyBorder="1"/>
    <xf numFmtId="39" fontId="9" fillId="57" borderId="19" xfId="805" applyNumberFormat="1" applyFont="1" applyFill="1" applyBorder="1"/>
    <xf numFmtId="4" fontId="9" fillId="57" borderId="19" xfId="805" applyNumberFormat="1" applyFont="1" applyFill="1" applyBorder="1" applyAlignment="1">
      <alignment horizontal="center"/>
    </xf>
    <xf numFmtId="43" fontId="9" fillId="57" borderId="19" xfId="805" applyFont="1" applyFill="1" applyBorder="1"/>
    <xf numFmtId="191" fontId="8" fillId="57" borderId="19" xfId="805" applyNumberFormat="1" applyFont="1" applyFill="1" applyBorder="1"/>
    <xf numFmtId="2" fontId="8" fillId="57" borderId="19" xfId="805" applyNumberFormat="1" applyFont="1" applyFill="1" applyBorder="1"/>
    <xf numFmtId="4" fontId="8" fillId="57" borderId="19" xfId="805" applyNumberFormat="1" applyFont="1" applyFill="1" applyBorder="1" applyAlignment="1">
      <alignment horizontal="right" vertical="top" wrapText="1"/>
    </xf>
    <xf numFmtId="4" fontId="8" fillId="57" borderId="19" xfId="805" applyNumberFormat="1" applyFont="1" applyFill="1" applyBorder="1" applyAlignment="1">
      <alignment vertical="top" wrapText="1"/>
    </xf>
    <xf numFmtId="0" fontId="45" fillId="57" borderId="19" xfId="0" applyFont="1" applyFill="1" applyBorder="1" applyAlignment="1">
      <alignment horizontal="center" vertical="top"/>
    </xf>
    <xf numFmtId="0" fontId="45" fillId="57" borderId="19" xfId="0" applyFont="1" applyFill="1" applyBorder="1" applyAlignment="1">
      <alignment horizontal="left" vertical="top"/>
    </xf>
    <xf numFmtId="0" fontId="45" fillId="57" borderId="19" xfId="0" applyFont="1" applyFill="1" applyBorder="1" applyAlignment="1">
      <alignment horizontal="right" vertical="top"/>
    </xf>
    <xf numFmtId="174" fontId="46" fillId="57" borderId="19" xfId="0" applyNumberFormat="1" applyFont="1" applyFill="1" applyBorder="1" applyAlignment="1">
      <alignment horizontal="right"/>
    </xf>
    <xf numFmtId="0" fontId="46" fillId="57" borderId="19" xfId="0" applyFont="1" applyFill="1" applyBorder="1" applyAlignment="1">
      <alignment horizontal="center"/>
    </xf>
    <xf numFmtId="0" fontId="46" fillId="57" borderId="19" xfId="0" applyFont="1" applyFill="1" applyBorder="1" applyAlignment="1">
      <alignment horizontal="right" vertical="top"/>
    </xf>
    <xf numFmtId="0" fontId="46" fillId="57" borderId="19" xfId="0" applyFont="1" applyFill="1" applyBorder="1" applyAlignment="1">
      <alignment horizontal="left" vertical="top"/>
    </xf>
    <xf numFmtId="2" fontId="46" fillId="57" borderId="19" xfId="0" applyNumberFormat="1" applyFont="1" applyFill="1" applyBorder="1" applyAlignment="1">
      <alignment horizontal="center"/>
    </xf>
    <xf numFmtId="0" fontId="46" fillId="57" borderId="19" xfId="0" applyFont="1" applyFill="1" applyBorder="1" applyAlignment="1">
      <alignment horizontal="left" vertical="top" wrapText="1"/>
    </xf>
    <xf numFmtId="2" fontId="46" fillId="57" borderId="19" xfId="0" applyNumberFormat="1" applyFont="1" applyFill="1" applyBorder="1" applyAlignment="1">
      <alignment horizontal="right" vertical="top"/>
    </xf>
    <xf numFmtId="174" fontId="45" fillId="57" borderId="19" xfId="0" applyNumberFormat="1" applyFont="1" applyFill="1" applyBorder="1" applyAlignment="1">
      <alignment horizontal="center"/>
    </xf>
    <xf numFmtId="0" fontId="45" fillId="57" borderId="19" xfId="0" applyFont="1" applyFill="1" applyBorder="1" applyAlignment="1">
      <alignment horizontal="center"/>
    </xf>
    <xf numFmtId="174" fontId="45" fillId="57" borderId="19" xfId="0" applyNumberFormat="1" applyFont="1" applyFill="1" applyBorder="1" applyAlignment="1">
      <alignment horizontal="right"/>
    </xf>
    <xf numFmtId="174" fontId="46" fillId="57" borderId="19" xfId="0" applyNumberFormat="1" applyFont="1" applyFill="1" applyBorder="1" applyAlignment="1">
      <alignment horizontal="center"/>
    </xf>
    <xf numFmtId="174" fontId="46" fillId="57" borderId="19" xfId="0" applyNumberFormat="1" applyFont="1" applyFill="1" applyBorder="1" applyAlignment="1"/>
    <xf numFmtId="174" fontId="46" fillId="57" borderId="19" xfId="0" applyNumberFormat="1" applyFont="1" applyFill="1" applyBorder="1" applyAlignment="1">
      <alignment wrapText="1"/>
    </xf>
    <xf numFmtId="0" fontId="46" fillId="57" borderId="19" xfId="0" applyFont="1" applyFill="1" applyBorder="1" applyAlignment="1">
      <alignment horizontal="center" wrapText="1"/>
    </xf>
    <xf numFmtId="174" fontId="46" fillId="57" borderId="19" xfId="0" applyNumberFormat="1" applyFont="1" applyFill="1" applyBorder="1" applyAlignment="1">
      <alignment horizontal="right" wrapText="1"/>
    </xf>
    <xf numFmtId="0" fontId="46" fillId="57" borderId="74" xfId="0" applyFont="1" applyFill="1" applyBorder="1" applyAlignment="1">
      <alignment horizontal="left" vertical="top"/>
    </xf>
    <xf numFmtId="174" fontId="46" fillId="57" borderId="74" xfId="0" applyNumberFormat="1" applyFont="1" applyFill="1" applyBorder="1" applyAlignment="1"/>
    <xf numFmtId="0" fontId="46" fillId="57" borderId="74" xfId="0" applyFont="1" applyFill="1" applyBorder="1" applyAlignment="1">
      <alignment horizontal="center"/>
    </xf>
    <xf numFmtId="174" fontId="46" fillId="57" borderId="74" xfId="0" applyNumberFormat="1" applyFont="1" applyFill="1" applyBorder="1" applyAlignment="1">
      <alignment horizontal="right"/>
    </xf>
    <xf numFmtId="1" fontId="45" fillId="57" borderId="19" xfId="0" applyNumberFormat="1" applyFont="1" applyFill="1" applyBorder="1" applyAlignment="1">
      <alignment horizontal="right" vertical="top"/>
    </xf>
    <xf numFmtId="174" fontId="45" fillId="57" borderId="19" xfId="0" applyNumberFormat="1" applyFont="1" applyFill="1" applyBorder="1" applyAlignment="1"/>
    <xf numFmtId="193" fontId="46" fillId="57" borderId="19" xfId="0" applyNumberFormat="1" applyFont="1" applyFill="1" applyBorder="1" applyAlignment="1">
      <alignment vertical="top"/>
    </xf>
    <xf numFmtId="2" fontId="46" fillId="57" borderId="19" xfId="0" applyNumberFormat="1" applyFont="1" applyFill="1" applyBorder="1" applyAlignment="1">
      <alignment vertical="top"/>
    </xf>
    <xf numFmtId="4" fontId="8" fillId="57" borderId="19" xfId="868" applyNumberFormat="1" applyFont="1" applyFill="1" applyBorder="1" applyAlignment="1" applyProtection="1">
      <alignment horizontal="right" wrapText="1"/>
    </xf>
    <xf numFmtId="4" fontId="13" fillId="57" borderId="19" xfId="868" applyNumberFormat="1" applyFont="1" applyFill="1" applyBorder="1" applyAlignment="1">
      <alignment horizontal="right" vertical="center" wrapText="1"/>
    </xf>
    <xf numFmtId="4" fontId="13" fillId="57" borderId="19" xfId="868" applyNumberFormat="1" applyFont="1" applyFill="1" applyBorder="1" applyAlignment="1">
      <alignment horizontal="right" vertical="top" wrapText="1"/>
    </xf>
    <xf numFmtId="4" fontId="8" fillId="57" borderId="19" xfId="0" applyNumberFormat="1" applyFont="1" applyFill="1" applyBorder="1" applyAlignment="1">
      <alignment horizontal="right" wrapText="1"/>
    </xf>
    <xf numFmtId="2" fontId="8" fillId="57" borderId="19" xfId="0" applyNumberFormat="1" applyFont="1" applyFill="1" applyBorder="1" applyAlignment="1">
      <alignment horizontal="right" wrapText="1"/>
    </xf>
    <xf numFmtId="4" fontId="8" fillId="57" borderId="19" xfId="0" applyNumberFormat="1" applyFont="1" applyFill="1" applyBorder="1" applyAlignment="1">
      <alignment horizontal="right" vertical="top" wrapText="1"/>
    </xf>
    <xf numFmtId="4" fontId="8" fillId="57" borderId="19" xfId="1109" applyNumberFormat="1" applyFont="1" applyFill="1" applyBorder="1" applyAlignment="1">
      <alignment horizontal="right" wrapText="1"/>
    </xf>
    <xf numFmtId="4" fontId="8" fillId="57" borderId="25" xfId="0"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xf>
    <xf numFmtId="4" fontId="8" fillId="57" borderId="19" xfId="868" applyNumberFormat="1" applyFont="1" applyFill="1" applyBorder="1" applyAlignment="1" applyProtection="1">
      <alignment horizontal="right" wrapText="1"/>
      <protection locked="0"/>
    </xf>
    <xf numFmtId="4" fontId="8" fillId="57" borderId="19" xfId="868"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protection locked="0"/>
    </xf>
    <xf numFmtId="0" fontId="8" fillId="48" borderId="19" xfId="1210" applyFont="1" applyFill="1" applyBorder="1" applyAlignment="1">
      <alignment horizontal="left" vertical="center" wrapText="1"/>
    </xf>
    <xf numFmtId="4" fontId="8" fillId="0" borderId="19" xfId="1305" applyNumberFormat="1" applyFont="1" applyFill="1" applyBorder="1" applyAlignment="1">
      <alignment horizontal="right"/>
    </xf>
    <xf numFmtId="4" fontId="8" fillId="0" borderId="19" xfId="805" applyNumberFormat="1" applyFont="1" applyFill="1" applyBorder="1" applyAlignment="1">
      <alignment horizontal="right"/>
    </xf>
    <xf numFmtId="4" fontId="8" fillId="0" borderId="19" xfId="805" applyNumberFormat="1" applyFont="1" applyFill="1" applyBorder="1" applyAlignment="1">
      <alignment horizontal="center"/>
    </xf>
    <xf numFmtId="43" fontId="8" fillId="0" borderId="19" xfId="805" applyFont="1" applyFill="1" applyBorder="1" applyAlignment="1">
      <alignment horizontal="right"/>
    </xf>
    <xf numFmtId="49" fontId="8" fillId="48" borderId="19" xfId="1305" applyNumberFormat="1" applyFont="1" applyFill="1" applyBorder="1" applyAlignment="1">
      <alignment horizontal="right" vertical="center"/>
    </xf>
    <xf numFmtId="4" fontId="8" fillId="0" borderId="19" xfId="805" applyNumberFormat="1" applyFont="1" applyFill="1" applyBorder="1" applyAlignment="1">
      <alignment horizontal="right" vertical="center"/>
    </xf>
    <xf numFmtId="43" fontId="8" fillId="0" borderId="19" xfId="805" applyFont="1" applyFill="1" applyBorder="1" applyAlignment="1">
      <alignment horizontal="right" vertical="center"/>
    </xf>
    <xf numFmtId="39" fontId="8" fillId="48" borderId="0" xfId="1305" applyFont="1" applyFill="1" applyBorder="1" applyAlignment="1">
      <alignment vertical="center"/>
    </xf>
    <xf numFmtId="0" fontId="8" fillId="0" borderId="0" xfId="0" applyFont="1" applyFill="1" applyAlignment="1">
      <alignment vertical="center"/>
    </xf>
    <xf numFmtId="4" fontId="8" fillId="0" borderId="19" xfId="1305" applyNumberFormat="1" applyFont="1" applyFill="1" applyBorder="1" applyAlignment="1">
      <alignment horizontal="center"/>
    </xf>
    <xf numFmtId="4" fontId="8" fillId="0" borderId="19" xfId="868" applyNumberFormat="1" applyFont="1" applyFill="1" applyBorder="1" applyAlignment="1" applyProtection="1">
      <alignment horizontal="right" wrapText="1"/>
      <protection locked="0"/>
    </xf>
    <xf numFmtId="4" fontId="8" fillId="0" borderId="19" xfId="0" applyNumberFormat="1" applyFont="1" applyFill="1" applyBorder="1" applyAlignment="1">
      <alignment horizontal="right" vertical="center" wrapText="1"/>
    </xf>
    <xf numFmtId="0" fontId="8" fillId="0" borderId="24" xfId="0" applyFont="1" applyBorder="1"/>
    <xf numFmtId="0" fontId="8" fillId="0" borderId="24" xfId="0" applyFont="1" applyBorder="1" applyAlignment="1">
      <alignment horizontal="center" vertical="center"/>
    </xf>
    <xf numFmtId="0" fontId="22" fillId="0" borderId="0" xfId="0" applyFont="1" applyAlignment="1">
      <alignment horizontal="center" vertical="center"/>
    </xf>
    <xf numFmtId="0" fontId="22" fillId="0" borderId="24" xfId="0" applyFont="1" applyBorder="1" applyAlignment="1">
      <alignment horizontal="center" vertical="center"/>
    </xf>
    <xf numFmtId="169" fontId="8" fillId="0" borderId="19" xfId="1306" applyNumberFormat="1" applyFill="1" applyBorder="1"/>
    <xf numFmtId="4" fontId="13" fillId="0" borderId="19" xfId="868" applyNumberFormat="1" applyFont="1" applyFill="1" applyBorder="1" applyAlignment="1">
      <alignment horizontal="center" vertical="top"/>
    </xf>
    <xf numFmtId="4" fontId="8" fillId="0" borderId="19" xfId="868" applyNumberFormat="1" applyFont="1" applyFill="1" applyBorder="1" applyAlignment="1">
      <alignment horizontal="right" vertical="top" wrapText="1"/>
    </xf>
    <xf numFmtId="4" fontId="8" fillId="0" borderId="19" xfId="0" applyNumberFormat="1" applyFont="1" applyFill="1" applyBorder="1" applyAlignment="1">
      <alignment vertical="top" wrapText="1"/>
    </xf>
    <xf numFmtId="4" fontId="8" fillId="0" borderId="19" xfId="0" applyNumberFormat="1" applyFont="1" applyFill="1" applyBorder="1" applyAlignment="1">
      <alignment horizontal="center"/>
    </xf>
    <xf numFmtId="4" fontId="8"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protection locked="0"/>
    </xf>
    <xf numFmtId="0" fontId="8" fillId="48" borderId="19" xfId="0" applyNumberFormat="1" applyFont="1" applyFill="1" applyBorder="1" applyAlignment="1">
      <alignment vertical="center"/>
    </xf>
    <xf numFmtId="0" fontId="8" fillId="48" borderId="19" xfId="0" applyFont="1" applyFill="1" applyBorder="1" applyAlignment="1">
      <alignment vertical="center" wrapText="1"/>
    </xf>
    <xf numFmtId="187" fontId="13" fillId="48" borderId="19" xfId="83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protection locked="0"/>
    </xf>
    <xf numFmtId="185" fontId="8" fillId="48" borderId="19" xfId="0" applyNumberFormat="1" applyFont="1" applyFill="1" applyBorder="1" applyAlignment="1">
      <alignment vertical="center"/>
    </xf>
    <xf numFmtId="1" fontId="8" fillId="48" borderId="19" xfId="0" applyNumberFormat="1" applyFont="1" applyFill="1" applyBorder="1" applyAlignment="1">
      <alignment vertical="center" wrapText="1"/>
    </xf>
    <xf numFmtId="4" fontId="8" fillId="0" borderId="19" xfId="0" applyNumberFormat="1" applyFont="1" applyFill="1" applyBorder="1" applyAlignment="1">
      <alignment vertical="center" wrapText="1"/>
    </xf>
    <xf numFmtId="37" fontId="13" fillId="48" borderId="19" xfId="0" applyNumberFormat="1" applyFont="1" applyFill="1" applyBorder="1" applyAlignment="1" applyProtection="1">
      <alignment vertical="center"/>
    </xf>
    <xf numFmtId="4" fontId="13" fillId="0" borderId="19" xfId="868" applyNumberFormat="1" applyFont="1" applyFill="1" applyBorder="1" applyAlignment="1">
      <alignment vertical="center" wrapText="1"/>
    </xf>
    <xf numFmtId="4" fontId="8" fillId="0" borderId="19" xfId="868" applyNumberFormat="1" applyFont="1" applyFill="1" applyBorder="1" applyAlignment="1">
      <alignment horizontal="right" vertical="center" wrapText="1"/>
    </xf>
    <xf numFmtId="0" fontId="8" fillId="49" borderId="0" xfId="992" applyFill="1" applyBorder="1" applyAlignment="1">
      <alignment wrapText="1"/>
    </xf>
    <xf numFmtId="174" fontId="8" fillId="48" borderId="19" xfId="0" applyNumberFormat="1" applyFont="1" applyFill="1" applyBorder="1" applyAlignment="1">
      <alignment horizontal="right" wrapText="1"/>
    </xf>
    <xf numFmtId="174" fontId="8" fillId="48" borderId="19" xfId="0" applyNumberFormat="1" applyFont="1" applyFill="1" applyBorder="1" applyAlignment="1">
      <alignment horizontal="center"/>
    </xf>
    <xf numFmtId="39" fontId="8" fillId="48" borderId="0" xfId="0" applyNumberFormat="1" applyFont="1" applyFill="1" applyBorder="1"/>
    <xf numFmtId="197" fontId="8" fillId="48" borderId="19" xfId="0" applyNumberFormat="1" applyFont="1" applyFill="1" applyBorder="1" applyAlignment="1">
      <alignment horizontal="right"/>
    </xf>
    <xf numFmtId="39" fontId="8" fillId="48" borderId="19" xfId="0" applyNumberFormat="1" applyFont="1" applyFill="1" applyBorder="1" applyAlignment="1">
      <alignment horizontal="left"/>
    </xf>
    <xf numFmtId="39" fontId="8" fillId="48" borderId="19" xfId="0" applyNumberFormat="1" applyFont="1" applyFill="1" applyBorder="1" applyAlignment="1">
      <alignment horizontal="right"/>
    </xf>
    <xf numFmtId="39" fontId="8" fillId="48" borderId="19" xfId="0" applyNumberFormat="1" applyFont="1" applyFill="1" applyBorder="1"/>
    <xf numFmtId="39" fontId="8" fillId="48" borderId="19" xfId="0" applyNumberFormat="1" applyFont="1" applyFill="1" applyBorder="1" applyAlignment="1">
      <alignment horizontal="right" wrapText="1"/>
    </xf>
    <xf numFmtId="1" fontId="9" fillId="48" borderId="19" xfId="0" applyNumberFormat="1" applyFont="1" applyFill="1" applyBorder="1" applyAlignment="1">
      <alignment horizontal="right" vertical="top" wrapText="1"/>
    </xf>
    <xf numFmtId="39" fontId="9" fillId="48" borderId="19" xfId="0" applyNumberFormat="1" applyFont="1" applyFill="1" applyBorder="1" applyAlignment="1">
      <alignment horizontal="left" wrapText="1"/>
    </xf>
    <xf numFmtId="37" fontId="8" fillId="48" borderId="19" xfId="0" applyNumberFormat="1" applyFont="1" applyFill="1" applyBorder="1" applyAlignment="1">
      <alignment horizontal="right"/>
    </xf>
    <xf numFmtId="37" fontId="8" fillId="48" borderId="19" xfId="0" applyNumberFormat="1" applyFont="1" applyFill="1" applyBorder="1"/>
    <xf numFmtId="1" fontId="8" fillId="48" borderId="19" xfId="0" applyNumberFormat="1" applyFont="1" applyFill="1" applyBorder="1" applyAlignment="1">
      <alignment horizontal="right"/>
    </xf>
    <xf numFmtId="0" fontId="13" fillId="48" borderId="19" xfId="0" applyFont="1" applyFill="1" applyBorder="1" applyAlignment="1">
      <alignment horizontal="right" vertical="top" wrapText="1"/>
    </xf>
    <xf numFmtId="0" fontId="13" fillId="48" borderId="19" xfId="0" applyNumberFormat="1" applyFont="1" applyFill="1" applyBorder="1" applyAlignment="1">
      <alignment vertical="top" wrapText="1"/>
    </xf>
    <xf numFmtId="4" fontId="13" fillId="48" borderId="19" xfId="0" applyNumberFormat="1" applyFont="1" applyFill="1" applyBorder="1" applyAlignment="1">
      <alignment horizontal="right" wrapText="1"/>
    </xf>
    <xf numFmtId="169" fontId="13" fillId="48" borderId="19" xfId="0" applyNumberFormat="1" applyFont="1" applyFill="1" applyBorder="1" applyAlignment="1">
      <alignment horizontal="center" wrapText="1"/>
    </xf>
    <xf numFmtId="0" fontId="0" fillId="48" borderId="0" xfId="0" applyFill="1" applyBorder="1" applyAlignment="1">
      <alignment wrapText="1"/>
    </xf>
    <xf numFmtId="0" fontId="22" fillId="48" borderId="0" xfId="1295" applyFont="1" applyFill="1" applyBorder="1" applyAlignment="1">
      <alignment horizontal="center"/>
    </xf>
    <xf numFmtId="0" fontId="8" fillId="48" borderId="0" xfId="972" applyFill="1"/>
    <xf numFmtId="43" fontId="10" fillId="48" borderId="24" xfId="462" applyFont="1" applyFill="1" applyBorder="1" applyAlignment="1">
      <alignment horizontal="centerContinuous"/>
    </xf>
    <xf numFmtId="4" fontId="50" fillId="48" borderId="24" xfId="924" applyNumberFormat="1" applyFont="1" applyFill="1" applyBorder="1"/>
    <xf numFmtId="43" fontId="10" fillId="48" borderId="24" xfId="462" applyFont="1" applyFill="1" applyBorder="1"/>
    <xf numFmtId="0" fontId="10" fillId="48" borderId="0" xfId="1295" applyFont="1" applyFill="1" applyBorder="1"/>
    <xf numFmtId="0" fontId="44" fillId="48" borderId="0" xfId="1295" quotePrefix="1" applyFont="1" applyFill="1" applyBorder="1" applyAlignment="1">
      <alignment horizontal="left"/>
    </xf>
    <xf numFmtId="0" fontId="10" fillId="48" borderId="24" xfId="1295" applyFont="1" applyFill="1" applyBorder="1"/>
    <xf numFmtId="39" fontId="10" fillId="48" borderId="24" xfId="1295" applyNumberFormat="1" applyFont="1" applyFill="1" applyBorder="1"/>
    <xf numFmtId="39" fontId="44" fillId="48" borderId="24" xfId="1295" quotePrefix="1" applyNumberFormat="1" applyFont="1" applyFill="1" applyBorder="1" applyAlignment="1">
      <alignment horizontal="left"/>
    </xf>
    <xf numFmtId="39" fontId="44" fillId="48" borderId="24" xfId="1295" applyNumberFormat="1" applyFont="1" applyFill="1" applyBorder="1"/>
    <xf numFmtId="43" fontId="10" fillId="48" borderId="0" xfId="1295" applyNumberFormat="1" applyFont="1" applyFill="1" applyBorder="1"/>
    <xf numFmtId="39" fontId="10" fillId="48" borderId="0" xfId="1295" applyNumberFormat="1" applyFont="1" applyFill="1" applyBorder="1"/>
    <xf numFmtId="39" fontId="44" fillId="48" borderId="0" xfId="1295" applyNumberFormat="1" applyFont="1" applyFill="1" applyBorder="1" applyAlignment="1">
      <alignment horizontal="right"/>
    </xf>
    <xf numFmtId="0" fontId="44" fillId="48" borderId="24" xfId="1295" quotePrefix="1" applyFont="1" applyFill="1" applyBorder="1" applyAlignment="1">
      <alignment horizontal="left"/>
    </xf>
    <xf numFmtId="2" fontId="10" fillId="48" borderId="24" xfId="1295" applyNumberFormat="1" applyFont="1" applyFill="1" applyBorder="1"/>
    <xf numFmtId="0" fontId="44" fillId="48" borderId="24" xfId="1295" applyFont="1" applyFill="1" applyBorder="1" applyAlignment="1">
      <alignment horizontal="right"/>
    </xf>
    <xf numFmtId="39" fontId="44" fillId="48" borderId="24" xfId="1295" applyNumberFormat="1" applyFont="1" applyFill="1" applyBorder="1" applyAlignment="1">
      <alignment horizontal="right"/>
    </xf>
    <xf numFmtId="0" fontId="44" fillId="48" borderId="0" xfId="1295" applyFont="1" applyFill="1" applyBorder="1" applyAlignment="1">
      <alignment horizontal="right"/>
    </xf>
    <xf numFmtId="0" fontId="44" fillId="48" borderId="0" xfId="1295" applyFont="1" applyFill="1" applyBorder="1"/>
    <xf numFmtId="2" fontId="44" fillId="48" borderId="24" xfId="1295" applyNumberFormat="1" applyFont="1" applyFill="1" applyBorder="1" applyAlignment="1">
      <alignment horizontal="right"/>
    </xf>
    <xf numFmtId="2" fontId="44" fillId="48" borderId="0" xfId="1295" applyNumberFormat="1" applyFont="1" applyFill="1" applyBorder="1" applyAlignment="1">
      <alignment horizontal="right"/>
    </xf>
    <xf numFmtId="2" fontId="44" fillId="48" borderId="0" xfId="1295" applyNumberFormat="1" applyFont="1" applyFill="1" applyBorder="1"/>
    <xf numFmtId="2" fontId="44" fillId="48" borderId="0" xfId="1295" applyNumberFormat="1" applyFont="1" applyFill="1" applyBorder="1" applyAlignment="1">
      <alignment horizontal="left"/>
    </xf>
    <xf numFmtId="198" fontId="10" fillId="48" borderId="24" xfId="1295" applyNumberFormat="1" applyFont="1" applyFill="1" applyBorder="1"/>
    <xf numFmtId="0" fontId="30" fillId="48" borderId="0" xfId="1295" applyFont="1" applyFill="1" applyBorder="1"/>
    <xf numFmtId="0" fontId="29" fillId="48" borderId="0" xfId="1295" applyFont="1" applyFill="1" applyBorder="1"/>
    <xf numFmtId="39" fontId="30" fillId="48" borderId="0" xfId="1295" quotePrefix="1" applyNumberFormat="1" applyFont="1" applyFill="1" applyBorder="1" applyAlignment="1">
      <alignment horizontal="left"/>
    </xf>
    <xf numFmtId="4" fontId="29" fillId="48" borderId="0" xfId="1295" applyNumberFormat="1" applyFont="1" applyFill="1" applyBorder="1" applyAlignment="1">
      <alignment horizontal="right"/>
    </xf>
    <xf numFmtId="0" fontId="10" fillId="48" borderId="24" xfId="1295" quotePrefix="1" applyFont="1" applyFill="1" applyBorder="1" applyAlignment="1">
      <alignment horizontal="left"/>
    </xf>
    <xf numFmtId="0" fontId="23" fillId="48" borderId="0" xfId="1295" applyFont="1" applyFill="1" applyBorder="1" applyAlignment="1">
      <alignment horizontal="centerContinuous"/>
    </xf>
    <xf numFmtId="0" fontId="51" fillId="48" borderId="0" xfId="1295" applyFont="1" applyFill="1" applyBorder="1" applyAlignment="1">
      <alignment horizontal="centerContinuous"/>
    </xf>
    <xf numFmtId="175" fontId="10" fillId="48" borderId="0" xfId="1295" applyNumberFormat="1" applyFont="1" applyFill="1" applyBorder="1"/>
    <xf numFmtId="2" fontId="10" fillId="48" borderId="0" xfId="1295" applyNumberFormat="1" applyFont="1" applyFill="1" applyBorder="1"/>
    <xf numFmtId="43" fontId="44" fillId="48" borderId="24" xfId="462" applyFont="1" applyFill="1" applyBorder="1" applyAlignment="1">
      <alignment horizontal="right"/>
    </xf>
    <xf numFmtId="0" fontId="32" fillId="48" borderId="0" xfId="1050" applyFont="1" applyFill="1" applyBorder="1"/>
    <xf numFmtId="0" fontId="33" fillId="48" borderId="0" xfId="1050" applyFont="1" applyFill="1" applyBorder="1"/>
    <xf numFmtId="0" fontId="44" fillId="48" borderId="0" xfId="1297" applyFont="1" applyFill="1" applyBorder="1" applyAlignment="1">
      <alignment horizontal="center" vertical="center"/>
    </xf>
    <xf numFmtId="43" fontId="10" fillId="48" borderId="0" xfId="924" applyNumberFormat="1" applyFont="1" applyFill="1" applyBorder="1" applyAlignment="1">
      <alignment horizontal="right" vertical="center"/>
    </xf>
    <xf numFmtId="43" fontId="44" fillId="48" borderId="0" xfId="924" applyNumberFormat="1" applyFont="1" applyFill="1" applyBorder="1" applyAlignment="1" applyProtection="1">
      <alignment horizontal="right" vertical="center"/>
    </xf>
    <xf numFmtId="43" fontId="44" fillId="48" borderId="0" xfId="924" applyNumberFormat="1" applyFont="1" applyFill="1" applyBorder="1"/>
    <xf numFmtId="169" fontId="8" fillId="48" borderId="0" xfId="972" applyNumberFormat="1" applyFill="1"/>
    <xf numFmtId="0" fontId="34" fillId="48" borderId="0" xfId="1295" applyFont="1" applyFill="1"/>
    <xf numFmtId="39" fontId="34" fillId="48" borderId="0" xfId="1295" applyNumberFormat="1" applyFont="1" applyFill="1"/>
    <xf numFmtId="0" fontId="34" fillId="48" borderId="39" xfId="1295" applyFont="1" applyFill="1" applyBorder="1"/>
    <xf numFmtId="0" fontId="34" fillId="48" borderId="40" xfId="1295" applyFont="1" applyFill="1" applyBorder="1" applyAlignment="1">
      <alignment horizontal="centerContinuous"/>
    </xf>
    <xf numFmtId="43" fontId="34" fillId="48" borderId="40" xfId="462" applyFont="1" applyFill="1" applyBorder="1"/>
    <xf numFmtId="2" fontId="34" fillId="48" borderId="41" xfId="1295" applyNumberFormat="1" applyFont="1" applyFill="1" applyBorder="1"/>
    <xf numFmtId="0" fontId="9" fillId="48" borderId="0" xfId="1295" applyFont="1" applyFill="1"/>
    <xf numFmtId="4" fontId="8" fillId="48" borderId="0" xfId="972" applyNumberFormat="1" applyFont="1" applyFill="1" applyBorder="1" applyAlignment="1">
      <alignment horizontal="right"/>
    </xf>
    <xf numFmtId="4" fontId="9" fillId="48" borderId="0" xfId="972" applyNumberFormat="1" applyFont="1" applyFill="1" applyBorder="1" applyAlignment="1">
      <alignment horizontal="center"/>
    </xf>
    <xf numFmtId="169" fontId="9" fillId="48" borderId="0" xfId="741" applyNumberFormat="1" applyFont="1" applyFill="1" applyBorder="1" applyAlignment="1">
      <alignment horizontal="center"/>
    </xf>
    <xf numFmtId="0" fontId="9" fillId="48" borderId="19" xfId="972" applyFont="1" applyFill="1" applyBorder="1" applyAlignment="1">
      <alignment vertical="center" wrapText="1"/>
    </xf>
    <xf numFmtId="0" fontId="8" fillId="48" borderId="0" xfId="1295" applyFont="1" applyFill="1"/>
    <xf numFmtId="39" fontId="8" fillId="48" borderId="19" xfId="972" applyNumberFormat="1" applyFont="1" applyFill="1" applyBorder="1" applyAlignment="1">
      <alignment horizontal="left"/>
    </xf>
    <xf numFmtId="0" fontId="8" fillId="48" borderId="75" xfId="1295" applyFont="1" applyFill="1" applyBorder="1"/>
    <xf numFmtId="0" fontId="8" fillId="48" borderId="73" xfId="1295" applyFont="1" applyFill="1" applyBorder="1" applyAlignment="1">
      <alignment horizontal="centerContinuous"/>
    </xf>
    <xf numFmtId="39" fontId="8" fillId="48" borderId="73" xfId="1295" applyNumberFormat="1" applyFont="1" applyFill="1" applyBorder="1"/>
    <xf numFmtId="39" fontId="8" fillId="48" borderId="65" xfId="1295" applyNumberFormat="1" applyFont="1" applyFill="1" applyBorder="1"/>
    <xf numFmtId="0" fontId="8" fillId="48" borderId="60" xfId="1295" applyFont="1" applyFill="1" applyBorder="1"/>
    <xf numFmtId="0" fontId="8" fillId="48" borderId="19" xfId="1295" applyFont="1" applyFill="1" applyBorder="1" applyAlignment="1">
      <alignment horizontal="centerContinuous"/>
    </xf>
    <xf numFmtId="39" fontId="8" fillId="48" borderId="19" xfId="1295" applyNumberFormat="1" applyFont="1" applyFill="1" applyBorder="1"/>
    <xf numFmtId="39" fontId="8" fillId="48" borderId="61" xfId="1295" applyNumberFormat="1" applyFont="1" applyFill="1" applyBorder="1"/>
    <xf numFmtId="0" fontId="8" fillId="48" borderId="62" xfId="1295" applyFont="1" applyFill="1" applyBorder="1"/>
    <xf numFmtId="0" fontId="8" fillId="48" borderId="63" xfId="1295" applyFont="1" applyFill="1" applyBorder="1"/>
    <xf numFmtId="0" fontId="9" fillId="48" borderId="63" xfId="1295" applyFont="1" applyFill="1" applyBorder="1" applyAlignment="1">
      <alignment horizontal="right"/>
    </xf>
    <xf numFmtId="39" fontId="9" fillId="48" borderId="76" xfId="1295" applyNumberFormat="1" applyFont="1" applyFill="1" applyBorder="1" applyAlignment="1">
      <alignment horizontal="right"/>
    </xf>
    <xf numFmtId="0" fontId="8" fillId="48" borderId="0" xfId="1295" applyFont="1" applyFill="1" applyBorder="1"/>
    <xf numFmtId="0" fontId="9" fillId="48" borderId="0" xfId="1295" applyFont="1" applyFill="1" applyBorder="1" applyAlignment="1">
      <alignment horizontal="right"/>
    </xf>
    <xf numFmtId="39" fontId="9" fillId="48" borderId="0" xfId="1295" applyNumberFormat="1" applyFont="1" applyFill="1" applyBorder="1" applyAlignment="1">
      <alignment horizontal="right"/>
    </xf>
    <xf numFmtId="0" fontId="8" fillId="48" borderId="19" xfId="1295" applyFont="1" applyFill="1" applyBorder="1" applyAlignment="1">
      <alignment horizontal="center"/>
    </xf>
    <xf numFmtId="39" fontId="9" fillId="50" borderId="19" xfId="972" applyNumberFormat="1" applyFont="1" applyFill="1" applyBorder="1" applyAlignment="1">
      <alignment wrapText="1"/>
    </xf>
    <xf numFmtId="39" fontId="9" fillId="50" borderId="19" xfId="972" applyNumberFormat="1" applyFont="1" applyFill="1" applyBorder="1" applyAlignment="1">
      <alignment horizontal="left"/>
    </xf>
    <xf numFmtId="39" fontId="14" fillId="50" borderId="19" xfId="972" applyNumberFormat="1" applyFont="1" applyFill="1" applyBorder="1" applyAlignment="1">
      <alignment horizontal="left"/>
    </xf>
    <xf numFmtId="0" fontId="8" fillId="48" borderId="78" xfId="1295" applyFont="1" applyFill="1" applyBorder="1"/>
    <xf numFmtId="0" fontId="54" fillId="48" borderId="0" xfId="972" applyFont="1" applyFill="1" applyAlignment="1">
      <alignment horizontal="center"/>
    </xf>
    <xf numFmtId="0" fontId="32" fillId="48" borderId="0" xfId="972" applyFont="1" applyFill="1" applyAlignment="1">
      <alignment horizontal="right"/>
    </xf>
    <xf numFmtId="0" fontId="32" fillId="48" borderId="0" xfId="972" applyFont="1" applyFill="1"/>
    <xf numFmtId="0" fontId="33" fillId="48" borderId="0" xfId="972" applyFont="1" applyFill="1"/>
    <xf numFmtId="0" fontId="32" fillId="48" borderId="0" xfId="972" applyFont="1" applyFill="1" applyAlignment="1">
      <alignment horizontal="left"/>
    </xf>
    <xf numFmtId="0" fontId="33" fillId="48" borderId="39" xfId="972" applyFont="1" applyFill="1" applyBorder="1"/>
    <xf numFmtId="0" fontId="33" fillId="48" borderId="40" xfId="972" applyFont="1" applyFill="1" applyBorder="1" applyAlignment="1">
      <alignment horizontal="centerContinuous"/>
    </xf>
    <xf numFmtId="39" fontId="10" fillId="48" borderId="40" xfId="1295" applyNumberFormat="1" applyFont="1" applyFill="1" applyBorder="1"/>
    <xf numFmtId="39" fontId="33" fillId="48" borderId="41" xfId="972" applyNumberFormat="1" applyFont="1" applyFill="1" applyBorder="1"/>
    <xf numFmtId="0" fontId="33" fillId="48" borderId="0" xfId="972" applyFont="1" applyFill="1" applyBorder="1"/>
    <xf numFmtId="0" fontId="32" fillId="48" borderId="53" xfId="972" applyFont="1" applyFill="1" applyBorder="1" applyAlignment="1">
      <alignment horizontal="right"/>
    </xf>
    <xf numFmtId="39" fontId="32" fillId="48" borderId="54" xfId="972" applyNumberFormat="1" applyFont="1" applyFill="1" applyBorder="1" applyAlignment="1">
      <alignment horizontal="right"/>
    </xf>
    <xf numFmtId="4" fontId="34" fillId="48" borderId="40" xfId="972" applyNumberFormat="1" applyFont="1" applyFill="1" applyBorder="1" applyAlignment="1" applyProtection="1">
      <alignment horizontal="right" vertical="center"/>
    </xf>
    <xf numFmtId="0" fontId="33" fillId="48" borderId="48" xfId="972" applyFont="1" applyFill="1" applyBorder="1"/>
    <xf numFmtId="0" fontId="33" fillId="48" borderId="25" xfId="972" applyFont="1" applyFill="1" applyBorder="1" applyAlignment="1">
      <alignment horizontal="centerContinuous"/>
    </xf>
    <xf numFmtId="39" fontId="10" fillId="48" borderId="25" xfId="1295" applyNumberFormat="1" applyFont="1" applyFill="1" applyBorder="1"/>
    <xf numFmtId="0" fontId="33" fillId="48" borderId="55" xfId="972" applyFont="1" applyFill="1" applyBorder="1"/>
    <xf numFmtId="0" fontId="33" fillId="48" borderId="56" xfId="972" applyFont="1" applyFill="1" applyBorder="1"/>
    <xf numFmtId="0" fontId="32" fillId="48" borderId="0" xfId="972" applyFont="1" applyFill="1" applyBorder="1" applyAlignment="1"/>
    <xf numFmtId="0" fontId="32" fillId="48" borderId="55" xfId="972" applyFont="1" applyFill="1" applyBorder="1" applyAlignment="1"/>
    <xf numFmtId="39" fontId="32" fillId="48" borderId="55" xfId="972" applyNumberFormat="1" applyFont="1" applyFill="1" applyBorder="1" applyAlignment="1">
      <alignment horizontal="right"/>
    </xf>
    <xf numFmtId="39" fontId="32" fillId="48" borderId="57" xfId="972" applyNumberFormat="1" applyFont="1" applyFill="1" applyBorder="1" applyAlignment="1">
      <alignment horizontal="right"/>
    </xf>
    <xf numFmtId="0" fontId="10" fillId="48" borderId="0" xfId="1295" applyFont="1" applyFill="1"/>
    <xf numFmtId="0" fontId="8" fillId="48" borderId="79" xfId="972" applyFont="1" applyFill="1" applyBorder="1"/>
    <xf numFmtId="0" fontId="8" fillId="48" borderId="80" xfId="972" applyFont="1" applyFill="1" applyBorder="1"/>
    <xf numFmtId="0" fontId="8" fillId="48" borderId="55" xfId="972" applyFont="1" applyFill="1" applyBorder="1"/>
    <xf numFmtId="170" fontId="9" fillId="48" borderId="55" xfId="972" applyNumberFormat="1" applyFont="1" applyFill="1" applyBorder="1"/>
    <xf numFmtId="0" fontId="8" fillId="48" borderId="0" xfId="972" applyFont="1" applyFill="1" applyBorder="1" applyAlignment="1">
      <alignment horizontal="right"/>
    </xf>
    <xf numFmtId="2" fontId="8" fillId="48" borderId="0" xfId="972" applyNumberFormat="1" applyFont="1" applyFill="1"/>
    <xf numFmtId="0" fontId="8" fillId="48" borderId="0" xfId="972" applyFont="1" applyFill="1"/>
    <xf numFmtId="0" fontId="8" fillId="48" borderId="33" xfId="972" applyFont="1" applyFill="1" applyBorder="1"/>
    <xf numFmtId="0" fontId="8" fillId="48" borderId="28" xfId="972" applyFont="1" applyFill="1" applyBorder="1"/>
    <xf numFmtId="170" fontId="9" fillId="48" borderId="27" xfId="972" applyNumberFormat="1" applyFont="1" applyFill="1" applyBorder="1"/>
    <xf numFmtId="0" fontId="44" fillId="48" borderId="0" xfId="1295" applyFont="1" applyFill="1" applyAlignment="1">
      <alignment horizontal="right"/>
    </xf>
    <xf numFmtId="0" fontId="44" fillId="48" borderId="0" xfId="1295" applyFont="1" applyFill="1"/>
    <xf numFmtId="0" fontId="53" fillId="48" borderId="0" xfId="1294" applyFont="1" applyFill="1"/>
    <xf numFmtId="0" fontId="31" fillId="50" borderId="0" xfId="1050" applyFont="1" applyFill="1" applyAlignment="1">
      <alignment horizontal="center"/>
    </xf>
    <xf numFmtId="2" fontId="32" fillId="50" borderId="0" xfId="1050" applyNumberFormat="1" applyFont="1" applyFill="1" applyAlignment="1">
      <alignment horizontal="center"/>
    </xf>
    <xf numFmtId="0" fontId="32" fillId="50" borderId="0" xfId="1050" applyFont="1" applyFill="1"/>
    <xf numFmtId="0" fontId="33" fillId="50" borderId="0" xfId="1050" applyFont="1" applyFill="1"/>
    <xf numFmtId="2" fontId="32" fillId="48" borderId="0" xfId="1050" applyNumberFormat="1" applyFont="1" applyFill="1" applyAlignment="1">
      <alignment horizontal="center"/>
    </xf>
    <xf numFmtId="0" fontId="32" fillId="48" borderId="0" xfId="1050" applyFont="1" applyFill="1"/>
    <xf numFmtId="0" fontId="33" fillId="48" borderId="0" xfId="1050" applyFont="1" applyFill="1"/>
    <xf numFmtId="174" fontId="8" fillId="50" borderId="19" xfId="0" applyNumberFormat="1" applyFont="1" applyFill="1" applyBorder="1" applyAlignment="1">
      <alignment horizontal="center"/>
    </xf>
    <xf numFmtId="0" fontId="8" fillId="48" borderId="19" xfId="0" applyNumberFormat="1" applyFont="1" applyFill="1" applyBorder="1" applyAlignment="1">
      <alignment horizontal="left" vertical="center" wrapText="1"/>
    </xf>
    <xf numFmtId="188" fontId="13" fillId="48" borderId="19" xfId="838" applyNumberFormat="1" applyFont="1" applyFill="1" applyBorder="1" applyAlignment="1" applyProtection="1">
      <alignment horizontal="right" vertical="center"/>
    </xf>
    <xf numFmtId="43" fontId="10" fillId="58" borderId="24" xfId="462" applyFont="1" applyFill="1" applyBorder="1"/>
    <xf numFmtId="185" fontId="8" fillId="0" borderId="19" xfId="1281" applyNumberFormat="1" applyFont="1" applyFill="1" applyBorder="1" applyAlignment="1" applyProtection="1">
      <alignment horizontal="right" vertical="center"/>
    </xf>
    <xf numFmtId="0" fontId="8" fillId="0" borderId="19" xfId="0" applyNumberFormat="1" applyFont="1" applyFill="1" applyBorder="1" applyAlignment="1">
      <alignment horizontal="left" vertical="center" wrapText="1"/>
    </xf>
    <xf numFmtId="4" fontId="8" fillId="0" borderId="19" xfId="0" applyNumberFormat="1" applyFont="1" applyFill="1" applyBorder="1" applyAlignment="1">
      <alignment horizontal="center" vertical="center"/>
    </xf>
    <xf numFmtId="4" fontId="8" fillId="0" borderId="19" xfId="868" applyNumberFormat="1" applyFont="1" applyFill="1" applyBorder="1" applyAlignment="1" applyProtection="1">
      <alignment horizontal="right" vertical="center" wrapText="1"/>
      <protection locked="0"/>
    </xf>
    <xf numFmtId="169" fontId="9" fillId="0" borderId="0" xfId="699" applyFont="1" applyFill="1" applyAlignment="1">
      <alignment wrapText="1"/>
    </xf>
    <xf numFmtId="169" fontId="9" fillId="0" borderId="0" xfId="699" applyFont="1" applyFill="1" applyAlignment="1">
      <alignment vertical="top" wrapText="1"/>
    </xf>
    <xf numFmtId="200" fontId="9" fillId="0" borderId="0" xfId="0" applyNumberFormat="1" applyFont="1" applyFill="1" applyAlignment="1">
      <alignment vertical="top" wrapText="1"/>
    </xf>
    <xf numFmtId="185" fontId="8" fillId="0" borderId="19" xfId="0" applyNumberFormat="1" applyFont="1" applyFill="1" applyBorder="1" applyAlignment="1">
      <alignment horizontal="right" vertical="justify" wrapText="1"/>
    </xf>
    <xf numFmtId="0" fontId="8" fillId="0" borderId="19" xfId="0" applyNumberFormat="1" applyFont="1" applyFill="1" applyBorder="1" applyAlignment="1">
      <alignment horizontal="left"/>
    </xf>
    <xf numFmtId="0" fontId="8" fillId="0" borderId="19" xfId="0" applyNumberFormat="1" applyFont="1" applyFill="1" applyBorder="1" applyAlignment="1">
      <alignment horizontal="left" vertical="top" wrapText="1"/>
    </xf>
    <xf numFmtId="185" fontId="8" fillId="0" borderId="19" xfId="1281" applyNumberFormat="1" applyFont="1" applyFill="1" applyBorder="1" applyAlignment="1" applyProtection="1">
      <alignment horizontal="right" vertical="top"/>
    </xf>
    <xf numFmtId="4" fontId="8" fillId="50" borderId="19" xfId="0" applyNumberFormat="1" applyFont="1" applyFill="1" applyBorder="1" applyAlignment="1">
      <alignment wrapText="1"/>
    </xf>
    <xf numFmtId="4" fontId="8" fillId="0" borderId="19" xfId="0" applyNumberFormat="1" applyFont="1" applyFill="1" applyBorder="1" applyAlignment="1">
      <alignment horizontal="right" wrapText="1"/>
    </xf>
    <xf numFmtId="0" fontId="8" fillId="0" borderId="19" xfId="1241" applyFont="1" applyFill="1" applyBorder="1" applyAlignment="1">
      <alignment horizontal="left" vertical="center" wrapText="1"/>
    </xf>
    <xf numFmtId="185" fontId="13" fillId="0" borderId="19" xfId="0" applyNumberFormat="1" applyFont="1" applyFill="1" applyBorder="1" applyAlignment="1" applyProtection="1">
      <alignment horizontal="right" vertical="center"/>
    </xf>
    <xf numFmtId="0" fontId="8" fillId="0" borderId="19" xfId="0" applyNumberFormat="1" applyFont="1" applyFill="1" applyBorder="1" applyAlignment="1">
      <alignment vertical="center" wrapText="1"/>
    </xf>
    <xf numFmtId="4" fontId="8" fillId="0" borderId="19" xfId="0" applyNumberFormat="1" applyFont="1" applyFill="1" applyBorder="1" applyAlignment="1">
      <alignment horizontal="center" vertical="center" wrapText="1"/>
    </xf>
    <xf numFmtId="4" fontId="8" fillId="0" borderId="0" xfId="0" applyNumberFormat="1" applyFont="1" applyFill="1" applyBorder="1" applyAlignment="1">
      <alignment vertical="center" wrapText="1"/>
    </xf>
    <xf numFmtId="185" fontId="13" fillId="0" borderId="19" xfId="0" applyNumberFormat="1" applyFont="1" applyFill="1" applyBorder="1" applyAlignment="1" applyProtection="1">
      <alignment horizontal="right" vertical="top"/>
    </xf>
    <xf numFmtId="4" fontId="8" fillId="0" borderId="19" xfId="0" applyNumberFormat="1" applyFont="1" applyFill="1" applyBorder="1" applyAlignment="1">
      <alignment horizontal="center" wrapText="1"/>
    </xf>
    <xf numFmtId="4" fontId="8" fillId="0" borderId="0" xfId="0" applyNumberFormat="1" applyFont="1" applyFill="1" applyBorder="1" applyAlignment="1">
      <alignment wrapText="1"/>
    </xf>
    <xf numFmtId="0" fontId="32" fillId="48" borderId="0" xfId="972" applyFont="1" applyFill="1" applyBorder="1" applyAlignment="1">
      <alignment horizontal="center"/>
    </xf>
    <xf numFmtId="39" fontId="32" fillId="48" borderId="0" xfId="972" applyNumberFormat="1" applyFont="1" applyFill="1" applyBorder="1" applyAlignment="1">
      <alignment horizontal="right"/>
    </xf>
    <xf numFmtId="4" fontId="10" fillId="48" borderId="40" xfId="972" applyNumberFormat="1" applyFont="1" applyFill="1" applyBorder="1" applyAlignment="1" applyProtection="1">
      <alignment horizontal="right" vertical="center"/>
    </xf>
    <xf numFmtId="39" fontId="10" fillId="48" borderId="25" xfId="1295" applyNumberFormat="1" applyFont="1" applyFill="1" applyBorder="1" applyAlignment="1">
      <alignment horizontal="right" vertical="center"/>
    </xf>
    <xf numFmtId="4" fontId="10" fillId="48" borderId="25" xfId="972" applyNumberFormat="1" applyFont="1" applyFill="1" applyBorder="1" applyAlignment="1" applyProtection="1">
      <alignment horizontal="right" vertical="center"/>
    </xf>
    <xf numFmtId="39" fontId="33" fillId="48" borderId="72" xfId="972" applyNumberFormat="1" applyFont="1" applyFill="1" applyBorder="1"/>
    <xf numFmtId="0" fontId="33" fillId="48" borderId="39" xfId="972" applyFont="1" applyFill="1" applyBorder="1" applyAlignment="1">
      <alignment vertical="center" wrapText="1"/>
    </xf>
    <xf numFmtId="2" fontId="33" fillId="48" borderId="40" xfId="972" applyNumberFormat="1" applyFont="1" applyFill="1" applyBorder="1" applyAlignment="1">
      <alignment vertical="center"/>
    </xf>
    <xf numFmtId="0" fontId="33" fillId="48" borderId="40" xfId="972" applyFont="1" applyFill="1" applyBorder="1" applyAlignment="1">
      <alignment horizontal="center" vertical="center"/>
    </xf>
    <xf numFmtId="39" fontId="33" fillId="48" borderId="41" xfId="972" applyNumberFormat="1" applyFont="1" applyFill="1" applyBorder="1" applyAlignment="1">
      <alignment vertical="center"/>
    </xf>
    <xf numFmtId="0" fontId="8" fillId="48" borderId="0" xfId="972" applyFill="1" applyAlignment="1">
      <alignment vertical="center"/>
    </xf>
    <xf numFmtId="0" fontId="8" fillId="0" borderId="74" xfId="0" applyFont="1" applyFill="1" applyBorder="1" applyAlignment="1">
      <alignment horizontal="right" wrapText="1"/>
    </xf>
    <xf numFmtId="4" fontId="8" fillId="50" borderId="19" xfId="868" applyNumberFormat="1" applyFont="1" applyFill="1" applyBorder="1" applyAlignment="1" applyProtection="1">
      <alignment horizontal="right" vertical="center" wrapText="1"/>
    </xf>
    <xf numFmtId="187" fontId="13" fillId="0" borderId="19" xfId="838" applyNumberFormat="1" applyFont="1" applyFill="1" applyBorder="1" applyAlignment="1" applyProtection="1">
      <alignment horizontal="right" vertical="top" wrapText="1"/>
    </xf>
    <xf numFmtId="37" fontId="14" fillId="0" borderId="19" xfId="0" applyNumberFormat="1" applyFont="1" applyFill="1" applyBorder="1" applyAlignment="1" applyProtection="1">
      <alignment horizontal="right" vertical="center"/>
    </xf>
    <xf numFmtId="0" fontId="9" fillId="0" borderId="19" xfId="0" applyFont="1" applyFill="1" applyBorder="1" applyAlignment="1">
      <alignment vertical="center" wrapText="1"/>
    </xf>
    <xf numFmtId="49" fontId="8" fillId="50" borderId="19" xfId="1305" applyNumberFormat="1" applyFont="1" applyFill="1" applyBorder="1" applyAlignment="1">
      <alignment horizontal="right" vertical="top"/>
    </xf>
    <xf numFmtId="174" fontId="8" fillId="0" borderId="19" xfId="0" applyNumberFormat="1" applyFont="1" applyFill="1" applyBorder="1" applyAlignment="1">
      <alignment horizontal="right" wrapText="1"/>
    </xf>
    <xf numFmtId="174" fontId="8" fillId="0" borderId="19" xfId="0" applyNumberFormat="1" applyFont="1" applyFill="1" applyBorder="1" applyAlignment="1">
      <alignment horizontal="center"/>
    </xf>
    <xf numFmtId="39" fontId="8" fillId="0" borderId="0" xfId="0" applyNumberFormat="1" applyFont="1" applyFill="1" applyBorder="1"/>
    <xf numFmtId="197" fontId="8" fillId="0" borderId="19" xfId="0" applyNumberFormat="1" applyFont="1" applyFill="1" applyBorder="1" applyAlignment="1">
      <alignment horizontal="right"/>
    </xf>
    <xf numFmtId="39" fontId="8" fillId="0" borderId="19" xfId="0" applyNumberFormat="1" applyFont="1" applyFill="1" applyBorder="1" applyAlignment="1">
      <alignment horizontal="left"/>
    </xf>
    <xf numFmtId="39" fontId="48" fillId="0" borderId="0" xfId="0" applyNumberFormat="1" applyFont="1" applyFill="1" applyBorder="1"/>
    <xf numFmtId="4" fontId="8" fillId="0" borderId="19" xfId="805" applyNumberFormat="1" applyFont="1" applyFill="1" applyBorder="1" applyAlignment="1" applyProtection="1">
      <alignment horizontal="right" vertical="top" wrapText="1"/>
    </xf>
    <xf numFmtId="0" fontId="14" fillId="48" borderId="19" xfId="0" applyFont="1" applyFill="1" applyBorder="1" applyAlignment="1">
      <alignment horizontal="center" vertical="top" wrapText="1"/>
    </xf>
    <xf numFmtId="0" fontId="9" fillId="48" borderId="78" xfId="0" applyFont="1" applyFill="1" applyBorder="1" applyAlignment="1">
      <alignment horizontal="left"/>
    </xf>
    <xf numFmtId="4" fontId="13" fillId="48" borderId="19" xfId="0" applyNumberFormat="1" applyFont="1" applyFill="1" applyBorder="1" applyAlignment="1">
      <alignment vertical="top"/>
    </xf>
    <xf numFmtId="4" fontId="13" fillId="48" borderId="19" xfId="0" applyNumberFormat="1" applyFont="1" applyFill="1" applyBorder="1" applyAlignment="1">
      <alignment horizontal="center" vertical="top"/>
    </xf>
    <xf numFmtId="174" fontId="8" fillId="48" borderId="19" xfId="0" applyNumberFormat="1" applyFont="1" applyFill="1" applyBorder="1" applyAlignment="1">
      <alignment vertical="top"/>
    </xf>
    <xf numFmtId="4" fontId="8" fillId="48" borderId="74" xfId="0" applyNumberFormat="1" applyFont="1" applyFill="1" applyBorder="1" applyAlignment="1">
      <alignment vertical="top"/>
    </xf>
    <xf numFmtId="0" fontId="0" fillId="48" borderId="0" xfId="0" applyFill="1" applyBorder="1"/>
    <xf numFmtId="0" fontId="46" fillId="48" borderId="0" xfId="0" applyFont="1" applyFill="1" applyBorder="1" applyAlignment="1">
      <alignment vertical="center"/>
    </xf>
    <xf numFmtId="0" fontId="14" fillId="48" borderId="19" xfId="0" applyFont="1" applyFill="1" applyBorder="1" applyAlignment="1">
      <alignment vertical="top" wrapText="1"/>
    </xf>
    <xf numFmtId="0" fontId="13" fillId="48" borderId="74" xfId="0" applyNumberFormat="1" applyFont="1" applyFill="1" applyBorder="1" applyAlignment="1">
      <alignment vertical="top" wrapText="1"/>
    </xf>
    <xf numFmtId="4" fontId="13" fillId="0" borderId="19" xfId="0" applyNumberFormat="1" applyFont="1" applyFill="1" applyBorder="1" applyAlignment="1">
      <alignment vertical="top"/>
    </xf>
    <xf numFmtId="4" fontId="13" fillId="0" borderId="19" xfId="0" applyNumberFormat="1" applyFont="1" applyFill="1" applyBorder="1" applyAlignment="1">
      <alignment horizontal="center" vertical="top"/>
    </xf>
    <xf numFmtId="174" fontId="8" fillId="0" borderId="19" xfId="0" applyNumberFormat="1" applyFont="1" applyFill="1" applyBorder="1" applyAlignment="1">
      <alignment vertical="top"/>
    </xf>
    <xf numFmtId="0" fontId="0" fillId="0" borderId="19" xfId="0" applyFill="1" applyBorder="1"/>
    <xf numFmtId="4" fontId="8" fillId="0" borderId="19" xfId="0" applyNumberFormat="1" applyFont="1" applyFill="1" applyBorder="1" applyAlignment="1">
      <alignment vertical="top"/>
    </xf>
    <xf numFmtId="4" fontId="8" fillId="0" borderId="19" xfId="0" applyNumberFormat="1" applyFont="1" applyFill="1" applyBorder="1" applyAlignment="1">
      <alignment horizontal="center" vertical="top"/>
    </xf>
    <xf numFmtId="4" fontId="0" fillId="48" borderId="0" xfId="0" applyNumberFormat="1" applyFill="1" applyBorder="1"/>
    <xf numFmtId="4" fontId="8" fillId="48" borderId="0" xfId="0" applyNumberFormat="1" applyFont="1" applyFill="1" applyBorder="1" applyAlignment="1">
      <alignment vertical="top"/>
    </xf>
    <xf numFmtId="0" fontId="8" fillId="0" borderId="19" xfId="0" applyFont="1" applyFill="1" applyBorder="1" applyAlignment="1">
      <alignment horizontal="left"/>
    </xf>
    <xf numFmtId="0" fontId="8" fillId="0" borderId="0" xfId="972"/>
    <xf numFmtId="4" fontId="8" fillId="0" borderId="0" xfId="972" applyNumberFormat="1"/>
    <xf numFmtId="0" fontId="57" fillId="0" borderId="0" xfId="1293" applyFont="1" applyFill="1" applyAlignment="1">
      <alignment horizontal="left"/>
    </xf>
    <xf numFmtId="4" fontId="57" fillId="0" borderId="0" xfId="1293" applyNumberFormat="1" applyFont="1" applyFill="1" applyAlignment="1"/>
    <xf numFmtId="0" fontId="57" fillId="0" borderId="0" xfId="1293" applyFont="1" applyFill="1" applyAlignment="1"/>
    <xf numFmtId="0" fontId="58" fillId="0" borderId="0" xfId="1293" quotePrefix="1" applyFont="1" applyFill="1" applyAlignment="1">
      <alignment horizontal="left"/>
    </xf>
    <xf numFmtId="4" fontId="59" fillId="0" borderId="0" xfId="1293" applyNumberFormat="1" applyFont="1" applyFill="1"/>
    <xf numFmtId="0" fontId="59" fillId="0" borderId="0" xfId="1293" applyFont="1" applyFill="1"/>
    <xf numFmtId="0" fontId="59" fillId="0" borderId="39" xfId="1293" applyFont="1" applyFill="1" applyBorder="1"/>
    <xf numFmtId="4" fontId="59" fillId="0" borderId="40" xfId="1293" applyNumberFormat="1" applyFont="1" applyFill="1" applyBorder="1"/>
    <xf numFmtId="0" fontId="59" fillId="0" borderId="40" xfId="1293" applyFont="1" applyFill="1" applyBorder="1" applyAlignment="1">
      <alignment horizontal="centerContinuous"/>
    </xf>
    <xf numFmtId="4" fontId="59" fillId="0" borderId="41" xfId="1293" applyNumberFormat="1" applyFont="1" applyFill="1" applyBorder="1"/>
    <xf numFmtId="0" fontId="59" fillId="0" borderId="42" xfId="1293" applyFont="1" applyFill="1" applyBorder="1"/>
    <xf numFmtId="4" fontId="59" fillId="0" borderId="24" xfId="1293" applyNumberFormat="1" applyFont="1" applyFill="1" applyBorder="1"/>
    <xf numFmtId="0" fontId="59" fillId="0" borderId="24" xfId="1293" applyFont="1" applyFill="1" applyBorder="1" applyAlignment="1">
      <alignment horizontal="centerContinuous"/>
    </xf>
    <xf numFmtId="4" fontId="59" fillId="0" borderId="43" xfId="1293" applyNumberFormat="1" applyFont="1" applyFill="1" applyBorder="1"/>
    <xf numFmtId="0" fontId="59" fillId="0" borderId="44" xfId="1293" applyFont="1" applyFill="1" applyBorder="1"/>
    <xf numFmtId="4" fontId="59" fillId="0" borderId="45" xfId="1293" applyNumberFormat="1" applyFont="1" applyFill="1" applyBorder="1"/>
    <xf numFmtId="0" fontId="59" fillId="0" borderId="45" xfId="1293" applyFont="1" applyFill="1" applyBorder="1"/>
    <xf numFmtId="4" fontId="58" fillId="0" borderId="45" xfId="1293" applyNumberFormat="1" applyFont="1" applyFill="1" applyBorder="1" applyAlignment="1">
      <alignment horizontal="right"/>
    </xf>
    <xf numFmtId="4" fontId="58" fillId="0" borderId="46" xfId="1293" applyNumberFormat="1" applyFont="1" applyFill="1" applyBorder="1" applyAlignment="1">
      <alignment horizontal="right"/>
    </xf>
    <xf numFmtId="0" fontId="59" fillId="0" borderId="0" xfId="1293" applyFont="1" applyFill="1" applyBorder="1"/>
    <xf numFmtId="4" fontId="59" fillId="0" borderId="0" xfId="1293" applyNumberFormat="1" applyFont="1" applyFill="1" applyBorder="1"/>
    <xf numFmtId="4" fontId="58" fillId="0" borderId="0" xfId="1293" applyNumberFormat="1" applyFont="1" applyFill="1" applyBorder="1" applyAlignment="1">
      <alignment horizontal="right"/>
    </xf>
    <xf numFmtId="0" fontId="58" fillId="0" borderId="0" xfId="1293" applyFont="1" applyFill="1" applyAlignment="1">
      <alignment horizontal="left"/>
    </xf>
    <xf numFmtId="0" fontId="58" fillId="0" borderId="0" xfId="1293" applyFont="1" applyFill="1" applyAlignment="1">
      <alignment horizontal="centerContinuous"/>
    </xf>
    <xf numFmtId="4" fontId="58" fillId="0" borderId="0" xfId="1293" applyNumberFormat="1" applyFont="1" applyFill="1" applyAlignment="1">
      <alignment horizontal="centerContinuous"/>
    </xf>
    <xf numFmtId="0" fontId="59" fillId="0" borderId="24" xfId="1293" applyFont="1" applyFill="1" applyBorder="1" applyAlignment="1">
      <alignment horizontal="center"/>
    </xf>
    <xf numFmtId="0" fontId="58" fillId="0" borderId="0" xfId="1293" applyFont="1" applyFill="1" applyAlignment="1"/>
    <xf numFmtId="0" fontId="58" fillId="0" borderId="0" xfId="1293" applyFont="1" applyFill="1"/>
    <xf numFmtId="0" fontId="59" fillId="0" borderId="24" xfId="1293" applyFont="1" applyFill="1" applyBorder="1"/>
    <xf numFmtId="4" fontId="58" fillId="0" borderId="24" xfId="1293" applyNumberFormat="1" applyFont="1" applyFill="1" applyBorder="1" applyAlignment="1">
      <alignment horizontal="right"/>
    </xf>
    <xf numFmtId="4" fontId="58" fillId="0" borderId="0" xfId="1293" applyNumberFormat="1" applyFont="1" applyFill="1"/>
    <xf numFmtId="0" fontId="60" fillId="0" borderId="0" xfId="1293" applyFont="1" applyFill="1"/>
    <xf numFmtId="4" fontId="60" fillId="0" borderId="0" xfId="1293" applyNumberFormat="1" applyFont="1" applyFill="1"/>
    <xf numFmtId="187" fontId="13" fillId="0" borderId="19" xfId="838" applyNumberFormat="1" applyFont="1" applyFill="1" applyBorder="1" applyAlignment="1" applyProtection="1">
      <alignment horizontal="right" vertical="center" wrapText="1"/>
    </xf>
    <xf numFmtId="0" fontId="8" fillId="0" borderId="19" xfId="0" applyNumberFormat="1" applyFont="1" applyFill="1" applyBorder="1" applyAlignment="1">
      <alignment horizontal="left" vertical="justify" wrapText="1"/>
    </xf>
    <xf numFmtId="0" fontId="8" fillId="0" borderId="19" xfId="0" applyFont="1" applyFill="1" applyBorder="1" applyAlignment="1">
      <alignment vertical="justify"/>
    </xf>
    <xf numFmtId="187" fontId="14" fillId="50" borderId="19" xfId="838" applyNumberFormat="1" applyFont="1" applyFill="1" applyBorder="1" applyAlignment="1" applyProtection="1">
      <alignment horizontal="center" vertical="top"/>
    </xf>
    <xf numFmtId="0" fontId="9" fillId="50" borderId="19" xfId="1210" applyFont="1" applyFill="1" applyBorder="1" applyAlignment="1">
      <alignment horizontal="left" vertical="top" wrapText="1"/>
    </xf>
    <xf numFmtId="4" fontId="13" fillId="50" borderId="19" xfId="868" applyNumberFormat="1" applyFont="1" applyFill="1" applyBorder="1" applyAlignment="1">
      <alignment horizontal="right" vertical="center" wrapText="1"/>
    </xf>
    <xf numFmtId="4" fontId="13" fillId="50" borderId="19" xfId="868" applyNumberFormat="1" applyFont="1" applyFill="1" applyBorder="1" applyAlignment="1">
      <alignment horizontal="center" vertical="center"/>
    </xf>
    <xf numFmtId="4" fontId="8" fillId="50" borderId="19" xfId="868" applyNumberFormat="1" applyFont="1" applyFill="1" applyBorder="1" applyAlignment="1">
      <alignment horizontal="right" vertical="center" wrapText="1"/>
    </xf>
    <xf numFmtId="4" fontId="8" fillId="50" borderId="19" xfId="0" applyNumberFormat="1" applyFont="1" applyFill="1" applyBorder="1" applyAlignment="1">
      <alignment vertical="top" wrapText="1"/>
    </xf>
    <xf numFmtId="0" fontId="0" fillId="0" borderId="19" xfId="1241" applyFont="1" applyFill="1" applyBorder="1" applyAlignment="1">
      <alignment horizontal="left" vertical="center" wrapText="1"/>
    </xf>
    <xf numFmtId="1" fontId="9" fillId="50" borderId="19" xfId="0" applyNumberFormat="1" applyFont="1" applyFill="1" applyBorder="1" applyAlignment="1">
      <alignment horizontal="right"/>
    </xf>
    <xf numFmtId="0" fontId="9" fillId="50" borderId="19" xfId="0" applyFont="1" applyFill="1" applyBorder="1" applyAlignment="1">
      <alignment horizontal="left"/>
    </xf>
    <xf numFmtId="174" fontId="8" fillId="50" borderId="19" xfId="0" applyNumberFormat="1" applyFont="1" applyFill="1" applyBorder="1"/>
    <xf numFmtId="0" fontId="8" fillId="50" borderId="19" xfId="0" applyFont="1" applyFill="1" applyBorder="1" applyAlignment="1">
      <alignment horizontal="left"/>
    </xf>
    <xf numFmtId="0" fontId="81" fillId="0" borderId="0" xfId="972" applyFont="1"/>
    <xf numFmtId="4" fontId="58" fillId="50" borderId="46" xfId="1293" applyNumberFormat="1" applyFont="1" applyFill="1" applyBorder="1" applyAlignment="1">
      <alignment horizontal="right"/>
    </xf>
    <xf numFmtId="4" fontId="58" fillId="50" borderId="43" xfId="1293" applyNumberFormat="1" applyFont="1" applyFill="1" applyBorder="1" applyAlignment="1">
      <alignment horizontal="right"/>
    </xf>
    <xf numFmtId="185" fontId="13" fillId="50" borderId="19" xfId="0" applyNumberFormat="1" applyFont="1" applyFill="1" applyBorder="1" applyAlignment="1" applyProtection="1">
      <alignment horizontal="right" vertical="top"/>
    </xf>
    <xf numFmtId="4" fontId="13" fillId="50" borderId="19" xfId="868" applyNumberFormat="1" applyFont="1" applyFill="1" applyBorder="1" applyAlignment="1">
      <alignment horizontal="right" vertical="top" wrapText="1"/>
    </xf>
    <xf numFmtId="4" fontId="13" fillId="50" borderId="19" xfId="868" applyNumberFormat="1" applyFont="1" applyFill="1" applyBorder="1" applyAlignment="1">
      <alignment horizontal="center" vertical="top"/>
    </xf>
    <xf numFmtId="4" fontId="8" fillId="50" borderId="19" xfId="868" applyNumberFormat="1" applyFont="1" applyFill="1" applyBorder="1" applyAlignment="1">
      <alignment horizontal="right" vertical="top" wrapText="1"/>
    </xf>
    <xf numFmtId="4" fontId="8" fillId="50" borderId="0" xfId="0" applyNumberFormat="1" applyFont="1" applyFill="1" applyAlignment="1">
      <alignment vertical="top" wrapText="1"/>
    </xf>
    <xf numFmtId="0" fontId="8" fillId="50" borderId="19" xfId="1210" applyFont="1" applyFill="1" applyBorder="1" applyAlignment="1">
      <alignment horizontal="left" vertical="top" wrapText="1"/>
    </xf>
    <xf numFmtId="169" fontId="0" fillId="0" borderId="0" xfId="699" applyFont="1"/>
    <xf numFmtId="0" fontId="9" fillId="55" borderId="66" xfId="0" applyFont="1" applyFill="1" applyBorder="1" applyAlignment="1">
      <alignment horizontal="center" vertical="center" wrapText="1"/>
    </xf>
    <xf numFmtId="0" fontId="9" fillId="0" borderId="68" xfId="0" applyFont="1" applyFill="1" applyBorder="1" applyAlignment="1">
      <alignment vertical="top" wrapText="1"/>
    </xf>
    <xf numFmtId="0" fontId="9" fillId="48" borderId="74" xfId="0" applyFont="1" applyFill="1" applyBorder="1" applyAlignment="1">
      <alignment vertical="top" wrapText="1"/>
    </xf>
    <xf numFmtId="4" fontId="8" fillId="48" borderId="74" xfId="0" applyNumberFormat="1" applyFont="1" applyFill="1" applyBorder="1" applyAlignment="1">
      <alignment vertical="top" wrapText="1"/>
    </xf>
    <xf numFmtId="4" fontId="8" fillId="0" borderId="74" xfId="0" applyNumberFormat="1" applyFont="1" applyFill="1" applyBorder="1" applyAlignment="1">
      <alignment horizontal="right" vertical="center" wrapText="1"/>
    </xf>
    <xf numFmtId="4" fontId="8" fillId="48" borderId="74" xfId="0" applyNumberFormat="1" applyFont="1" applyFill="1" applyBorder="1" applyAlignment="1">
      <alignment vertical="center" wrapText="1"/>
    </xf>
    <xf numFmtId="4" fontId="8" fillId="0" borderId="74" xfId="0" applyNumberFormat="1" applyFont="1" applyFill="1" applyBorder="1" applyAlignment="1">
      <alignment vertical="center" wrapText="1"/>
    </xf>
    <xf numFmtId="4" fontId="8" fillId="0" borderId="74" xfId="0" applyNumberFormat="1" applyFont="1" applyFill="1" applyBorder="1" applyAlignment="1">
      <alignment horizontal="right" wrapText="1"/>
    </xf>
    <xf numFmtId="4" fontId="8" fillId="48" borderId="74" xfId="0" applyNumberFormat="1" applyFont="1" applyFill="1" applyBorder="1" applyAlignment="1">
      <alignment horizontal="right" wrapText="1"/>
    </xf>
    <xf numFmtId="0" fontId="8" fillId="0" borderId="74" xfId="0" applyFont="1" applyFill="1" applyBorder="1"/>
    <xf numFmtId="4" fontId="8" fillId="48" borderId="74" xfId="0" applyNumberFormat="1" applyFont="1" applyFill="1" applyBorder="1" applyAlignment="1">
      <alignment horizontal="right" vertical="center" wrapText="1"/>
    </xf>
    <xf numFmtId="4" fontId="8" fillId="48" borderId="74" xfId="0" applyNumberFormat="1" applyFont="1" applyFill="1" applyBorder="1" applyAlignment="1">
      <alignment wrapText="1"/>
    </xf>
    <xf numFmtId="4" fontId="8" fillId="0" borderId="74" xfId="0" applyNumberFormat="1" applyFont="1" applyFill="1" applyBorder="1" applyAlignment="1">
      <alignment wrapText="1"/>
    </xf>
    <xf numFmtId="169" fontId="8" fillId="48" borderId="74" xfId="699" applyFont="1" applyFill="1" applyBorder="1" applyAlignment="1">
      <alignment vertical="center" wrapText="1"/>
    </xf>
    <xf numFmtId="4" fontId="9" fillId="55" borderId="74" xfId="868" applyNumberFormat="1" applyFont="1" applyFill="1" applyBorder="1" applyAlignment="1">
      <alignment horizontal="right" vertical="center" wrapText="1"/>
    </xf>
    <xf numFmtId="4" fontId="9" fillId="57" borderId="74" xfId="868" applyNumberFormat="1" applyFont="1" applyFill="1" applyBorder="1" applyAlignment="1">
      <alignment horizontal="right" vertical="center" wrapText="1"/>
    </xf>
    <xf numFmtId="4" fontId="9" fillId="57" borderId="74" xfId="839" applyNumberFormat="1" applyFont="1" applyFill="1" applyBorder="1" applyAlignment="1">
      <alignment horizontal="right" vertical="top" wrapText="1"/>
    </xf>
    <xf numFmtId="4" fontId="8" fillId="57" borderId="74" xfId="0" applyNumberFormat="1" applyFont="1" applyFill="1" applyBorder="1" applyAlignment="1">
      <alignment horizontal="right"/>
    </xf>
    <xf numFmtId="39" fontId="8" fillId="57" borderId="74" xfId="805" applyNumberFormat="1" applyFont="1" applyFill="1" applyBorder="1"/>
    <xf numFmtId="174" fontId="46" fillId="57" borderId="74" xfId="0" applyNumberFormat="1" applyFont="1" applyFill="1" applyBorder="1" applyAlignment="1">
      <alignment horizontal="right" wrapText="1"/>
    </xf>
    <xf numFmtId="39" fontId="9" fillId="49" borderId="74" xfId="0" applyNumberFormat="1" applyFont="1" applyFill="1" applyBorder="1" applyAlignment="1" applyProtection="1">
      <alignment vertical="top" wrapText="1"/>
    </xf>
    <xf numFmtId="4" fontId="8" fillId="48" borderId="74" xfId="1305" applyNumberFormat="1" applyFont="1" applyFill="1" applyBorder="1" applyAlignment="1">
      <alignment horizontal="right" wrapText="1"/>
    </xf>
    <xf numFmtId="39" fontId="8" fillId="48" borderId="74" xfId="805" applyNumberFormat="1" applyFont="1" applyFill="1" applyBorder="1"/>
    <xf numFmtId="39" fontId="8" fillId="48" borderId="74" xfId="805" applyNumberFormat="1" applyFont="1" applyFill="1" applyBorder="1" applyAlignment="1">
      <alignment vertical="center"/>
    </xf>
    <xf numFmtId="39" fontId="8" fillId="0" borderId="74" xfId="805" applyNumberFormat="1" applyFont="1" applyFill="1" applyBorder="1"/>
    <xf numFmtId="4" fontId="9" fillId="49" borderId="74" xfId="1305" applyNumberFormat="1" applyFont="1" applyFill="1" applyBorder="1" applyAlignment="1">
      <alignment horizontal="right"/>
    </xf>
    <xf numFmtId="4" fontId="8" fillId="48" borderId="74" xfId="1305" applyNumberFormat="1" applyFont="1" applyFill="1" applyBorder="1" applyAlignment="1">
      <alignment horizontal="right"/>
    </xf>
    <xf numFmtId="4" fontId="8" fillId="0" borderId="74" xfId="0" applyNumberFormat="1" applyFont="1" applyFill="1" applyBorder="1" applyAlignment="1">
      <alignment vertical="top"/>
    </xf>
    <xf numFmtId="174" fontId="8" fillId="48" borderId="74" xfId="0" applyNumberFormat="1" applyFont="1" applyFill="1" applyBorder="1" applyAlignment="1">
      <alignment horizontal="right" wrapText="1"/>
    </xf>
    <xf numFmtId="174" fontId="8" fillId="50" borderId="0" xfId="0" applyNumberFormat="1" applyFont="1" applyFill="1" applyBorder="1"/>
    <xf numFmtId="174" fontId="8" fillId="0" borderId="74" xfId="0" applyNumberFormat="1" applyFont="1" applyFill="1" applyBorder="1" applyAlignment="1">
      <alignment horizontal="right" wrapText="1"/>
    </xf>
    <xf numFmtId="39" fontId="8" fillId="48" borderId="74" xfId="0" applyNumberFormat="1" applyFont="1" applyFill="1" applyBorder="1" applyAlignment="1">
      <alignment horizontal="right" wrapText="1"/>
    </xf>
    <xf numFmtId="4" fontId="13" fillId="48" borderId="74" xfId="0" applyNumberFormat="1" applyFont="1" applyFill="1" applyBorder="1" applyAlignment="1">
      <alignment horizontal="right" wrapText="1"/>
    </xf>
    <xf numFmtId="0" fontId="8" fillId="0" borderId="0" xfId="0" applyFont="1" applyFill="1" applyBorder="1" applyAlignment="1">
      <alignment vertical="top" wrapText="1"/>
    </xf>
    <xf numFmtId="0" fontId="8" fillId="49" borderId="0" xfId="0" applyFont="1" applyFill="1" applyBorder="1" applyAlignment="1">
      <alignment horizontal="center" vertical="center" wrapText="1"/>
    </xf>
    <xf numFmtId="4" fontId="8" fillId="0" borderId="0" xfId="0" applyNumberFormat="1" applyFont="1" applyFill="1" applyBorder="1" applyAlignment="1">
      <alignment vertical="top" wrapText="1"/>
    </xf>
    <xf numFmtId="169" fontId="9" fillId="0" borderId="0" xfId="699" applyFont="1" applyFill="1" applyBorder="1" applyAlignment="1">
      <alignment vertical="top" wrapText="1"/>
    </xf>
    <xf numFmtId="200" fontId="9" fillId="0" borderId="0" xfId="0" applyNumberFormat="1" applyFont="1" applyFill="1" applyBorder="1" applyAlignment="1">
      <alignment vertical="top" wrapText="1"/>
    </xf>
    <xf numFmtId="0" fontId="9" fillId="0" borderId="0" xfId="0" applyFont="1" applyFill="1" applyBorder="1" applyAlignment="1">
      <alignment vertical="center" wrapText="1"/>
    </xf>
    <xf numFmtId="169" fontId="9" fillId="0" borderId="0" xfId="0" applyNumberFormat="1" applyFont="1" applyFill="1" applyBorder="1" applyAlignment="1">
      <alignment vertical="center" wrapText="1"/>
    </xf>
    <xf numFmtId="0" fontId="8" fillId="48" borderId="0" xfId="0" applyFont="1" applyFill="1" applyBorder="1" applyAlignment="1">
      <alignment vertical="top"/>
    </xf>
    <xf numFmtId="0" fontId="9" fillId="48" borderId="0" xfId="0" applyFont="1" applyFill="1" applyBorder="1" applyAlignment="1">
      <alignment vertical="justify"/>
    </xf>
    <xf numFmtId="39" fontId="9" fillId="48" borderId="0" xfId="0" applyNumberFormat="1" applyFont="1" applyFill="1" applyBorder="1" applyAlignment="1"/>
    <xf numFmtId="39" fontId="8" fillId="48" borderId="0" xfId="805" applyNumberFormat="1" applyFont="1" applyFill="1" applyBorder="1"/>
    <xf numFmtId="4" fontId="8" fillId="48" borderId="0" xfId="805" applyNumberFormat="1" applyFont="1" applyFill="1" applyBorder="1" applyAlignment="1">
      <alignment horizontal="right" vertical="top" wrapText="1"/>
    </xf>
    <xf numFmtId="4" fontId="8" fillId="48" borderId="0" xfId="1047" applyNumberFormat="1" applyFont="1" applyFill="1" applyBorder="1" applyAlignment="1" applyProtection="1">
      <alignment vertical="top" wrapText="1"/>
      <protection locked="0"/>
    </xf>
    <xf numFmtId="4" fontId="45" fillId="48" borderId="0" xfId="0" applyNumberFormat="1" applyFont="1" applyFill="1" applyBorder="1"/>
    <xf numFmtId="4" fontId="47" fillId="48" borderId="0" xfId="0" applyNumberFormat="1" applyFont="1" applyFill="1" applyBorder="1"/>
    <xf numFmtId="0" fontId="45" fillId="48" borderId="0" xfId="0" applyFont="1" applyFill="1" applyBorder="1"/>
    <xf numFmtId="0" fontId="46" fillId="48" borderId="0" xfId="0" applyFont="1" applyFill="1" applyBorder="1" applyAlignment="1">
      <alignment wrapText="1"/>
    </xf>
    <xf numFmtId="4" fontId="8" fillId="59" borderId="0" xfId="0" applyNumberFormat="1" applyFont="1" applyFill="1" applyBorder="1" applyAlignment="1">
      <alignment vertical="top" wrapText="1"/>
    </xf>
    <xf numFmtId="0" fontId="9" fillId="59" borderId="0" xfId="0" applyFont="1" applyFill="1" applyBorder="1" applyAlignment="1">
      <alignment vertical="top" wrapText="1"/>
    </xf>
    <xf numFmtId="39" fontId="17" fillId="48" borderId="0" xfId="0" applyNumberFormat="1" applyFont="1" applyFill="1" applyBorder="1"/>
    <xf numFmtId="39" fontId="48" fillId="48" borderId="0" xfId="0" applyNumberFormat="1" applyFont="1" applyFill="1" applyBorder="1"/>
    <xf numFmtId="39" fontId="49" fillId="48" borderId="0" xfId="0" applyNumberFormat="1" applyFont="1" applyFill="1" applyBorder="1" applyAlignment="1">
      <alignment vertical="center"/>
    </xf>
    <xf numFmtId="4" fontId="9" fillId="49" borderId="0" xfId="992" applyNumberFormat="1" applyFont="1" applyFill="1" applyBorder="1" applyAlignment="1">
      <alignment wrapText="1"/>
    </xf>
    <xf numFmtId="0" fontId="8" fillId="50" borderId="19" xfId="0" applyNumberFormat="1" applyFont="1" applyFill="1" applyBorder="1" applyAlignment="1">
      <alignment horizontal="left" vertical="justify" wrapText="1"/>
    </xf>
    <xf numFmtId="4" fontId="8" fillId="50" borderId="19" xfId="868" applyNumberFormat="1" applyFont="1" applyFill="1" applyBorder="1" applyAlignment="1" applyProtection="1">
      <alignment horizontal="right" wrapText="1"/>
    </xf>
    <xf numFmtId="4" fontId="8" fillId="50" borderId="19" xfId="0" applyNumberFormat="1" applyFont="1" applyFill="1" applyBorder="1" applyAlignment="1">
      <alignment horizontal="center"/>
    </xf>
    <xf numFmtId="4" fontId="9" fillId="0" borderId="19" xfId="0" applyNumberFormat="1" applyFont="1" applyFill="1" applyBorder="1" applyAlignment="1">
      <alignment horizontal="center"/>
    </xf>
    <xf numFmtId="39" fontId="9" fillId="60" borderId="19" xfId="972" applyNumberFormat="1" applyFont="1" applyFill="1" applyBorder="1" applyAlignment="1">
      <alignment horizontal="left"/>
    </xf>
    <xf numFmtId="0" fontId="8" fillId="60" borderId="19" xfId="0" quotePrefix="1" applyFont="1" applyFill="1" applyBorder="1" applyAlignment="1">
      <alignment horizontal="left"/>
    </xf>
    <xf numFmtId="0" fontId="8" fillId="60" borderId="19" xfId="0" applyFont="1" applyFill="1" applyBorder="1"/>
    <xf numFmtId="0" fontId="8" fillId="60" borderId="19" xfId="0" applyFont="1" applyFill="1" applyBorder="1" applyAlignment="1">
      <alignment horizontal="left"/>
    </xf>
    <xf numFmtId="0" fontId="44" fillId="60" borderId="0" xfId="1295" applyFont="1" applyFill="1" applyBorder="1"/>
    <xf numFmtId="0" fontId="9" fillId="60" borderId="19" xfId="972" applyFont="1" applyFill="1" applyBorder="1" applyAlignment="1">
      <alignment vertical="center"/>
    </xf>
    <xf numFmtId="0" fontId="8" fillId="60" borderId="19" xfId="0" applyFont="1" applyFill="1" applyBorder="1" applyAlignment="1">
      <alignment wrapText="1"/>
    </xf>
    <xf numFmtId="49" fontId="81" fillId="57" borderId="19" xfId="0" applyNumberFormat="1" applyFont="1" applyFill="1" applyBorder="1" applyAlignment="1">
      <alignment vertical="top" wrapText="1"/>
    </xf>
    <xf numFmtId="4" fontId="81" fillId="57" borderId="19" xfId="1047" applyNumberFormat="1" applyFont="1" applyFill="1" applyBorder="1" applyAlignment="1" applyProtection="1">
      <alignment vertical="top" wrapText="1"/>
      <protection locked="0"/>
    </xf>
    <xf numFmtId="183" fontId="8" fillId="48" borderId="0" xfId="0" applyNumberFormat="1" applyFont="1" applyFill="1" applyBorder="1"/>
    <xf numFmtId="0" fontId="37" fillId="60" borderId="0" xfId="1295" applyFont="1" applyFill="1"/>
    <xf numFmtId="39" fontId="8" fillId="60" borderId="19" xfId="1047" applyNumberFormat="1" applyFont="1" applyFill="1" applyBorder="1" applyAlignment="1">
      <alignment vertical="top" wrapText="1"/>
    </xf>
    <xf numFmtId="49" fontId="8" fillId="60" borderId="19" xfId="0" applyNumberFormat="1" applyFont="1" applyFill="1" applyBorder="1" applyAlignment="1">
      <alignment vertical="top" wrapText="1"/>
    </xf>
    <xf numFmtId="39" fontId="81" fillId="57" borderId="19" xfId="0" applyNumberFormat="1" applyFont="1" applyFill="1" applyBorder="1" applyAlignment="1" applyProtection="1">
      <alignment vertical="top" wrapText="1"/>
      <protection locked="0"/>
    </xf>
    <xf numFmtId="4" fontId="8" fillId="60" borderId="19" xfId="805" applyNumberFormat="1" applyFont="1" applyFill="1" applyBorder="1"/>
    <xf numFmtId="4" fontId="81" fillId="57" borderId="19" xfId="805" applyNumberFormat="1" applyFont="1" applyFill="1" applyBorder="1" applyAlignment="1">
      <alignment horizontal="center"/>
    </xf>
    <xf numFmtId="0" fontId="61" fillId="48" borderId="19" xfId="1210" applyFont="1" applyFill="1" applyBorder="1" applyAlignment="1">
      <alignment horizontal="left" vertical="top" wrapText="1"/>
    </xf>
    <xf numFmtId="39" fontId="89" fillId="61" borderId="24" xfId="1295" applyNumberFormat="1" applyFont="1" applyFill="1" applyBorder="1" applyAlignment="1">
      <alignment horizontal="right"/>
    </xf>
    <xf numFmtId="37" fontId="90" fillId="57" borderId="19" xfId="0" applyNumberFormat="1" applyFont="1" applyFill="1" applyBorder="1" applyAlignment="1">
      <alignment horizontal="right" vertical="center"/>
    </xf>
    <xf numFmtId="0" fontId="90" fillId="57" borderId="19" xfId="0" applyFont="1" applyFill="1" applyBorder="1" applyAlignment="1">
      <alignment horizontal="right"/>
    </xf>
    <xf numFmtId="0" fontId="90" fillId="57" borderId="19" xfId="0" applyFont="1" applyFill="1" applyBorder="1" applyAlignment="1">
      <alignment horizontal="right" vertical="top" wrapText="1"/>
    </xf>
    <xf numFmtId="0" fontId="90" fillId="57" borderId="19" xfId="0" applyFont="1" applyFill="1" applyBorder="1" applyAlignment="1">
      <alignment horizontal="right" vertical="justify" wrapText="1"/>
    </xf>
    <xf numFmtId="0" fontId="8" fillId="0" borderId="0" xfId="0" applyFont="1"/>
    <xf numFmtId="0" fontId="8" fillId="48" borderId="0" xfId="0" applyFont="1" applyFill="1" applyAlignment="1">
      <alignment horizontal="center" vertical="top"/>
    </xf>
    <xf numFmtId="39" fontId="8" fillId="48" borderId="19" xfId="0" applyNumberFormat="1" applyFont="1" applyFill="1" applyBorder="1" applyAlignment="1">
      <alignment horizontal="center"/>
    </xf>
    <xf numFmtId="0" fontId="8" fillId="48" borderId="0" xfId="0" applyFont="1" applyFill="1" applyAlignment="1">
      <alignment horizontal="center"/>
    </xf>
    <xf numFmtId="0" fontId="8" fillId="0" borderId="0" xfId="0" applyFont="1" applyFill="1" applyAlignment="1">
      <alignment horizontal="center"/>
    </xf>
    <xf numFmtId="0" fontId="62" fillId="0" borderId="19" xfId="0" applyFont="1" applyFill="1" applyBorder="1" applyAlignment="1">
      <alignment horizontal="center" vertical="top"/>
    </xf>
    <xf numFmtId="0" fontId="62" fillId="0" borderId="78" xfId="0" applyFont="1" applyFill="1" applyBorder="1" applyAlignment="1">
      <alignment horizontal="center" vertical="center"/>
    </xf>
    <xf numFmtId="174" fontId="62" fillId="0" borderId="19" xfId="0" applyNumberFormat="1" applyFont="1" applyFill="1" applyBorder="1" applyAlignment="1">
      <alignment horizontal="center" vertical="center"/>
    </xf>
    <xf numFmtId="4" fontId="62" fillId="0" borderId="19" xfId="0" applyNumberFormat="1" applyFont="1" applyFill="1" applyBorder="1" applyAlignment="1">
      <alignment horizontal="center" vertical="center"/>
    </xf>
    <xf numFmtId="174" fontId="63" fillId="0" borderId="19" xfId="0" applyNumberFormat="1" applyFont="1" applyFill="1" applyBorder="1" applyAlignment="1">
      <alignment horizontal="center" vertical="center"/>
    </xf>
    <xf numFmtId="0" fontId="42" fillId="48" borderId="0" xfId="0" applyFont="1" applyFill="1"/>
    <xf numFmtId="0" fontId="62" fillId="0" borderId="78" xfId="0" applyNumberFormat="1" applyFont="1" applyFill="1" applyBorder="1" applyAlignment="1">
      <alignment wrapText="1"/>
    </xf>
    <xf numFmtId="1" fontId="30" fillId="0" borderId="19" xfId="0" applyNumberFormat="1" applyFont="1" applyFill="1" applyBorder="1" applyAlignment="1">
      <alignment horizontal="right"/>
    </xf>
    <xf numFmtId="0" fontId="30" fillId="0" borderId="19" xfId="0" applyFont="1" applyFill="1" applyBorder="1"/>
    <xf numFmtId="193" fontId="29" fillId="0" borderId="19" xfId="0" applyNumberFormat="1" applyFont="1" applyFill="1" applyBorder="1" applyAlignment="1">
      <alignment horizontal="right"/>
    </xf>
    <xf numFmtId="0" fontId="29" fillId="0" borderId="19" xfId="0" applyFont="1" applyFill="1" applyBorder="1"/>
    <xf numFmtId="174" fontId="29" fillId="0" borderId="19" xfId="0" applyNumberFormat="1" applyFont="1" applyFill="1" applyBorder="1"/>
    <xf numFmtId="174" fontId="29" fillId="0" borderId="19" xfId="0" applyNumberFormat="1" applyFont="1" applyFill="1" applyBorder="1" applyAlignment="1">
      <alignment horizontal="center"/>
    </xf>
    <xf numFmtId="4" fontId="29" fillId="0" borderId="19" xfId="0" applyNumberFormat="1" applyFont="1" applyFill="1" applyBorder="1" applyAlignment="1" applyProtection="1">
      <alignment horizontal="right" vertical="justify"/>
      <protection locked="0"/>
    </xf>
    <xf numFmtId="2" fontId="29" fillId="0" borderId="19" xfId="0" applyNumberFormat="1" applyFont="1" applyFill="1" applyBorder="1" applyAlignment="1">
      <alignment horizontal="center"/>
    </xf>
    <xf numFmtId="193" fontId="29" fillId="0" borderId="19" xfId="0" applyNumberFormat="1" applyFont="1" applyFill="1" applyBorder="1" applyAlignment="1">
      <alignment horizontal="right" vertical="center"/>
    </xf>
    <xf numFmtId="0" fontId="29" fillId="0" borderId="19" xfId="0" applyFont="1" applyFill="1" applyBorder="1" applyAlignment="1">
      <alignment wrapText="1"/>
    </xf>
    <xf numFmtId="174" fontId="29" fillId="0" borderId="19" xfId="0" applyNumberFormat="1" applyFont="1" applyFill="1" applyBorder="1" applyAlignment="1">
      <alignment vertical="center"/>
    </xf>
    <xf numFmtId="174" fontId="29" fillId="0" borderId="19" xfId="0" applyNumberFormat="1" applyFont="1" applyFill="1" applyBorder="1" applyAlignment="1">
      <alignment horizontal="center" vertical="center"/>
    </xf>
    <xf numFmtId="4" fontId="29" fillId="0" borderId="19" xfId="0" applyNumberFormat="1" applyFont="1" applyFill="1" applyBorder="1" applyAlignment="1" applyProtection="1">
      <alignment horizontal="right" vertical="center"/>
      <protection locked="0"/>
    </xf>
    <xf numFmtId="0" fontId="42" fillId="48" borderId="0" xfId="0" applyFont="1" applyFill="1" applyAlignment="1">
      <alignment vertical="center"/>
    </xf>
    <xf numFmtId="2" fontId="29" fillId="0" borderId="25" xfId="0" applyNumberFormat="1" applyFont="1" applyFill="1" applyBorder="1" applyAlignment="1">
      <alignment horizontal="right"/>
    </xf>
    <xf numFmtId="0" fontId="29" fillId="0" borderId="25" xfId="0" quotePrefix="1" applyFont="1" applyFill="1" applyBorder="1" applyAlignment="1">
      <alignment horizontal="left"/>
    </xf>
    <xf numFmtId="174" fontId="29" fillId="0" borderId="25" xfId="0" applyNumberFormat="1" applyFont="1" applyFill="1" applyBorder="1"/>
    <xf numFmtId="174" fontId="29" fillId="0" borderId="25" xfId="0" applyNumberFormat="1" applyFont="1" applyFill="1" applyBorder="1" applyAlignment="1">
      <alignment horizontal="center"/>
    </xf>
    <xf numFmtId="4" fontId="29" fillId="0" borderId="25" xfId="0" applyNumberFormat="1" applyFont="1" applyFill="1" applyBorder="1" applyAlignment="1" applyProtection="1">
      <alignment horizontal="right" vertical="justify"/>
      <protection locked="0"/>
    </xf>
    <xf numFmtId="4" fontId="42" fillId="48" borderId="0" xfId="0" applyNumberFormat="1" applyFont="1" applyFill="1"/>
    <xf numFmtId="0" fontId="29" fillId="0" borderId="19" xfId="0" applyFont="1" applyFill="1" applyBorder="1" applyAlignment="1">
      <alignment horizontal="left" wrapText="1"/>
    </xf>
    <xf numFmtId="2" fontId="29" fillId="0" borderId="19" xfId="0" applyNumberFormat="1" applyFont="1" applyFill="1" applyBorder="1" applyAlignment="1">
      <alignment horizontal="right"/>
    </xf>
    <xf numFmtId="0" fontId="29" fillId="0" borderId="19" xfId="0" quotePrefix="1" applyFont="1" applyFill="1" applyBorder="1" applyAlignment="1">
      <alignment horizontal="left"/>
    </xf>
    <xf numFmtId="1" fontId="29" fillId="0" borderId="19" xfId="0" applyNumberFormat="1" applyFont="1" applyFill="1" applyBorder="1" applyAlignment="1">
      <alignment horizontal="right"/>
    </xf>
    <xf numFmtId="1"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vertical="center"/>
      <protection locked="0"/>
    </xf>
    <xf numFmtId="1" fontId="30" fillId="0" borderId="19" xfId="0" applyNumberFormat="1" applyFont="1" applyFill="1" applyBorder="1" applyAlignment="1">
      <alignment horizontal="right" vertical="top" wrapText="1"/>
    </xf>
    <xf numFmtId="0" fontId="30" fillId="0" borderId="19" xfId="0" applyFont="1" applyFill="1" applyBorder="1" applyAlignment="1">
      <alignment vertical="top" wrapText="1"/>
    </xf>
    <xf numFmtId="0" fontId="29" fillId="0" borderId="19" xfId="0" applyFont="1" applyFill="1" applyBorder="1" applyAlignment="1">
      <alignment horizontal="right" vertical="center"/>
    </xf>
    <xf numFmtId="193" fontId="29" fillId="0" borderId="19" xfId="0" applyNumberFormat="1" applyFont="1" applyFill="1" applyBorder="1" applyAlignment="1">
      <alignment vertical="center"/>
    </xf>
    <xf numFmtId="174" fontId="29" fillId="0" borderId="19" xfId="792" applyNumberFormat="1" applyFont="1" applyFill="1" applyBorder="1"/>
    <xf numFmtId="174" fontId="42" fillId="48" borderId="0" xfId="0" applyNumberFormat="1" applyFont="1" applyFill="1"/>
    <xf numFmtId="0" fontId="29" fillId="0" borderId="19" xfId="0" applyFont="1" applyFill="1" applyBorder="1" applyAlignment="1">
      <alignment horizontal="left"/>
    </xf>
    <xf numFmtId="2" fontId="30" fillId="0" borderId="19" xfId="0" applyNumberFormat="1" applyFont="1" applyFill="1" applyBorder="1" applyAlignment="1">
      <alignment horizontal="right" vertical="top" wrapText="1"/>
    </xf>
    <xf numFmtId="174" fontId="30" fillId="0" borderId="19" xfId="792" applyNumberFormat="1" applyFont="1" applyFill="1" applyBorder="1"/>
    <xf numFmtId="174" fontId="30" fillId="0" borderId="19" xfId="0" applyNumberFormat="1" applyFont="1" applyFill="1" applyBorder="1" applyAlignment="1">
      <alignment horizontal="center"/>
    </xf>
    <xf numFmtId="174" fontId="30" fillId="0" borderId="19" xfId="0" applyNumberFormat="1" applyFont="1" applyFill="1" applyBorder="1"/>
    <xf numFmtId="193" fontId="29" fillId="0" borderId="19" xfId="0" applyNumberFormat="1" applyFont="1" applyFill="1" applyBorder="1" applyAlignment="1">
      <alignment horizontal="right" vertical="justify"/>
    </xf>
    <xf numFmtId="174" fontId="29" fillId="0" borderId="19" xfId="792" applyNumberFormat="1" applyFont="1" applyFill="1" applyBorder="1" applyAlignment="1">
      <alignment vertical="center"/>
    </xf>
    <xf numFmtId="0" fontId="29" fillId="0" borderId="25" xfId="0" applyFont="1" applyFill="1" applyBorder="1"/>
    <xf numFmtId="174" fontId="29" fillId="0" borderId="25" xfId="792" applyNumberFormat="1" applyFont="1" applyFill="1" applyBorder="1"/>
    <xf numFmtId="2" fontId="42" fillId="48" borderId="0" xfId="0" applyNumberFormat="1" applyFont="1" applyFill="1"/>
    <xf numFmtId="174" fontId="29" fillId="0" borderId="78" xfId="0" applyNumberFormat="1" applyFont="1" applyFill="1" applyBorder="1"/>
    <xf numFmtId="193" fontId="91" fillId="0" borderId="19" xfId="0" applyNumberFormat="1" applyFont="1" applyFill="1" applyBorder="1" applyAlignment="1">
      <alignment horizontal="right" vertical="center"/>
    </xf>
    <xf numFmtId="0" fontId="91" fillId="0" borderId="19" xfId="0" applyFont="1" applyFill="1" applyBorder="1" applyAlignment="1">
      <alignment vertical="center" wrapText="1"/>
    </xf>
    <xf numFmtId="4" fontId="91" fillId="0" borderId="19" xfId="0" applyNumberFormat="1" applyFont="1" applyFill="1" applyBorder="1" applyAlignment="1" applyProtection="1">
      <alignment horizontal="right" vertical="center"/>
      <protection locked="0"/>
    </xf>
    <xf numFmtId="0" fontId="29" fillId="0" borderId="78" xfId="0" applyFont="1" applyFill="1" applyBorder="1"/>
    <xf numFmtId="1" fontId="91" fillId="0" borderId="19" xfId="0" applyNumberFormat="1" applyFont="1" applyFill="1" applyBorder="1" applyAlignment="1">
      <alignment horizontal="right"/>
    </xf>
    <xf numFmtId="0" fontId="91" fillId="0" borderId="19" xfId="0" applyFont="1" applyFill="1" applyBorder="1"/>
    <xf numFmtId="4" fontId="91" fillId="0" borderId="19" xfId="0" applyNumberFormat="1" applyFont="1" applyFill="1" applyBorder="1" applyAlignment="1" applyProtection="1">
      <alignment horizontal="right" vertical="justify"/>
      <protection locked="0"/>
    </xf>
    <xf numFmtId="0" fontId="29" fillId="0" borderId="74" xfId="0" applyFont="1" applyFill="1" applyBorder="1"/>
    <xf numFmtId="39" fontId="42" fillId="0" borderId="0" xfId="0" applyNumberFormat="1" applyFont="1" applyFill="1"/>
    <xf numFmtId="0" fontId="42" fillId="0" borderId="0" xfId="0" applyFont="1" applyFill="1"/>
    <xf numFmtId="174" fontId="42" fillId="0" borderId="0" xfId="0" applyNumberFormat="1" applyFont="1" applyFill="1"/>
    <xf numFmtId="4" fontId="42" fillId="0" borderId="0" xfId="0" applyNumberFormat="1" applyFont="1" applyFill="1"/>
    <xf numFmtId="1" fontId="30" fillId="0" borderId="19" xfId="0" applyNumberFormat="1" applyFont="1" applyFill="1" applyBorder="1" applyAlignment="1">
      <alignment horizontal="right" vertical="justify"/>
    </xf>
    <xf numFmtId="0" fontId="30" fillId="0" borderId="74" xfId="0" applyFont="1" applyFill="1" applyBorder="1" applyAlignment="1">
      <alignment vertical="justify"/>
    </xf>
    <xf numFmtId="174" fontId="30" fillId="0" borderId="19" xfId="792" applyNumberFormat="1" applyFont="1" applyFill="1" applyBorder="1" applyAlignment="1">
      <alignment vertical="top"/>
    </xf>
    <xf numFmtId="0" fontId="30" fillId="0" borderId="19" xfId="0" applyFont="1" applyFill="1" applyBorder="1" applyAlignment="1">
      <alignment vertical="top"/>
    </xf>
    <xf numFmtId="174" fontId="30" fillId="0" borderId="78" xfId="0" applyNumberFormat="1" applyFont="1" applyFill="1" applyBorder="1" applyAlignment="1">
      <alignment vertical="top"/>
    </xf>
    <xf numFmtId="193"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horizontal="right"/>
      <protection locked="0"/>
    </xf>
    <xf numFmtId="0" fontId="64" fillId="0" borderId="19" xfId="0" applyFont="1" applyFill="1" applyBorder="1" applyAlignment="1">
      <alignment vertical="top" wrapText="1"/>
    </xf>
    <xf numFmtId="174" fontId="42" fillId="0" borderId="19" xfId="0" applyNumberFormat="1" applyFont="1" applyFill="1" applyBorder="1" applyAlignment="1">
      <alignment vertical="center"/>
    </xf>
    <xf numFmtId="0" fontId="36" fillId="0" borderId="19" xfId="0" applyFont="1" applyFill="1" applyBorder="1" applyAlignment="1">
      <alignment horizontal="center" vertical="top" wrapText="1"/>
    </xf>
    <xf numFmtId="2" fontId="30" fillId="0" borderId="19" xfId="1298" applyNumberFormat="1" applyFont="1" applyFill="1" applyBorder="1" applyAlignment="1">
      <alignment horizontal="center"/>
    </xf>
    <xf numFmtId="174" fontId="42" fillId="0" borderId="19" xfId="1298" applyNumberFormat="1" applyFont="1" applyFill="1" applyBorder="1" applyAlignment="1">
      <alignment vertical="center"/>
    </xf>
    <xf numFmtId="39" fontId="42" fillId="0" borderId="19" xfId="1298" applyNumberFormat="1" applyFont="1" applyFill="1" applyBorder="1" applyAlignment="1" applyProtection="1"/>
    <xf numFmtId="174" fontId="42" fillId="0" borderId="19" xfId="1298" applyNumberFormat="1" applyFont="1" applyFill="1" applyBorder="1" applyAlignment="1" applyProtection="1">
      <alignment vertical="center"/>
    </xf>
    <xf numFmtId="4" fontId="42" fillId="0" borderId="19" xfId="1298" applyNumberFormat="1" applyFont="1" applyFill="1" applyBorder="1" applyAlignment="1" applyProtection="1">
      <alignment vertical="center"/>
      <protection locked="0"/>
    </xf>
    <xf numFmtId="193" fontId="29" fillId="0" borderId="19" xfId="1304" applyNumberFormat="1" applyFont="1" applyFill="1" applyBorder="1" applyAlignment="1">
      <alignment vertical="center"/>
    </xf>
    <xf numFmtId="39" fontId="29" fillId="0" borderId="19" xfId="1304" applyFont="1" applyFill="1" applyBorder="1" applyAlignment="1">
      <alignment vertical="center"/>
    </xf>
    <xf numFmtId="174" fontId="29" fillId="0" borderId="19" xfId="922" applyNumberFormat="1" applyFont="1" applyFill="1" applyBorder="1" applyAlignment="1">
      <alignment vertical="center"/>
    </xf>
    <xf numFmtId="39" fontId="29" fillId="0" borderId="19" xfId="1304" applyFont="1" applyFill="1" applyBorder="1" applyAlignment="1">
      <alignment horizontal="center"/>
    </xf>
    <xf numFmtId="0" fontId="29" fillId="0" borderId="19" xfId="0" applyFont="1" applyFill="1" applyBorder="1" applyAlignment="1">
      <alignment vertical="center" wrapText="1"/>
    </xf>
    <xf numFmtId="174" fontId="29" fillId="0" borderId="19" xfId="1298" applyNumberFormat="1" applyFont="1" applyFill="1" applyBorder="1" applyAlignment="1">
      <alignment vertical="center"/>
    </xf>
    <xf numFmtId="39" fontId="29" fillId="0" borderId="19" xfId="1298" applyNumberFormat="1" applyFont="1" applyFill="1" applyBorder="1" applyAlignment="1" applyProtection="1">
      <alignment horizontal="center"/>
    </xf>
    <xf numFmtId="193" fontId="29" fillId="0" borderId="19" xfId="1304" applyNumberFormat="1" applyFont="1" applyFill="1" applyBorder="1" applyAlignment="1">
      <alignment vertical="top"/>
    </xf>
    <xf numFmtId="39" fontId="29" fillId="0" borderId="19" xfId="1304" applyFont="1" applyFill="1" applyBorder="1" applyAlignment="1">
      <alignment vertical="center" wrapText="1"/>
    </xf>
    <xf numFmtId="174" fontId="29" fillId="0" borderId="19" xfId="1298" applyNumberFormat="1" applyFont="1" applyFill="1" applyBorder="1" applyAlignment="1"/>
    <xf numFmtId="39" fontId="29" fillId="0" borderId="74" xfId="1304" applyFont="1" applyFill="1" applyBorder="1" applyAlignment="1">
      <alignment horizontal="center" vertical="center"/>
    </xf>
    <xf numFmtId="39" fontId="29" fillId="0" borderId="19" xfId="1304" applyFont="1" applyFill="1" applyBorder="1" applyAlignment="1">
      <alignment horizontal="center" vertical="center"/>
    </xf>
    <xf numFmtId="39" fontId="29" fillId="0" borderId="19" xfId="1304" applyFont="1" applyFill="1" applyBorder="1" applyAlignment="1">
      <alignment wrapText="1"/>
    </xf>
    <xf numFmtId="2" fontId="29" fillId="0" borderId="19" xfId="1304" applyNumberFormat="1" applyFont="1" applyFill="1" applyBorder="1" applyAlignment="1">
      <alignment vertical="center"/>
    </xf>
    <xf numFmtId="39" fontId="29" fillId="0" borderId="74" xfId="1304" applyFont="1" applyFill="1" applyBorder="1" applyAlignment="1">
      <alignment vertical="center"/>
    </xf>
    <xf numFmtId="174" fontId="29" fillId="0" borderId="74" xfId="922" applyNumberFormat="1" applyFont="1" applyFill="1" applyBorder="1" applyAlignment="1">
      <alignment vertical="center"/>
    </xf>
    <xf numFmtId="2" fontId="29" fillId="0" borderId="74" xfId="1304" applyNumberFormat="1" applyFont="1" applyFill="1" applyBorder="1" applyAlignment="1">
      <alignment vertical="center"/>
    </xf>
    <xf numFmtId="39" fontId="30" fillId="0" borderId="74" xfId="1304" applyFont="1" applyFill="1" applyBorder="1" applyAlignment="1">
      <alignment horizontal="center"/>
    </xf>
    <xf numFmtId="174" fontId="29" fillId="0" borderId="19" xfId="1298" applyNumberFormat="1" applyFont="1" applyFill="1" applyBorder="1" applyAlignment="1" applyProtection="1">
      <alignment vertical="center"/>
    </xf>
    <xf numFmtId="4" fontId="29" fillId="0" borderId="19" xfId="792" applyNumberFormat="1" applyFont="1" applyFill="1" applyBorder="1" applyAlignment="1">
      <alignment vertical="center" wrapText="1"/>
    </xf>
    <xf numFmtId="201" fontId="29" fillId="0" borderId="74" xfId="1304" applyNumberFormat="1" applyFont="1" applyFill="1" applyBorder="1" applyAlignment="1">
      <alignment vertical="top"/>
    </xf>
    <xf numFmtId="174" fontId="29" fillId="0" borderId="19" xfId="922" applyNumberFormat="1" applyFont="1" applyFill="1" applyBorder="1" applyAlignment="1"/>
    <xf numFmtId="183" fontId="29" fillId="0" borderId="74" xfId="1304" applyNumberFormat="1" applyFont="1" applyFill="1" applyBorder="1" applyAlignment="1">
      <alignment vertical="top"/>
    </xf>
    <xf numFmtId="2" fontId="30" fillId="0" borderId="19" xfId="0" applyNumberFormat="1" applyFont="1" applyFill="1" applyBorder="1" applyAlignment="1">
      <alignment horizontal="center" vertical="center" wrapText="1"/>
    </xf>
    <xf numFmtId="174" fontId="29" fillId="0" borderId="19" xfId="792" applyNumberFormat="1" applyFont="1" applyFill="1" applyBorder="1" applyAlignment="1"/>
    <xf numFmtId="0" fontId="29" fillId="0" borderId="19" xfId="0" applyFont="1" applyFill="1" applyBorder="1" applyAlignment="1">
      <alignment horizontal="center"/>
    </xf>
    <xf numFmtId="174" fontId="29" fillId="0" borderId="19" xfId="798" applyNumberFormat="1" applyFont="1" applyFill="1" applyBorder="1" applyAlignment="1">
      <alignment horizontal="right"/>
    </xf>
    <xf numFmtId="4" fontId="29" fillId="0" borderId="19" xfId="792" applyNumberFormat="1" applyFont="1" applyFill="1" applyBorder="1" applyAlignment="1"/>
    <xf numFmtId="0" fontId="29" fillId="0" borderId="19" xfId="0" applyFont="1" applyFill="1" applyBorder="1" applyAlignment="1">
      <alignment horizontal="right" vertical="top" wrapText="1"/>
    </xf>
    <xf numFmtId="0" fontId="29" fillId="0" borderId="19" xfId="0" applyFont="1" applyFill="1" applyBorder="1" applyAlignment="1">
      <alignment horizontal="left" vertical="center" wrapText="1"/>
    </xf>
    <xf numFmtId="174" fontId="29" fillId="0" borderId="19" xfId="792" applyNumberFormat="1" applyFont="1" applyFill="1" applyBorder="1" applyAlignment="1">
      <alignment vertical="center" wrapText="1"/>
    </xf>
    <xf numFmtId="4" fontId="29" fillId="0" borderId="19" xfId="792" applyNumberFormat="1" applyFont="1" applyFill="1" applyBorder="1" applyAlignment="1">
      <alignment horizontal="center" vertical="center" wrapText="1"/>
    </xf>
    <xf numFmtId="0" fontId="29" fillId="0" borderId="19" xfId="0" applyFont="1" applyFill="1" applyBorder="1" applyAlignment="1" applyProtection="1">
      <alignment horizontal="center"/>
    </xf>
    <xf numFmtId="2" fontId="29" fillId="0" borderId="19" xfId="0" applyNumberFormat="1" applyFont="1" applyFill="1" applyBorder="1" applyAlignment="1">
      <alignment horizontal="right" vertical="top" wrapText="1"/>
    </xf>
    <xf numFmtId="39" fontId="30" fillId="0" borderId="74" xfId="1304" applyFont="1" applyFill="1" applyBorder="1" applyAlignment="1">
      <alignment horizontal="center" vertical="center"/>
    </xf>
    <xf numFmtId="201" fontId="29" fillId="0" borderId="74" xfId="1304" applyNumberFormat="1" applyFont="1" applyFill="1" applyBorder="1" applyAlignment="1">
      <alignment vertical="center"/>
    </xf>
    <xf numFmtId="39" fontId="30" fillId="0" borderId="19" xfId="1298" applyFont="1" applyFill="1" applyBorder="1" applyAlignment="1">
      <alignment vertical="center"/>
    </xf>
    <xf numFmtId="174" fontId="29" fillId="0" borderId="19" xfId="1298" applyNumberFormat="1" applyFont="1" applyFill="1" applyBorder="1" applyAlignment="1" applyProtection="1">
      <alignment horizontal="right"/>
    </xf>
    <xf numFmtId="4" fontId="29" fillId="0" borderId="74" xfId="1293" applyNumberFormat="1" applyFont="1" applyFill="1" applyBorder="1" applyAlignment="1">
      <alignment horizontal="right"/>
    </xf>
    <xf numFmtId="174" fontId="29" fillId="0" borderId="74" xfId="1298" applyNumberFormat="1" applyFont="1" applyFill="1" applyBorder="1" applyAlignment="1" applyProtection="1">
      <alignment vertical="center"/>
    </xf>
    <xf numFmtId="39" fontId="30" fillId="0" borderId="19" xfId="1304" applyFont="1" applyFill="1" applyBorder="1" applyAlignment="1">
      <alignment vertical="center"/>
    </xf>
    <xf numFmtId="174" fontId="29" fillId="0" borderId="19" xfId="1298" applyNumberFormat="1" applyFont="1" applyFill="1" applyBorder="1" applyAlignment="1" applyProtection="1"/>
    <xf numFmtId="174" fontId="29" fillId="0" borderId="19" xfId="798" applyNumberFormat="1" applyFont="1" applyFill="1" applyBorder="1" applyAlignment="1">
      <alignment vertical="center" wrapText="1"/>
    </xf>
    <xf numFmtId="0" fontId="91" fillId="0" borderId="19" xfId="0" applyFont="1" applyFill="1" applyBorder="1" applyAlignment="1">
      <alignment horizontal="justify" vertical="center" wrapText="1"/>
    </xf>
    <xf numFmtId="0" fontId="91" fillId="0" borderId="19" xfId="0" applyFont="1" applyFill="1" applyBorder="1" applyAlignment="1">
      <alignment vertical="top" wrapText="1"/>
    </xf>
    <xf numFmtId="0" fontId="91" fillId="0" borderId="74" xfId="0" applyFont="1" applyFill="1" applyBorder="1" applyAlignment="1">
      <alignment horizontal="justify" vertical="center" wrapText="1"/>
    </xf>
    <xf numFmtId="0" fontId="91" fillId="0" borderId="19" xfId="0" applyFont="1" applyFill="1" applyBorder="1" applyAlignment="1">
      <alignment horizontal="justify" vertical="center"/>
    </xf>
    <xf numFmtId="4" fontId="63" fillId="0" borderId="19" xfId="0" applyNumberFormat="1" applyFont="1" applyFill="1" applyBorder="1" applyAlignment="1">
      <alignment vertical="top"/>
    </xf>
    <xf numFmtId="0" fontId="9" fillId="48" borderId="0" xfId="0" applyFont="1" applyFill="1" applyBorder="1" applyAlignment="1">
      <alignment vertical="top" wrapText="1"/>
    </xf>
    <xf numFmtId="4" fontId="46" fillId="48" borderId="0" xfId="0" applyNumberFormat="1" applyFont="1" applyFill="1" applyBorder="1" applyAlignment="1"/>
    <xf numFmtId="4" fontId="63" fillId="0" borderId="19" xfId="0" applyNumberFormat="1" applyFont="1" applyFill="1" applyBorder="1" applyAlignment="1">
      <alignment horizontal="center" vertical="center"/>
    </xf>
    <xf numFmtId="4" fontId="8" fillId="48" borderId="19" xfId="0" applyNumberFormat="1" applyFont="1" applyFill="1" applyBorder="1" applyAlignment="1">
      <alignment vertical="top"/>
    </xf>
    <xf numFmtId="4" fontId="8" fillId="48" borderId="19" xfId="0" applyNumberFormat="1" applyFont="1" applyFill="1" applyBorder="1" applyAlignment="1">
      <alignment horizontal="center" vertical="top"/>
    </xf>
    <xf numFmtId="174" fontId="29" fillId="0" borderId="19" xfId="1304" applyNumberFormat="1" applyFont="1" applyFill="1" applyBorder="1" applyAlignment="1">
      <alignment vertical="center"/>
    </xf>
    <xf numFmtId="4" fontId="42" fillId="0" borderId="19" xfId="0" applyNumberFormat="1" applyFont="1" applyFill="1" applyBorder="1" applyAlignment="1">
      <alignment horizontal="center"/>
    </xf>
    <xf numFmtId="0" fontId="29" fillId="48" borderId="0" xfId="0" applyFont="1" applyFill="1" applyBorder="1"/>
    <xf numFmtId="0" fontId="42" fillId="48" borderId="0" xfId="0" applyFont="1" applyFill="1" applyBorder="1"/>
    <xf numFmtId="0" fontId="65" fillId="0" borderId="0" xfId="1293" applyFont="1" applyFill="1" applyBorder="1"/>
    <xf numFmtId="0" fontId="66" fillId="0" borderId="0" xfId="1293" applyFont="1" applyFill="1" applyBorder="1"/>
    <xf numFmtId="0" fontId="66" fillId="0" borderId="0" xfId="1293" applyFont="1" applyFill="1" applyBorder="1" applyAlignment="1">
      <alignment horizontal="right"/>
    </xf>
    <xf numFmtId="39" fontId="66" fillId="0" borderId="0" xfId="1293" applyNumberFormat="1" applyFont="1" applyFill="1" applyBorder="1" applyAlignment="1">
      <alignment horizontal="right"/>
    </xf>
    <xf numFmtId="0" fontId="66" fillId="0" borderId="0" xfId="1293" applyFont="1" applyFill="1" applyBorder="1" applyAlignment="1">
      <alignment wrapText="1"/>
    </xf>
    <xf numFmtId="2" fontId="66" fillId="0" borderId="0" xfId="1293" applyNumberFormat="1" applyFont="1" applyFill="1" applyBorder="1"/>
    <xf numFmtId="0" fontId="66" fillId="0" borderId="0" xfId="1293" applyFont="1" applyFill="1" applyBorder="1" applyAlignment="1">
      <alignment horizontal="centerContinuous"/>
    </xf>
    <xf numFmtId="39" fontId="66" fillId="0" borderId="0" xfId="1293" applyNumberFormat="1" applyFont="1" applyFill="1" applyBorder="1"/>
    <xf numFmtId="0" fontId="66" fillId="0" borderId="0" xfId="1293" applyFont="1" applyFill="1" applyBorder="1" applyAlignment="1">
      <alignment horizontal="center"/>
    </xf>
    <xf numFmtId="39" fontId="65" fillId="0" borderId="0" xfId="1293" applyNumberFormat="1" applyFont="1" applyFill="1" applyBorder="1" applyAlignment="1">
      <alignment horizontal="right"/>
    </xf>
    <xf numFmtId="0" fontId="65" fillId="0" borderId="0" xfId="1293" applyFont="1" applyFill="1" applyBorder="1" applyAlignment="1">
      <alignment horizontal="right"/>
    </xf>
    <xf numFmtId="2" fontId="65" fillId="0" borderId="0" xfId="1293" applyNumberFormat="1" applyFont="1" applyFill="1" applyBorder="1"/>
    <xf numFmtId="39" fontId="65" fillId="0" borderId="0" xfId="1293" applyNumberFormat="1" applyFont="1" applyFill="1" applyBorder="1"/>
    <xf numFmtId="0" fontId="8" fillId="0" borderId="79" xfId="0" applyFont="1" applyFill="1" applyBorder="1"/>
    <xf numFmtId="2" fontId="8" fillId="0" borderId="73" xfId="1293" applyNumberFormat="1" applyFont="1" applyFill="1" applyBorder="1"/>
    <xf numFmtId="39" fontId="8" fillId="0" borderId="73" xfId="1293" applyNumberFormat="1" applyFont="1" applyFill="1" applyBorder="1" applyAlignment="1">
      <alignment horizontal="center"/>
    </xf>
    <xf numFmtId="43" fontId="8" fillId="0" borderId="73" xfId="462" applyFont="1" applyFill="1" applyBorder="1"/>
    <xf numFmtId="0" fontId="8" fillId="0" borderId="80" xfId="0" applyFont="1" applyFill="1" applyBorder="1"/>
    <xf numFmtId="2" fontId="8" fillId="0" borderId="19" xfId="1293" applyNumberFormat="1" applyFont="1" applyFill="1" applyBorder="1"/>
    <xf numFmtId="39" fontId="8" fillId="0" borderId="19" xfId="1293" applyNumberFormat="1" applyFont="1" applyFill="1" applyBorder="1" applyAlignment="1">
      <alignment horizontal="center"/>
    </xf>
    <xf numFmtId="43" fontId="8" fillId="0" borderId="19" xfId="462" applyFont="1" applyFill="1" applyBorder="1"/>
    <xf numFmtId="0" fontId="8" fillId="0" borderId="60" xfId="0" applyFont="1" applyFill="1" applyBorder="1"/>
    <xf numFmtId="0" fontId="8" fillId="0" borderId="62" xfId="0" applyFont="1" applyFill="1" applyBorder="1"/>
    <xf numFmtId="2" fontId="8" fillId="0" borderId="63" xfId="1293" applyNumberFormat="1" applyFont="1" applyFill="1" applyBorder="1"/>
    <xf numFmtId="39" fontId="8" fillId="0" borderId="63" xfId="1293" applyNumberFormat="1" applyFont="1" applyFill="1" applyBorder="1" applyAlignment="1">
      <alignment horizontal="center"/>
    </xf>
    <xf numFmtId="43" fontId="8" fillId="0" borderId="63" xfId="462" applyFont="1" applyFill="1" applyBorder="1"/>
    <xf numFmtId="39" fontId="9" fillId="0" borderId="40" xfId="1293" applyNumberFormat="1" applyFont="1" applyFill="1" applyBorder="1" applyAlignment="1">
      <alignment horizontal="right"/>
    </xf>
    <xf numFmtId="43" fontId="9" fillId="0" borderId="56" xfId="917" applyFont="1" applyFill="1" applyBorder="1"/>
    <xf numFmtId="4" fontId="13" fillId="48" borderId="0" xfId="1293" applyNumberFormat="1" applyFont="1" applyFill="1"/>
    <xf numFmtId="0" fontId="13" fillId="48" borderId="0" xfId="1293" applyFont="1" applyFill="1"/>
    <xf numFmtId="4" fontId="13" fillId="48" borderId="0" xfId="1293" applyNumberFormat="1" applyFont="1" applyFill="1" applyBorder="1"/>
    <xf numFmtId="0" fontId="13" fillId="48" borderId="0" xfId="1293" applyFont="1" applyFill="1" applyBorder="1"/>
    <xf numFmtId="0" fontId="10" fillId="48" borderId="39" xfId="1293" applyFont="1" applyFill="1" applyBorder="1"/>
    <xf numFmtId="39" fontId="13" fillId="48" borderId="19" xfId="0" applyNumberFormat="1" applyFont="1" applyFill="1" applyBorder="1" applyAlignment="1" applyProtection="1">
      <alignment horizontal="right" vertical="center"/>
    </xf>
    <xf numFmtId="4" fontId="8" fillId="48" borderId="19" xfId="0" applyNumberFormat="1" applyFont="1" applyFill="1" applyBorder="1" applyAlignment="1">
      <alignment horizontal="right" vertical="center" wrapText="1"/>
    </xf>
    <xf numFmtId="0" fontId="8" fillId="48" borderId="19" xfId="0" applyNumberFormat="1" applyFont="1" applyFill="1" applyBorder="1" applyAlignment="1">
      <alignment vertical="center" wrapText="1"/>
    </xf>
    <xf numFmtId="4" fontId="8" fillId="57" borderId="19" xfId="0" applyNumberFormat="1" applyFont="1" applyFill="1" applyBorder="1" applyAlignment="1">
      <alignment horizontal="right" vertical="center" wrapText="1"/>
    </xf>
    <xf numFmtId="4" fontId="8" fillId="57" borderId="0" xfId="0" applyNumberFormat="1" applyFont="1" applyFill="1" applyBorder="1" applyAlignment="1">
      <alignment vertical="center" wrapText="1"/>
    </xf>
    <xf numFmtId="0" fontId="9" fillId="48" borderId="0" xfId="0" applyFont="1" applyFill="1" applyBorder="1" applyAlignment="1">
      <alignment horizontal="center" vertical="top" wrapText="1"/>
    </xf>
    <xf numFmtId="0" fontId="9" fillId="48" borderId="0" xfId="0" applyFont="1" applyFill="1" applyAlignment="1">
      <alignment horizontal="center" vertical="top" wrapText="1"/>
    </xf>
    <xf numFmtId="39" fontId="81" fillId="0" borderId="19" xfId="805" applyNumberFormat="1" applyFont="1" applyFill="1" applyBorder="1"/>
    <xf numFmtId="0" fontId="8" fillId="60" borderId="19" xfId="0" quotePrefix="1" applyFont="1" applyFill="1" applyBorder="1" applyAlignment="1">
      <alignment horizontal="left" wrapText="1"/>
    </xf>
    <xf numFmtId="0" fontId="8" fillId="0" borderId="0" xfId="0" applyFont="1" applyAlignment="1">
      <alignment horizontal="center" vertical="center"/>
    </xf>
    <xf numFmtId="0" fontId="0" fillId="0" borderId="0" xfId="0" applyAlignment="1">
      <alignment horizontal="center" vertical="center"/>
    </xf>
    <xf numFmtId="0" fontId="81" fillId="0" borderId="0" xfId="0" applyFont="1" applyAlignment="1">
      <alignment horizontal="center" vertical="center"/>
    </xf>
    <xf numFmtId="0" fontId="8" fillId="0" borderId="19" xfId="0" quotePrefix="1" applyFont="1" applyFill="1" applyBorder="1" applyAlignment="1">
      <alignment horizontal="left"/>
    </xf>
    <xf numFmtId="0" fontId="10" fillId="48" borderId="24" xfId="1295" applyFont="1" applyFill="1" applyBorder="1" applyAlignment="1">
      <alignment vertical="center"/>
    </xf>
    <xf numFmtId="39" fontId="10" fillId="48" borderId="24" xfId="1295" applyNumberFormat="1" applyFont="1" applyFill="1" applyBorder="1" applyAlignment="1">
      <alignment horizontal="center" vertical="center"/>
    </xf>
    <xf numFmtId="39" fontId="10" fillId="48" borderId="24" xfId="1295" applyNumberFormat="1" applyFont="1" applyFill="1" applyBorder="1" applyAlignment="1">
      <alignment vertical="center"/>
    </xf>
    <xf numFmtId="43" fontId="10" fillId="48" borderId="24" xfId="462" applyFont="1" applyFill="1" applyBorder="1" applyAlignment="1">
      <alignment vertical="center"/>
    </xf>
    <xf numFmtId="0" fontId="0" fillId="0" borderId="0" xfId="0" applyAlignment="1">
      <alignment vertical="center"/>
    </xf>
    <xf numFmtId="0" fontId="10" fillId="48" borderId="24" xfId="1295" applyFont="1" applyFill="1" applyBorder="1" applyAlignment="1">
      <alignment horizontal="center" vertical="center"/>
    </xf>
    <xf numFmtId="0" fontId="10" fillId="48" borderId="24" xfId="1295" applyFont="1" applyFill="1" applyBorder="1" applyAlignment="1">
      <alignment horizontal="left" wrapText="1"/>
    </xf>
    <xf numFmtId="0" fontId="22" fillId="48" borderId="0" xfId="1295" applyFont="1" applyFill="1" applyBorder="1" applyAlignment="1">
      <alignment horizontal="center" vertical="center"/>
    </xf>
    <xf numFmtId="43" fontId="10" fillId="48" borderId="24" xfId="462" applyFont="1" applyFill="1" applyBorder="1" applyAlignment="1">
      <alignment horizontal="centerContinuous" vertical="center"/>
    </xf>
    <xf numFmtId="0" fontId="10" fillId="48" borderId="0" xfId="1295" applyFont="1" applyFill="1" applyBorder="1" applyAlignment="1">
      <alignment vertical="center"/>
    </xf>
    <xf numFmtId="0" fontId="10" fillId="48" borderId="24" xfId="1295" applyFont="1" applyFill="1" applyBorder="1" applyAlignment="1">
      <alignment horizontal="centerContinuous" vertical="center"/>
    </xf>
    <xf numFmtId="39" fontId="44" fillId="48" borderId="24" xfId="1295" quotePrefix="1" applyNumberFormat="1" applyFont="1" applyFill="1" applyBorder="1" applyAlignment="1">
      <alignment horizontal="left" vertical="center"/>
    </xf>
    <xf numFmtId="39" fontId="10" fillId="48" borderId="0" xfId="1295" quotePrefix="1" applyNumberFormat="1" applyFont="1" applyFill="1" applyBorder="1" applyAlignment="1">
      <alignment horizontal="left" vertical="center"/>
    </xf>
    <xf numFmtId="39" fontId="10" fillId="48" borderId="24" xfId="1295" applyNumberFormat="1" applyFont="1" applyFill="1" applyBorder="1" applyAlignment="1">
      <alignment horizontal="centerContinuous" vertical="center"/>
    </xf>
    <xf numFmtId="0" fontId="10" fillId="48" borderId="0" xfId="1295" applyFont="1" applyFill="1" applyBorder="1" applyAlignment="1">
      <alignment horizontal="centerContinuous" vertical="center"/>
    </xf>
    <xf numFmtId="0" fontId="9" fillId="48" borderId="0" xfId="972" quotePrefix="1" applyFont="1" applyFill="1" applyBorder="1" applyAlignment="1">
      <alignment horizontal="center" vertical="center"/>
    </xf>
    <xf numFmtId="0" fontId="8" fillId="48" borderId="73" xfId="1295" applyFont="1" applyFill="1" applyBorder="1" applyAlignment="1">
      <alignment vertical="center"/>
    </xf>
    <xf numFmtId="2" fontId="8" fillId="48" borderId="19" xfId="1295" applyNumberFormat="1" applyFont="1" applyFill="1" applyBorder="1" applyAlignment="1">
      <alignment vertical="center"/>
    </xf>
    <xf numFmtId="0" fontId="8" fillId="48" borderId="63" xfId="1295" applyFont="1" applyFill="1" applyBorder="1" applyAlignment="1">
      <alignment vertical="center"/>
    </xf>
    <xf numFmtId="0" fontId="8" fillId="48" borderId="0" xfId="1295" applyFont="1" applyFill="1" applyBorder="1" applyAlignment="1">
      <alignment vertical="center"/>
    </xf>
    <xf numFmtId="0" fontId="8" fillId="48" borderId="0" xfId="1295" applyFont="1" applyFill="1" applyAlignment="1">
      <alignment vertical="center"/>
    </xf>
    <xf numFmtId="39" fontId="10" fillId="48" borderId="0" xfId="1295" applyNumberFormat="1" applyFont="1" applyFill="1" applyBorder="1" applyAlignment="1">
      <alignment horizontal="centerContinuous" vertical="center"/>
    </xf>
    <xf numFmtId="0" fontId="29" fillId="48" borderId="0" xfId="1295" applyFont="1" applyFill="1" applyBorder="1" applyAlignment="1">
      <alignment horizontal="center" vertical="center"/>
    </xf>
    <xf numFmtId="0" fontId="51" fillId="48" borderId="0" xfId="1295" applyFont="1" applyFill="1" applyBorder="1" applyAlignment="1">
      <alignment horizontal="centerContinuous" vertical="center"/>
    </xf>
    <xf numFmtId="0" fontId="44" fillId="48" borderId="0" xfId="1295" applyFont="1" applyFill="1" applyBorder="1" applyAlignment="1">
      <alignment vertical="center"/>
    </xf>
    <xf numFmtId="0" fontId="33" fillId="48" borderId="0" xfId="1050" applyFont="1" applyFill="1" applyBorder="1" applyAlignment="1">
      <alignment vertical="center"/>
    </xf>
    <xf numFmtId="0" fontId="34" fillId="48" borderId="0" xfId="1295" applyFont="1" applyFill="1" applyAlignment="1">
      <alignment vertical="center"/>
    </xf>
    <xf numFmtId="175" fontId="34" fillId="48" borderId="40" xfId="1295" applyNumberFormat="1" applyFont="1" applyFill="1" applyBorder="1" applyAlignment="1">
      <alignment vertical="center"/>
    </xf>
    <xf numFmtId="0" fontId="33" fillId="48" borderId="0" xfId="972" applyFont="1" applyFill="1" applyBorder="1" applyAlignment="1">
      <alignment vertical="center"/>
    </xf>
    <xf numFmtId="2" fontId="32" fillId="48" borderId="0" xfId="972" applyNumberFormat="1" applyFont="1" applyFill="1" applyAlignment="1">
      <alignment horizontal="center" vertical="center"/>
    </xf>
    <xf numFmtId="0" fontId="33" fillId="48" borderId="25" xfId="972" applyFont="1" applyFill="1" applyBorder="1" applyAlignment="1">
      <alignment vertical="center"/>
    </xf>
    <xf numFmtId="0" fontId="33" fillId="48" borderId="55" xfId="972" applyFont="1" applyFill="1" applyBorder="1" applyAlignment="1">
      <alignment vertical="center"/>
    </xf>
    <xf numFmtId="0" fontId="32" fillId="48" borderId="0" xfId="972" applyFont="1" applyFill="1" applyBorder="1" applyAlignment="1">
      <alignment vertical="center"/>
    </xf>
    <xf numFmtId="0" fontId="10" fillId="48" borderId="0" xfId="1295" applyFont="1" applyFill="1" applyAlignment="1">
      <alignment vertical="center"/>
    </xf>
    <xf numFmtId="0" fontId="54" fillId="48" borderId="0" xfId="972" applyFont="1" applyFill="1" applyAlignment="1">
      <alignment horizontal="center" vertical="center"/>
    </xf>
    <xf numFmtId="0" fontId="33" fillId="48" borderId="40" xfId="972" applyFont="1" applyFill="1" applyBorder="1" applyAlignment="1">
      <alignment vertical="center"/>
    </xf>
    <xf numFmtId="39" fontId="8" fillId="48" borderId="73" xfId="972" applyNumberFormat="1" applyFont="1" applyFill="1" applyBorder="1" applyAlignment="1">
      <alignment vertical="center"/>
    </xf>
    <xf numFmtId="39" fontId="8" fillId="48" borderId="19" xfId="972" applyNumberFormat="1" applyFont="1" applyFill="1" applyBorder="1" applyAlignment="1">
      <alignment vertical="center"/>
    </xf>
    <xf numFmtId="2" fontId="8" fillId="48" borderId="63" xfId="972" applyNumberFormat="1" applyFont="1" applyFill="1" applyBorder="1" applyAlignment="1">
      <alignment vertical="center"/>
    </xf>
    <xf numFmtId="0" fontId="8" fillId="48" borderId="55" xfId="972" applyFont="1" applyFill="1" applyBorder="1" applyAlignment="1">
      <alignment vertical="center"/>
    </xf>
    <xf numFmtId="199" fontId="8" fillId="48" borderId="0" xfId="972" applyNumberFormat="1" applyFont="1" applyFill="1" applyAlignment="1">
      <alignment vertical="center"/>
    </xf>
    <xf numFmtId="0" fontId="8" fillId="48" borderId="0" xfId="972" applyFont="1" applyFill="1" applyAlignment="1">
      <alignment vertical="center"/>
    </xf>
    <xf numFmtId="2" fontId="33" fillId="48" borderId="25" xfId="972" applyNumberFormat="1" applyFont="1" applyFill="1" applyBorder="1" applyAlignment="1">
      <alignment vertical="center"/>
    </xf>
    <xf numFmtId="0" fontId="32" fillId="48" borderId="0" xfId="972" applyFont="1" applyFill="1" applyBorder="1" applyAlignment="1">
      <alignment horizontal="center" vertical="center"/>
    </xf>
    <xf numFmtId="0" fontId="8" fillId="48" borderId="0" xfId="1293" applyFont="1" applyFill="1" applyBorder="1" applyAlignment="1">
      <alignment vertical="center"/>
    </xf>
    <xf numFmtId="0" fontId="8" fillId="48" borderId="40" xfId="1293" applyFont="1" applyFill="1" applyBorder="1" applyAlignment="1">
      <alignment vertical="center"/>
    </xf>
    <xf numFmtId="0" fontId="33" fillId="48" borderId="0" xfId="1293" applyFont="1" applyFill="1" applyAlignment="1">
      <alignment vertical="center"/>
    </xf>
    <xf numFmtId="0" fontId="31" fillId="50" borderId="0" xfId="1050" applyFont="1" applyFill="1" applyAlignment="1">
      <alignment horizontal="center" vertical="center"/>
    </xf>
    <xf numFmtId="0" fontId="32" fillId="50" borderId="0" xfId="1050" applyFont="1" applyFill="1" applyAlignment="1">
      <alignment horizontal="right" vertical="center"/>
    </xf>
    <xf numFmtId="0" fontId="32" fillId="50" borderId="0" xfId="1050" applyFont="1" applyFill="1" applyAlignment="1">
      <alignment horizontal="left" vertical="center"/>
    </xf>
    <xf numFmtId="0" fontId="32" fillId="48" borderId="0" xfId="1050" applyFont="1" applyFill="1" applyAlignment="1">
      <alignment horizontal="left" vertical="center"/>
    </xf>
    <xf numFmtId="0" fontId="8" fillId="48" borderId="20" xfId="1295" applyFont="1" applyFill="1" applyBorder="1" applyAlignment="1">
      <alignment vertical="center"/>
    </xf>
    <xf numFmtId="0" fontId="8" fillId="48" borderId="20" xfId="1295" applyFont="1" applyFill="1" applyBorder="1" applyAlignment="1">
      <alignment horizontal="centerContinuous"/>
    </xf>
    <xf numFmtId="39" fontId="8" fillId="48" borderId="20" xfId="1295" applyNumberFormat="1" applyFont="1" applyFill="1" applyBorder="1"/>
    <xf numFmtId="0" fontId="8" fillId="48" borderId="19" xfId="1295" applyFont="1" applyFill="1" applyBorder="1"/>
    <xf numFmtId="0" fontId="8" fillId="48" borderId="25" xfId="1295" applyFont="1" applyFill="1" applyBorder="1"/>
    <xf numFmtId="0" fontId="8" fillId="48" borderId="25" xfId="1295" applyFont="1" applyFill="1" applyBorder="1" applyAlignment="1">
      <alignment vertical="center"/>
    </xf>
    <xf numFmtId="0" fontId="9" fillId="48" borderId="25" xfId="1295" applyFont="1" applyFill="1" applyBorder="1" applyAlignment="1">
      <alignment horizontal="right"/>
    </xf>
    <xf numFmtId="39" fontId="9" fillId="48" borderId="97" xfId="1295" applyNumberFormat="1" applyFont="1" applyFill="1" applyBorder="1" applyAlignment="1">
      <alignment horizontal="right"/>
    </xf>
    <xf numFmtId="43" fontId="10" fillId="48" borderId="24" xfId="462" applyFont="1" applyFill="1" applyBorder="1" applyAlignment="1">
      <alignment horizontal="center" vertical="center"/>
    </xf>
    <xf numFmtId="0" fontId="10" fillId="48" borderId="24" xfId="1295" applyFont="1" applyFill="1" applyBorder="1" applyAlignment="1">
      <alignment vertical="center" wrapText="1"/>
    </xf>
    <xf numFmtId="4" fontId="50" fillId="48" borderId="24" xfId="924" applyNumberFormat="1" applyFont="1" applyFill="1" applyBorder="1" applyAlignment="1">
      <alignment vertical="center"/>
    </xf>
    <xf numFmtId="4" fontId="50" fillId="48" borderId="24" xfId="924" applyNumberFormat="1" applyFont="1" applyFill="1" applyBorder="1" applyAlignment="1">
      <alignment horizontal="right"/>
    </xf>
    <xf numFmtId="0" fontId="92" fillId="50" borderId="0" xfId="0" applyFont="1" applyFill="1" applyAlignment="1">
      <alignment horizontal="center" vertical="center"/>
    </xf>
    <xf numFmtId="0" fontId="8" fillId="0" borderId="19" xfId="0" quotePrefix="1" applyFont="1" applyFill="1" applyBorder="1" applyAlignment="1">
      <alignment horizontal="left" vertical="center"/>
    </xf>
    <xf numFmtId="0" fontId="8" fillId="0" borderId="0" xfId="0" applyFont="1" applyAlignment="1">
      <alignment vertical="center"/>
    </xf>
    <xf numFmtId="0" fontId="8" fillId="0" borderId="19" xfId="0" quotePrefix="1" applyFont="1" applyFill="1" applyBorder="1" applyAlignment="1">
      <alignment horizontal="left" vertical="center" wrapText="1"/>
    </xf>
    <xf numFmtId="0" fontId="8" fillId="0" borderId="19" xfId="0" applyFont="1" applyFill="1" applyBorder="1" applyAlignment="1">
      <alignment vertical="center"/>
    </xf>
    <xf numFmtId="0" fontId="0" fillId="50" borderId="0" xfId="0" applyFill="1" applyAlignment="1">
      <alignment vertical="center"/>
    </xf>
    <xf numFmtId="0" fontId="81" fillId="63" borderId="0" xfId="0" applyFont="1" applyFill="1"/>
    <xf numFmtId="0" fontId="0" fillId="63" borderId="0" xfId="0" applyFill="1"/>
    <xf numFmtId="0" fontId="8" fillId="63" borderId="0" xfId="0" applyFont="1" applyFill="1"/>
    <xf numFmtId="0" fontId="81" fillId="0" borderId="0" xfId="0" quotePrefix="1" applyFont="1" applyFill="1" applyBorder="1" applyAlignment="1">
      <alignment horizontal="left"/>
    </xf>
    <xf numFmtId="2" fontId="81" fillId="48" borderId="19" xfId="1295" applyNumberFormat="1" applyFont="1" applyFill="1" applyBorder="1" applyAlignment="1">
      <alignment vertical="center"/>
    </xf>
    <xf numFmtId="39" fontId="81" fillId="48" borderId="19" xfId="1295" applyNumberFormat="1" applyFont="1" applyFill="1" applyBorder="1"/>
    <xf numFmtId="0" fontId="81" fillId="0" borderId="75" xfId="0" applyFont="1" applyFill="1" applyBorder="1"/>
    <xf numFmtId="0" fontId="8" fillId="48" borderId="55" xfId="1295" applyFont="1" applyFill="1" applyBorder="1" applyAlignment="1">
      <alignment vertical="center"/>
    </xf>
    <xf numFmtId="0" fontId="8" fillId="48" borderId="55" xfId="1295" applyFont="1" applyFill="1" applyBorder="1"/>
    <xf numFmtId="0" fontId="8" fillId="48" borderId="56" xfId="1295" applyFont="1" applyFill="1" applyBorder="1"/>
    <xf numFmtId="39" fontId="9" fillId="48" borderId="98" xfId="1295" applyNumberFormat="1" applyFont="1" applyFill="1" applyBorder="1" applyAlignment="1">
      <alignment horizontal="right"/>
    </xf>
    <xf numFmtId="0" fontId="81" fillId="0" borderId="75" xfId="0" quotePrefix="1" applyFont="1" applyFill="1" applyBorder="1" applyAlignment="1">
      <alignment horizontal="left"/>
    </xf>
    <xf numFmtId="39" fontId="8" fillId="48" borderId="52" xfId="1295" applyNumberFormat="1" applyFont="1" applyFill="1" applyBorder="1"/>
    <xf numFmtId="0" fontId="8" fillId="48" borderId="84" xfId="1295" applyFont="1" applyFill="1" applyBorder="1"/>
    <xf numFmtId="0" fontId="81" fillId="0" borderId="53" xfId="0" applyFont="1" applyFill="1" applyBorder="1"/>
    <xf numFmtId="0" fontId="10" fillId="48" borderId="55" xfId="1295" applyFont="1" applyFill="1" applyBorder="1" applyAlignment="1">
      <alignment vertical="center"/>
    </xf>
    <xf numFmtId="0" fontId="10" fillId="48" borderId="55" xfId="1295" applyFont="1" applyFill="1" applyBorder="1"/>
    <xf numFmtId="0" fontId="10" fillId="48" borderId="56" xfId="1295" applyFont="1" applyFill="1" applyBorder="1"/>
    <xf numFmtId="0" fontId="10" fillId="48" borderId="42" xfId="1295" applyFont="1" applyFill="1" applyBorder="1"/>
    <xf numFmtId="43" fontId="10" fillId="48" borderId="43" xfId="462" applyFont="1" applyFill="1" applyBorder="1"/>
    <xf numFmtId="0" fontId="10" fillId="48" borderId="44" xfId="1295" applyFont="1" applyFill="1" applyBorder="1"/>
    <xf numFmtId="39" fontId="10" fillId="48" borderId="45" xfId="1295" applyNumberFormat="1" applyFont="1" applyFill="1" applyBorder="1" applyAlignment="1">
      <alignment horizontal="centerContinuous" vertical="center"/>
    </xf>
    <xf numFmtId="39" fontId="10" fillId="48" borderId="45" xfId="1295" applyNumberFormat="1" applyFont="1" applyFill="1" applyBorder="1"/>
    <xf numFmtId="39" fontId="44" fillId="48" borderId="45" xfId="1295" quotePrefix="1" applyNumberFormat="1" applyFont="1" applyFill="1" applyBorder="1" applyAlignment="1">
      <alignment horizontal="right"/>
    </xf>
    <xf numFmtId="2" fontId="44" fillId="48" borderId="46" xfId="1295" applyNumberFormat="1" applyFont="1" applyFill="1" applyBorder="1" applyAlignment="1">
      <alignment horizontal="right"/>
    </xf>
    <xf numFmtId="0" fontId="10" fillId="48" borderId="48" xfId="1295" applyFont="1" applyFill="1" applyBorder="1"/>
    <xf numFmtId="39" fontId="10" fillId="48" borderId="25" xfId="1295" applyNumberFormat="1" applyFont="1" applyFill="1" applyBorder="1" applyAlignment="1">
      <alignment horizontal="centerContinuous" vertical="center"/>
    </xf>
    <xf numFmtId="0" fontId="10" fillId="48" borderId="25" xfId="1295" applyFont="1" applyFill="1" applyBorder="1"/>
    <xf numFmtId="43" fontId="10" fillId="48" borderId="25" xfId="462" applyFont="1" applyFill="1" applyBorder="1"/>
    <xf numFmtId="43" fontId="10" fillId="48" borderId="72" xfId="462" applyFont="1" applyFill="1" applyBorder="1"/>
    <xf numFmtId="0" fontId="10" fillId="48" borderId="84" xfId="1295" applyFont="1" applyFill="1" applyBorder="1" applyAlignment="1">
      <alignment vertical="center"/>
    </xf>
    <xf numFmtId="0" fontId="10" fillId="48" borderId="84" xfId="1295" applyFont="1" applyFill="1" applyBorder="1"/>
    <xf numFmtId="0" fontId="10" fillId="48" borderId="57" xfId="1295" applyFont="1" applyFill="1" applyBorder="1"/>
    <xf numFmtId="43" fontId="93" fillId="48" borderId="24" xfId="462" applyFont="1" applyFill="1" applyBorder="1"/>
    <xf numFmtId="0" fontId="8" fillId="0" borderId="0" xfId="972" applyFill="1"/>
    <xf numFmtId="0" fontId="10" fillId="0" borderId="24" xfId="1295" applyFont="1" applyFill="1" applyBorder="1"/>
    <xf numFmtId="39" fontId="10" fillId="0" borderId="24" xfId="1295" applyNumberFormat="1" applyFont="1" applyFill="1" applyBorder="1" applyAlignment="1">
      <alignment horizontal="centerContinuous" vertical="center"/>
    </xf>
    <xf numFmtId="43" fontId="10" fillId="0" borderId="24" xfId="462" applyFont="1" applyFill="1" applyBorder="1"/>
    <xf numFmtId="39" fontId="10" fillId="0" borderId="24" xfId="1295" applyNumberFormat="1" applyFont="1" applyFill="1" applyBorder="1"/>
    <xf numFmtId="43" fontId="10" fillId="0" borderId="24" xfId="462" applyFont="1" applyFill="1" applyBorder="1" applyAlignment="1">
      <alignment horizontal="centerContinuous"/>
    </xf>
    <xf numFmtId="0" fontId="44" fillId="0" borderId="79" xfId="1295" applyFont="1" applyFill="1" applyBorder="1"/>
    <xf numFmtId="0" fontId="10" fillId="0" borderId="55" xfId="1295" applyFont="1" applyFill="1" applyBorder="1" applyAlignment="1">
      <alignment vertical="center"/>
    </xf>
    <xf numFmtId="0" fontId="10" fillId="0" borderId="55" xfId="1295" applyFont="1" applyFill="1" applyBorder="1"/>
    <xf numFmtId="0" fontId="10" fillId="0" borderId="56" xfId="1295" applyFont="1" applyFill="1" applyBorder="1"/>
    <xf numFmtId="0" fontId="10" fillId="0" borderId="42" xfId="1295" applyFont="1" applyFill="1" applyBorder="1"/>
    <xf numFmtId="43" fontId="10" fillId="0" borderId="43" xfId="462" applyFont="1" applyFill="1" applyBorder="1"/>
    <xf numFmtId="0" fontId="10" fillId="0" borderId="44" xfId="1295" applyFont="1" applyFill="1" applyBorder="1"/>
    <xf numFmtId="39" fontId="10" fillId="0" borderId="45" xfId="1295" applyNumberFormat="1" applyFont="1" applyFill="1" applyBorder="1" applyAlignment="1">
      <alignment horizontal="centerContinuous" vertical="center"/>
    </xf>
    <xf numFmtId="39" fontId="10" fillId="0" borderId="45" xfId="1295" applyNumberFormat="1" applyFont="1" applyFill="1" applyBorder="1"/>
    <xf numFmtId="39" fontId="44" fillId="0" borderId="45" xfId="1295" quotePrefix="1" applyNumberFormat="1" applyFont="1" applyFill="1" applyBorder="1" applyAlignment="1">
      <alignment horizontal="right"/>
    </xf>
    <xf numFmtId="0" fontId="10" fillId="0" borderId="78" xfId="1295" applyFont="1" applyFill="1" applyBorder="1"/>
    <xf numFmtId="39" fontId="10" fillId="0" borderId="0" xfId="1295" applyNumberFormat="1" applyFont="1" applyFill="1" applyBorder="1" applyAlignment="1">
      <alignment horizontal="centerContinuous" vertical="center"/>
    </xf>
    <xf numFmtId="39" fontId="10" fillId="0" borderId="0" xfId="1295" applyNumberFormat="1" applyFont="1" applyFill="1" applyBorder="1"/>
    <xf numFmtId="39" fontId="44" fillId="0" borderId="0" xfId="1295" quotePrefix="1" applyNumberFormat="1" applyFont="1" applyFill="1" applyBorder="1" applyAlignment="1">
      <alignment horizontal="right"/>
    </xf>
    <xf numFmtId="2" fontId="89" fillId="0" borderId="0" xfId="1295" applyNumberFormat="1" applyFont="1" applyFill="1" applyBorder="1" applyAlignment="1">
      <alignment horizontal="right"/>
    </xf>
    <xf numFmtId="0" fontId="44" fillId="48" borderId="79" xfId="1295" quotePrefix="1" applyFont="1" applyFill="1" applyBorder="1" applyAlignment="1">
      <alignment horizontal="left"/>
    </xf>
    <xf numFmtId="0" fontId="10" fillId="48" borderId="55" xfId="1295" applyFont="1" applyFill="1" applyBorder="1" applyAlignment="1">
      <alignment horizontal="centerContinuous" vertical="center"/>
    </xf>
    <xf numFmtId="2" fontId="10" fillId="48" borderId="43" xfId="1295" applyNumberFormat="1" applyFont="1" applyFill="1" applyBorder="1"/>
    <xf numFmtId="0" fontId="10" fillId="48" borderId="45" xfId="1295" applyFont="1" applyFill="1" applyBorder="1" applyAlignment="1">
      <alignment vertical="center"/>
    </xf>
    <xf numFmtId="0" fontId="10" fillId="48" borderId="45" xfId="1295" applyFont="1" applyFill="1" applyBorder="1"/>
    <xf numFmtId="0" fontId="44" fillId="48" borderId="45" xfId="1295" applyFont="1" applyFill="1" applyBorder="1" applyAlignment="1">
      <alignment horizontal="right"/>
    </xf>
    <xf numFmtId="39" fontId="44" fillId="48" borderId="46" xfId="1295" applyNumberFormat="1" applyFont="1" applyFill="1" applyBorder="1" applyAlignment="1">
      <alignment horizontal="right"/>
    </xf>
    <xf numFmtId="39" fontId="10" fillId="48" borderId="55" xfId="1295" applyNumberFormat="1" applyFont="1" applyFill="1" applyBorder="1"/>
    <xf numFmtId="0" fontId="10" fillId="48" borderId="45" xfId="1295" applyFont="1" applyFill="1" applyBorder="1" applyAlignment="1">
      <alignment horizontal="centerContinuous" vertical="center"/>
    </xf>
    <xf numFmtId="2" fontId="10" fillId="48" borderId="45" xfId="1295" applyNumberFormat="1" applyFont="1" applyFill="1" applyBorder="1"/>
    <xf numFmtId="2" fontId="44" fillId="48" borderId="45" xfId="1295" applyNumberFormat="1" applyFont="1" applyFill="1" applyBorder="1" applyAlignment="1">
      <alignment horizontal="right"/>
    </xf>
    <xf numFmtId="0" fontId="10" fillId="48" borderId="42" xfId="1295" applyFont="1" applyFill="1" applyBorder="1" applyAlignment="1">
      <alignment vertical="center" wrapText="1"/>
    </xf>
    <xf numFmtId="2" fontId="10" fillId="48" borderId="24" xfId="1295" applyNumberFormat="1" applyFont="1" applyFill="1" applyBorder="1" applyAlignment="1">
      <alignment vertical="center"/>
    </xf>
    <xf numFmtId="43" fontId="10" fillId="48" borderId="43" xfId="462" applyFont="1" applyFill="1" applyBorder="1" applyAlignment="1">
      <alignment vertical="center"/>
    </xf>
    <xf numFmtId="39" fontId="44" fillId="48" borderId="45" xfId="1295" applyNumberFormat="1" applyFont="1" applyFill="1" applyBorder="1" applyAlignment="1">
      <alignment horizontal="right"/>
    </xf>
    <xf numFmtId="0" fontId="44" fillId="0" borderId="79" xfId="1295" quotePrefix="1" applyFont="1" applyFill="1" applyBorder="1" applyAlignment="1">
      <alignment horizontal="left"/>
    </xf>
    <xf numFmtId="2" fontId="44" fillId="0" borderId="46" xfId="1295" applyNumberFormat="1" applyFont="1" applyFill="1" applyBorder="1" applyAlignment="1">
      <alignment horizontal="right"/>
    </xf>
    <xf numFmtId="0" fontId="90" fillId="0" borderId="0" xfId="0" applyFont="1"/>
    <xf numFmtId="0" fontId="8" fillId="0" borderId="19" xfId="0" applyFont="1" applyFill="1" applyBorder="1" applyAlignment="1">
      <alignment horizontal="left" vertical="top" wrapText="1"/>
    </xf>
    <xf numFmtId="0" fontId="9" fillId="0" borderId="0" xfId="0" applyFont="1"/>
    <xf numFmtId="0" fontId="9" fillId="0" borderId="19" xfId="0" applyFont="1" applyFill="1" applyBorder="1" applyAlignment="1">
      <alignment horizontal="left" vertical="top" wrapText="1"/>
    </xf>
    <xf numFmtId="0" fontId="8" fillId="48" borderId="0" xfId="0" applyFont="1" applyFill="1" applyAlignment="1">
      <alignment vertical="center"/>
    </xf>
    <xf numFmtId="0" fontId="8" fillId="48" borderId="0" xfId="0" applyFont="1" applyFill="1" applyBorder="1" applyAlignment="1">
      <alignment horizontal="center" vertical="center" wrapText="1"/>
    </xf>
    <xf numFmtId="4" fontId="8" fillId="48" borderId="0" xfId="0" applyNumberFormat="1" applyFont="1" applyFill="1" applyBorder="1" applyAlignment="1">
      <alignment vertical="top" wrapText="1"/>
    </xf>
    <xf numFmtId="169" fontId="9" fillId="48" borderId="0" xfId="699" applyFont="1" applyFill="1" applyBorder="1" applyAlignment="1">
      <alignment vertical="top" wrapText="1"/>
    </xf>
    <xf numFmtId="200" fontId="9" fillId="48" borderId="0" xfId="0" applyNumberFormat="1" applyFont="1" applyFill="1" applyBorder="1" applyAlignment="1">
      <alignment vertical="top" wrapText="1"/>
    </xf>
    <xf numFmtId="4" fontId="8" fillId="48" borderId="0" xfId="0" applyNumberFormat="1" applyFont="1" applyFill="1" applyBorder="1" applyAlignment="1">
      <alignment vertical="center" wrapText="1"/>
    </xf>
    <xf numFmtId="0" fontId="9" fillId="48" borderId="0" xfId="0" applyFont="1" applyFill="1" applyBorder="1" applyAlignment="1">
      <alignment vertical="center" wrapText="1"/>
    </xf>
    <xf numFmtId="0" fontId="8" fillId="48" borderId="19" xfId="1241" applyFont="1" applyFill="1" applyBorder="1" applyAlignment="1">
      <alignment horizontal="left" vertical="center" wrapText="1"/>
    </xf>
    <xf numFmtId="4" fontId="8" fillId="48" borderId="19" xfId="868" applyNumberFormat="1" applyFont="1" applyFill="1" applyBorder="1" applyAlignment="1" applyProtection="1">
      <alignment vertical="center" wrapText="1"/>
      <protection locked="0"/>
    </xf>
    <xf numFmtId="169" fontId="9" fillId="48" borderId="0" xfId="0" applyNumberFormat="1" applyFont="1" applyFill="1" applyBorder="1" applyAlignment="1">
      <alignment vertical="center" wrapText="1"/>
    </xf>
    <xf numFmtId="174" fontId="8" fillId="48" borderId="19" xfId="0" applyNumberFormat="1" applyFont="1" applyFill="1" applyBorder="1" applyAlignment="1">
      <alignment vertical="center"/>
    </xf>
    <xf numFmtId="174" fontId="8" fillId="48" borderId="19" xfId="0" applyNumberFormat="1" applyFont="1" applyFill="1" applyBorder="1" applyAlignment="1">
      <alignment horizontal="center" vertical="center"/>
    </xf>
    <xf numFmtId="43" fontId="8" fillId="48" borderId="19" xfId="805" applyFont="1" applyFill="1" applyBorder="1" applyAlignment="1">
      <alignment horizontal="right" vertical="center"/>
    </xf>
    <xf numFmtId="0" fontId="8" fillId="48" borderId="19" xfId="0" quotePrefix="1" applyFont="1" applyFill="1" applyBorder="1" applyAlignment="1">
      <alignment horizontal="left"/>
    </xf>
    <xf numFmtId="0" fontId="8" fillId="48" borderId="19" xfId="0" quotePrefix="1" applyFont="1" applyFill="1" applyBorder="1" applyAlignment="1">
      <alignment horizontal="left" wrapText="1"/>
    </xf>
    <xf numFmtId="0" fontId="9" fillId="48" borderId="0" xfId="0" applyFont="1" applyFill="1" applyBorder="1" applyAlignment="1">
      <alignment vertical="center"/>
    </xf>
    <xf numFmtId="4" fontId="8" fillId="48" borderId="19" xfId="0" applyNumberFormat="1" applyFont="1" applyFill="1" applyBorder="1" applyAlignment="1">
      <alignment vertical="center"/>
    </xf>
    <xf numFmtId="0" fontId="8" fillId="48" borderId="0" xfId="0" applyFont="1" applyFill="1" applyBorder="1" applyAlignment="1">
      <alignment vertical="center" wrapText="1"/>
    </xf>
    <xf numFmtId="16" fontId="9" fillId="48" borderId="0" xfId="0" applyNumberFormat="1" applyFont="1" applyFill="1" applyBorder="1" applyAlignment="1"/>
    <xf numFmtId="14" fontId="9" fillId="48" borderId="0" xfId="0" applyNumberFormat="1" applyFont="1" applyFill="1" applyBorder="1" applyAlignment="1"/>
    <xf numFmtId="2" fontId="9" fillId="48" borderId="0" xfId="0" applyNumberFormat="1" applyFont="1" applyFill="1" applyBorder="1" applyAlignment="1"/>
    <xf numFmtId="39" fontId="8" fillId="48" borderId="19" xfId="1047" applyNumberFormat="1" applyFont="1" applyFill="1" applyBorder="1" applyAlignment="1">
      <alignment vertical="top" wrapText="1"/>
    </xf>
    <xf numFmtId="4" fontId="8" fillId="48" borderId="19" xfId="1047" applyNumberFormat="1" applyFont="1" applyFill="1" applyBorder="1" applyAlignment="1">
      <alignment horizontal="center" vertical="center" wrapText="1"/>
    </xf>
    <xf numFmtId="4" fontId="8" fillId="48" borderId="19" xfId="1047" applyNumberFormat="1" applyFont="1" applyFill="1" applyBorder="1" applyAlignment="1" applyProtection="1">
      <alignment vertical="center" wrapText="1"/>
      <protection locked="0"/>
    </xf>
    <xf numFmtId="39" fontId="8" fillId="48" borderId="19" xfId="0" applyNumberFormat="1" applyFont="1" applyFill="1" applyBorder="1" applyAlignment="1">
      <alignment vertical="center" wrapText="1"/>
    </xf>
    <xf numFmtId="39" fontId="8" fillId="48" borderId="19" xfId="0" applyNumberFormat="1" applyFont="1" applyFill="1" applyBorder="1" applyAlignment="1">
      <alignment vertical="top" wrapText="1"/>
    </xf>
    <xf numFmtId="39" fontId="9" fillId="48" borderId="19" xfId="0" applyNumberFormat="1" applyFont="1" applyFill="1" applyBorder="1" applyAlignment="1">
      <alignment horizontal="left" vertical="top" wrapText="1"/>
    </xf>
    <xf numFmtId="39" fontId="8" fillId="48" borderId="19" xfId="0" applyNumberFormat="1" applyFont="1" applyFill="1" applyBorder="1" applyAlignment="1">
      <alignment horizontal="left" vertical="top" wrapText="1"/>
    </xf>
    <xf numFmtId="49" fontId="8" fillId="48" borderId="19" xfId="0" applyNumberFormat="1" applyFont="1" applyFill="1" applyBorder="1" applyAlignment="1">
      <alignment vertical="top" wrapText="1"/>
    </xf>
    <xf numFmtId="4" fontId="8" fillId="48" borderId="19" xfId="805" applyNumberFormat="1" applyFont="1" applyFill="1" applyBorder="1"/>
    <xf numFmtId="168" fontId="44" fillId="48" borderId="0" xfId="0" applyNumberFormat="1" applyFont="1" applyFill="1" applyBorder="1" applyAlignment="1" applyProtection="1">
      <alignment horizontal="center" vertical="center"/>
    </xf>
    <xf numFmtId="0" fontId="44" fillId="48" borderId="0" xfId="0" applyFont="1" applyFill="1" applyBorder="1" applyAlignment="1">
      <alignment horizontal="center" vertical="center"/>
    </xf>
    <xf numFmtId="0" fontId="10" fillId="48" borderId="0" xfId="0" applyFont="1" applyFill="1" applyBorder="1" applyAlignment="1">
      <alignment vertical="top"/>
    </xf>
    <xf numFmtId="169" fontId="8" fillId="48" borderId="0" xfId="699" applyFont="1" applyFill="1" applyBorder="1" applyAlignment="1">
      <alignment vertical="center"/>
    </xf>
    <xf numFmtId="0" fontId="8" fillId="48" borderId="0" xfId="0" applyFont="1" applyFill="1" applyAlignment="1">
      <alignment vertical="center" wrapText="1"/>
    </xf>
    <xf numFmtId="0" fontId="9" fillId="48" borderId="19" xfId="0" applyNumberFormat="1" applyFont="1" applyFill="1" applyBorder="1" applyAlignment="1">
      <alignment horizontal="center" vertical="top"/>
    </xf>
    <xf numFmtId="4" fontId="9" fillId="48" borderId="0" xfId="0" applyNumberFormat="1" applyFont="1" applyFill="1" applyBorder="1" applyAlignment="1">
      <alignment vertical="center" wrapText="1"/>
    </xf>
    <xf numFmtId="0" fontId="8" fillId="48" borderId="19" xfId="0" applyFont="1" applyFill="1" applyBorder="1" applyAlignment="1">
      <alignment horizontal="justify" vertical="center" wrapText="1"/>
    </xf>
    <xf numFmtId="4" fontId="8" fillId="48" borderId="19" xfId="868" applyNumberFormat="1" applyFont="1" applyFill="1" applyBorder="1" applyAlignment="1">
      <alignment vertical="center" wrapText="1"/>
    </xf>
    <xf numFmtId="0" fontId="8" fillId="48" borderId="0" xfId="0" applyFont="1" applyFill="1" applyBorder="1" applyAlignment="1" applyProtection="1">
      <alignment horizontal="right" vertical="center" wrapText="1"/>
    </xf>
    <xf numFmtId="0" fontId="8" fillId="48" borderId="0" xfId="0" applyFont="1" applyFill="1" applyBorder="1" applyAlignment="1">
      <alignment horizontal="justify" vertical="center" wrapText="1"/>
    </xf>
    <xf numFmtId="4" fontId="8" fillId="48" borderId="0" xfId="868" applyNumberFormat="1" applyFont="1" applyFill="1" applyBorder="1" applyAlignment="1">
      <alignment vertical="center"/>
    </xf>
    <xf numFmtId="0" fontId="8" fillId="48" borderId="0" xfId="0" applyFont="1" applyFill="1" applyBorder="1" applyAlignment="1">
      <alignment horizontal="center" vertical="center"/>
    </xf>
    <xf numFmtId="4" fontId="8" fillId="48" borderId="0" xfId="868" applyNumberFormat="1" applyFont="1" applyFill="1" applyBorder="1" applyAlignment="1">
      <alignment horizontal="right" vertical="center"/>
    </xf>
    <xf numFmtId="49" fontId="8" fillId="48" borderId="0" xfId="0" applyNumberFormat="1" applyFont="1" applyFill="1" applyBorder="1" applyAlignment="1">
      <alignment horizontal="right" vertical="center" wrapText="1"/>
    </xf>
    <xf numFmtId="0" fontId="8" fillId="48" borderId="0" xfId="0" applyFont="1" applyFill="1" applyBorder="1" applyAlignment="1">
      <alignment horizontal="left" vertical="top" wrapText="1"/>
    </xf>
    <xf numFmtId="2" fontId="8" fillId="48" borderId="0" xfId="0" applyNumberFormat="1" applyFont="1" applyFill="1" applyBorder="1" applyAlignment="1">
      <alignment vertical="center"/>
    </xf>
    <xf numFmtId="4" fontId="8" fillId="48" borderId="0" xfId="0" applyNumberFormat="1" applyFont="1" applyFill="1" applyBorder="1" applyAlignment="1">
      <alignment vertical="center"/>
    </xf>
    <xf numFmtId="4" fontId="8" fillId="48" borderId="0" xfId="925" applyNumberFormat="1" applyFont="1" applyFill="1" applyBorder="1" applyAlignment="1">
      <alignment horizontal="right" vertical="center" wrapText="1"/>
    </xf>
    <xf numFmtId="4" fontId="9" fillId="48" borderId="0" xfId="0" applyNumberFormat="1" applyFont="1" applyFill="1" applyBorder="1" applyAlignment="1">
      <alignment horizontal="left" vertical="center" wrapText="1"/>
    </xf>
    <xf numFmtId="2" fontId="8" fillId="48" borderId="0" xfId="0" applyNumberFormat="1" applyFont="1" applyFill="1" applyBorder="1" applyAlignment="1" applyProtection="1">
      <alignment horizontal="right" vertical="center" wrapText="1"/>
    </xf>
    <xf numFmtId="4" fontId="8" fillId="48" borderId="19" xfId="1305" applyNumberFormat="1" applyFont="1" applyFill="1" applyBorder="1" applyAlignment="1">
      <alignment horizontal="center" vertical="center"/>
    </xf>
    <xf numFmtId="174" fontId="32" fillId="48" borderId="19" xfId="0" applyNumberFormat="1" applyFont="1" applyFill="1" applyBorder="1" applyAlignment="1">
      <alignment horizontal="center" vertical="center"/>
    </xf>
    <xf numFmtId="0" fontId="8" fillId="48" borderId="19" xfId="0" applyFont="1" applyFill="1" applyBorder="1" applyAlignment="1">
      <alignment horizontal="left" wrapText="1"/>
    </xf>
    <xf numFmtId="4" fontId="32" fillId="48" borderId="19" xfId="0" applyNumberFormat="1" applyFont="1" applyFill="1" applyBorder="1" applyAlignment="1">
      <alignment horizontal="center" vertical="center"/>
    </xf>
    <xf numFmtId="0" fontId="0" fillId="0" borderId="19" xfId="0" applyBorder="1"/>
    <xf numFmtId="0" fontId="8" fillId="48" borderId="25" xfId="0" applyFont="1" applyFill="1" applyBorder="1"/>
    <xf numFmtId="0" fontId="71" fillId="0" borderId="0" xfId="0" applyFont="1"/>
    <xf numFmtId="0" fontId="9" fillId="0" borderId="19" xfId="0" applyFont="1" applyBorder="1" applyAlignment="1">
      <alignment vertical="center" wrapText="1"/>
    </xf>
    <xf numFmtId="0" fontId="8" fillId="48" borderId="19" xfId="0" applyFont="1" applyFill="1" applyBorder="1" applyAlignment="1">
      <alignment horizontal="center" vertical="center"/>
    </xf>
    <xf numFmtId="0" fontId="8" fillId="48" borderId="19" xfId="0" applyFont="1" applyFill="1" applyBorder="1" applyAlignment="1">
      <alignment vertical="center"/>
    </xf>
    <xf numFmtId="0" fontId="0" fillId="0" borderId="25" xfId="0" applyBorder="1"/>
    <xf numFmtId="10" fontId="8" fillId="48" borderId="19" xfId="1334" applyNumberFormat="1" applyFont="1" applyFill="1" applyBorder="1"/>
    <xf numFmtId="10" fontId="8" fillId="48" borderId="19" xfId="1334" applyNumberFormat="1" applyFont="1" applyFill="1" applyBorder="1" applyAlignment="1">
      <alignment vertical="center"/>
    </xf>
    <xf numFmtId="0" fontId="9" fillId="48" borderId="78" xfId="0" applyFont="1" applyFill="1" applyBorder="1" applyAlignment="1">
      <alignment vertical="center"/>
    </xf>
    <xf numFmtId="0" fontId="9" fillId="0" borderId="19" xfId="0" applyFont="1" applyBorder="1"/>
    <xf numFmtId="0" fontId="0" fillId="0" borderId="19" xfId="0" applyBorder="1" applyAlignment="1">
      <alignment horizontal="center" vertical="center"/>
    </xf>
    <xf numFmtId="0" fontId="9" fillId="0" borderId="19" xfId="0" applyFont="1" applyBorder="1" applyAlignment="1">
      <alignment horizontal="center"/>
    </xf>
    <xf numFmtId="0" fontId="9" fillId="0" borderId="19" xfId="0" applyFont="1" applyBorder="1" applyAlignment="1">
      <alignment wrapText="1"/>
    </xf>
    <xf numFmtId="0" fontId="0" fillId="0" borderId="19" xfId="0" applyBorder="1" applyAlignment="1">
      <alignment horizontal="right"/>
    </xf>
    <xf numFmtId="0" fontId="0" fillId="0" borderId="19" xfId="0" applyBorder="1" applyAlignment="1">
      <alignment vertical="center"/>
    </xf>
    <xf numFmtId="0" fontId="0" fillId="0" borderId="19" xfId="0" applyBorder="1" applyAlignment="1">
      <alignment wrapText="1"/>
    </xf>
    <xf numFmtId="0" fontId="0" fillId="0" borderId="19" xfId="0" applyBorder="1" applyAlignment="1">
      <alignment horizontal="right" vertical="center"/>
    </xf>
    <xf numFmtId="0" fontId="8" fillId="48" borderId="25" xfId="0" applyFont="1" applyFill="1" applyBorder="1" applyAlignment="1">
      <alignment wrapText="1"/>
    </xf>
    <xf numFmtId="4" fontId="8" fillId="48" borderId="25" xfId="868" applyNumberFormat="1" applyFont="1" applyFill="1" applyBorder="1" applyAlignment="1">
      <alignment horizontal="right" vertical="center" wrapText="1"/>
    </xf>
    <xf numFmtId="4" fontId="8" fillId="48" borderId="25" xfId="0" applyNumberFormat="1" applyFont="1" applyFill="1" applyBorder="1" applyAlignment="1">
      <alignment horizontal="right" vertical="center" wrapText="1"/>
    </xf>
    <xf numFmtId="0" fontId="8" fillId="48" borderId="25" xfId="0" applyFont="1" applyFill="1" applyBorder="1" applyAlignment="1">
      <alignment horizontal="center" vertical="center"/>
    </xf>
    <xf numFmtId="174" fontId="8" fillId="48" borderId="25" xfId="0" applyNumberFormat="1" applyFont="1" applyFill="1" applyBorder="1" applyAlignment="1">
      <alignment vertical="center"/>
    </xf>
    <xf numFmtId="0" fontId="8" fillId="48" borderId="25" xfId="0" applyFont="1" applyFill="1" applyBorder="1" applyAlignment="1">
      <alignment vertical="center"/>
    </xf>
    <xf numFmtId="0" fontId="8" fillId="48" borderId="25" xfId="0" applyFont="1" applyFill="1" applyBorder="1" applyAlignment="1">
      <alignment vertical="center" wrapText="1"/>
    </xf>
    <xf numFmtId="174" fontId="8" fillId="48" borderId="25" xfId="0" applyNumberFormat="1" applyFont="1" applyFill="1" applyBorder="1" applyAlignment="1">
      <alignment horizontal="center" vertical="center"/>
    </xf>
    <xf numFmtId="4" fontId="8" fillId="48" borderId="25" xfId="0" applyNumberFormat="1" applyFont="1" applyFill="1" applyBorder="1" applyAlignment="1">
      <alignment vertical="center"/>
    </xf>
    <xf numFmtId="4"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center" wrapText="1"/>
    </xf>
    <xf numFmtId="0" fontId="8" fillId="48" borderId="25" xfId="0" applyFont="1" applyFill="1" applyBorder="1" applyAlignment="1">
      <alignment horizontal="left" vertical="center" wrapText="1"/>
    </xf>
    <xf numFmtId="0" fontId="8" fillId="48" borderId="25" xfId="0" applyNumberFormat="1" applyFont="1" applyFill="1" applyBorder="1" applyAlignment="1">
      <alignment horizontal="left" vertical="justify" wrapText="1"/>
    </xf>
    <xf numFmtId="4" fontId="8" fillId="48" borderId="25" xfId="868" applyNumberFormat="1" applyFont="1" applyFill="1" applyBorder="1" applyAlignment="1" applyProtection="1">
      <alignment horizontal="right" vertical="center" wrapText="1"/>
      <protection locked="0"/>
    </xf>
    <xf numFmtId="4" fontId="8" fillId="48" borderId="19" xfId="868" applyNumberFormat="1" applyFont="1" applyFill="1" applyBorder="1" applyAlignment="1">
      <alignment horizontal="center" vertical="center" wrapText="1"/>
    </xf>
    <xf numFmtId="0" fontId="9" fillId="49" borderId="19" xfId="0" applyFont="1" applyFill="1" applyBorder="1" applyAlignment="1">
      <alignment horizontal="center" vertical="center"/>
    </xf>
    <xf numFmtId="4" fontId="9" fillId="49" borderId="19" xfId="868" applyNumberFormat="1" applyFont="1" applyFill="1" applyBorder="1" applyAlignment="1">
      <alignment horizontal="center" vertical="center" wrapText="1"/>
    </xf>
    <xf numFmtId="43" fontId="8" fillId="48" borderId="25" xfId="805" applyFont="1" applyFill="1" applyBorder="1" applyAlignment="1">
      <alignment horizontal="right" vertical="center"/>
    </xf>
    <xf numFmtId="0" fontId="8" fillId="48" borderId="25" xfId="0" quotePrefix="1" applyFont="1" applyFill="1" applyBorder="1" applyAlignment="1">
      <alignment horizontal="left" wrapText="1"/>
    </xf>
    <xf numFmtId="2" fontId="0" fillId="0" borderId="19" xfId="0" applyNumberFormat="1" applyBorder="1" applyAlignment="1">
      <alignment horizontal="center" vertical="center"/>
    </xf>
    <xf numFmtId="2" fontId="8" fillId="48" borderId="19" xfId="868" applyNumberFormat="1" applyFont="1" applyFill="1" applyBorder="1" applyAlignment="1">
      <alignment horizontal="center" vertical="center" wrapText="1"/>
    </xf>
    <xf numFmtId="2" fontId="8" fillId="48" borderId="19" xfId="0" applyNumberFormat="1" applyFont="1" applyFill="1" applyBorder="1" applyAlignment="1">
      <alignment horizontal="center" vertical="center"/>
    </xf>
    <xf numFmtId="2" fontId="0" fillId="0" borderId="19" xfId="0" applyNumberFormat="1" applyBorder="1"/>
    <xf numFmtId="0" fontId="9" fillId="49" borderId="25" xfId="0" applyFont="1" applyFill="1" applyBorder="1" applyAlignment="1">
      <alignment horizontal="center" vertical="center"/>
    </xf>
    <xf numFmtId="4" fontId="9" fillId="49" borderId="25" xfId="868" applyNumberFormat="1" applyFont="1" applyFill="1" applyBorder="1" applyAlignment="1">
      <alignment horizontal="center" vertical="center" wrapText="1"/>
    </xf>
    <xf numFmtId="0" fontId="8" fillId="48" borderId="25" xfId="0" applyFont="1" applyFill="1" applyBorder="1" applyAlignment="1">
      <alignment horizontal="justify" vertical="center" wrapText="1"/>
    </xf>
    <xf numFmtId="4" fontId="8" fillId="48" borderId="78" xfId="868" applyNumberFormat="1" applyFont="1" applyFill="1" applyBorder="1" applyAlignment="1">
      <alignment horizontal="right" vertical="center" wrapText="1"/>
    </xf>
    <xf numFmtId="39" fontId="8" fillId="48" borderId="25" xfId="1047" applyNumberFormat="1" applyFont="1" applyFill="1" applyBorder="1" applyAlignment="1">
      <alignment vertical="top" wrapText="1"/>
    </xf>
    <xf numFmtId="2" fontId="8" fillId="48" borderId="25" xfId="868" applyNumberFormat="1" applyFont="1" applyFill="1" applyBorder="1" applyAlignment="1">
      <alignment horizontal="center" vertical="center" wrapText="1"/>
    </xf>
    <xf numFmtId="2"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top" wrapText="1"/>
    </xf>
    <xf numFmtId="0" fontId="8" fillId="48" borderId="25" xfId="0" applyNumberFormat="1" applyFont="1" applyFill="1" applyBorder="1" applyAlignment="1">
      <alignment horizontal="left" wrapText="1"/>
    </xf>
    <xf numFmtId="0" fontId="8" fillId="48" borderId="74" xfId="0" applyFont="1" applyFill="1" applyBorder="1"/>
    <xf numFmtId="4" fontId="8" fillId="48" borderId="0" xfId="868" applyNumberFormat="1" applyFont="1" applyFill="1" applyBorder="1" applyAlignment="1">
      <alignment horizontal="right" vertical="center" wrapText="1"/>
    </xf>
    <xf numFmtId="0" fontId="9" fillId="0" borderId="0" xfId="0" applyFont="1" applyBorder="1"/>
    <xf numFmtId="0" fontId="42" fillId="48" borderId="0" xfId="0" applyFont="1" applyFill="1" applyBorder="1" applyAlignment="1">
      <alignment vertical="center"/>
    </xf>
    <xf numFmtId="4" fontId="42" fillId="48" borderId="0" xfId="0" applyNumberFormat="1" applyFont="1" applyFill="1" applyBorder="1"/>
    <xf numFmtId="174" fontId="42" fillId="48" borderId="0" xfId="0" applyNumberFormat="1" applyFont="1" applyFill="1" applyBorder="1"/>
    <xf numFmtId="2" fontId="42" fillId="48" borderId="0" xfId="0" applyNumberFormat="1" applyFont="1" applyFill="1" applyBorder="1"/>
    <xf numFmtId="39" fontId="42" fillId="48" borderId="0" xfId="0" applyNumberFormat="1" applyFont="1" applyFill="1" applyBorder="1"/>
    <xf numFmtId="0" fontId="9" fillId="48" borderId="86" xfId="0" applyFont="1" applyFill="1" applyBorder="1" applyAlignment="1">
      <alignment horizontal="center" vertical="center" wrapText="1"/>
    </xf>
    <xf numFmtId="0" fontId="9" fillId="48" borderId="87" xfId="0" applyFont="1" applyFill="1" applyBorder="1" applyAlignment="1">
      <alignment horizontal="center" vertical="center" wrapText="1"/>
    </xf>
    <xf numFmtId="0" fontId="9" fillId="48" borderId="88" xfId="0" applyFont="1" applyFill="1" applyBorder="1" applyAlignment="1">
      <alignment horizontal="center" vertical="center" wrapText="1"/>
    </xf>
    <xf numFmtId="0" fontId="0" fillId="0" borderId="100" xfId="0" applyBorder="1"/>
    <xf numFmtId="0" fontId="0" fillId="0" borderId="101" xfId="0" applyBorder="1"/>
    <xf numFmtId="0" fontId="9" fillId="0" borderId="100" xfId="0" applyFont="1" applyBorder="1" applyAlignment="1">
      <alignment horizontal="center" vertical="center"/>
    </xf>
    <xf numFmtId="4" fontId="8" fillId="48" borderId="101" xfId="0" applyNumberFormat="1" applyFont="1" applyFill="1" applyBorder="1" applyAlignment="1">
      <alignment vertical="center" wrapText="1"/>
    </xf>
    <xf numFmtId="187" fontId="8" fillId="48" borderId="100" xfId="838" applyNumberFormat="1" applyFont="1" applyFill="1" applyBorder="1" applyAlignment="1" applyProtection="1">
      <alignment horizontal="right" vertical="center"/>
    </xf>
    <xf numFmtId="0" fontId="8" fillId="48" borderId="100" xfId="0" applyFont="1" applyFill="1" applyBorder="1"/>
    <xf numFmtId="0" fontId="9" fillId="48" borderId="100" xfId="0" applyFont="1" applyFill="1" applyBorder="1"/>
    <xf numFmtId="0" fontId="9" fillId="0" borderId="100" xfId="0" applyFont="1" applyBorder="1"/>
    <xf numFmtId="185" fontId="8" fillId="48" borderId="100" xfId="1281" applyNumberFormat="1" applyFont="1" applyFill="1" applyBorder="1" applyAlignment="1" applyProtection="1">
      <alignment horizontal="right" vertical="center"/>
    </xf>
    <xf numFmtId="4" fontId="8" fillId="48" borderId="101" xfId="0" applyNumberFormat="1" applyFont="1" applyFill="1" applyBorder="1" applyAlignment="1">
      <alignment horizontal="right" vertical="center" wrapText="1"/>
    </xf>
    <xf numFmtId="0" fontId="8" fillId="48" borderId="100" xfId="0" applyFont="1" applyFill="1" applyBorder="1" applyAlignment="1">
      <alignment vertical="center"/>
    </xf>
    <xf numFmtId="0" fontId="0" fillId="0" borderId="101" xfId="0" applyBorder="1" applyAlignment="1">
      <alignment horizontal="right" vertical="center"/>
    </xf>
    <xf numFmtId="0" fontId="9" fillId="48" borderId="100" xfId="0" applyFont="1" applyFill="1" applyBorder="1" applyAlignment="1">
      <alignment vertical="center"/>
    </xf>
    <xf numFmtId="0" fontId="8" fillId="48" borderId="94" xfId="0" applyFont="1" applyFill="1" applyBorder="1"/>
    <xf numFmtId="4" fontId="8" fillId="48" borderId="95" xfId="0" applyNumberFormat="1" applyFont="1" applyFill="1" applyBorder="1" applyAlignment="1">
      <alignment vertical="center" wrapText="1"/>
    </xf>
    <xf numFmtId="185" fontId="8" fillId="48" borderId="100" xfId="0" applyNumberFormat="1" applyFont="1" applyFill="1" applyBorder="1" applyAlignment="1">
      <alignment vertical="center"/>
    </xf>
    <xf numFmtId="1" fontId="8" fillId="48" borderId="100" xfId="0" applyNumberFormat="1" applyFont="1" applyFill="1" applyBorder="1" applyAlignment="1">
      <alignment vertical="center" wrapText="1"/>
    </xf>
    <xf numFmtId="0" fontId="8" fillId="48" borderId="101" xfId="0" applyFont="1" applyFill="1" applyBorder="1" applyAlignment="1">
      <alignment vertical="center"/>
    </xf>
    <xf numFmtId="0" fontId="8" fillId="49" borderId="100" xfId="0" applyFont="1" applyFill="1" applyBorder="1"/>
    <xf numFmtId="4" fontId="9" fillId="49" borderId="101" xfId="0" applyNumberFormat="1" applyFont="1" applyFill="1" applyBorder="1" applyAlignment="1">
      <alignment horizontal="center" vertical="center"/>
    </xf>
    <xf numFmtId="0" fontId="8" fillId="48" borderId="101" xfId="0" applyFont="1" applyFill="1" applyBorder="1"/>
    <xf numFmtId="0" fontId="8" fillId="48" borderId="100" xfId="0" applyFont="1" applyFill="1" applyBorder="1" applyAlignment="1">
      <alignment horizontal="right" vertical="center"/>
    </xf>
    <xf numFmtId="0" fontId="9" fillId="0" borderId="100" xfId="0" applyFont="1" applyBorder="1" applyAlignment="1">
      <alignment vertical="center"/>
    </xf>
    <xf numFmtId="185" fontId="8" fillId="48" borderId="94" xfId="1281" applyNumberFormat="1" applyFont="1" applyFill="1" applyBorder="1" applyAlignment="1" applyProtection="1">
      <alignment horizontal="right" vertical="center"/>
    </xf>
    <xf numFmtId="4" fontId="8" fillId="48" borderId="95" xfId="0" applyNumberFormat="1" applyFont="1" applyFill="1" applyBorder="1" applyAlignment="1">
      <alignment horizontal="right" vertical="center" wrapText="1"/>
    </xf>
    <xf numFmtId="197" fontId="8" fillId="48" borderId="100" xfId="0" applyNumberFormat="1" applyFont="1" applyFill="1" applyBorder="1" applyAlignment="1">
      <alignment horizontal="right" vertical="center"/>
    </xf>
    <xf numFmtId="0" fontId="8" fillId="48" borderId="94" xfId="0" applyFont="1" applyFill="1" applyBorder="1" applyAlignment="1">
      <alignment horizontal="right" vertical="center"/>
    </xf>
    <xf numFmtId="0" fontId="8" fillId="48" borderId="32" xfId="0" applyFont="1" applyFill="1" applyBorder="1" applyAlignment="1">
      <alignment horizontal="right" vertical="center"/>
    </xf>
    <xf numFmtId="0" fontId="0" fillId="0" borderId="32" xfId="0" applyBorder="1"/>
    <xf numFmtId="0" fontId="9" fillId="48" borderId="32" xfId="0" applyFont="1" applyFill="1" applyBorder="1"/>
    <xf numFmtId="0" fontId="8" fillId="48" borderId="32" xfId="0" applyFont="1" applyFill="1" applyBorder="1" applyAlignment="1">
      <alignment vertical="center"/>
    </xf>
    <xf numFmtId="0" fontId="0" fillId="0" borderId="101" xfId="0" applyBorder="1" applyAlignment="1">
      <alignment vertical="center"/>
    </xf>
    <xf numFmtId="4" fontId="8" fillId="48" borderId="101" xfId="0" applyNumberFormat="1" applyFont="1" applyFill="1" applyBorder="1" applyAlignment="1">
      <alignment horizontal="center" vertical="center" wrapText="1"/>
    </xf>
    <xf numFmtId="0" fontId="8" fillId="48" borderId="94" xfId="0" applyFont="1" applyFill="1" applyBorder="1" applyAlignment="1">
      <alignment vertical="center"/>
    </xf>
    <xf numFmtId="193" fontId="8" fillId="48" borderId="100" xfId="0" applyNumberFormat="1" applyFont="1" applyFill="1" applyBorder="1" applyAlignment="1">
      <alignment horizontal="right" vertical="center"/>
    </xf>
    <xf numFmtId="0" fontId="9" fillId="0" borderId="100" xfId="0" applyFont="1" applyBorder="1" applyAlignment="1">
      <alignment horizontal="center"/>
    </xf>
    <xf numFmtId="2" fontId="8" fillId="48" borderId="100" xfId="0" applyNumberFormat="1" applyFont="1" applyFill="1" applyBorder="1"/>
    <xf numFmtId="2" fontId="0" fillId="0" borderId="101" xfId="0" applyNumberFormat="1" applyBorder="1" applyAlignment="1">
      <alignment horizontal="center" vertical="center"/>
    </xf>
    <xf numFmtId="193" fontId="8" fillId="48" borderId="100" xfId="1303" applyNumberFormat="1" applyFont="1" applyFill="1" applyBorder="1" applyAlignment="1">
      <alignment horizontal="right" vertical="center"/>
    </xf>
    <xf numFmtId="2" fontId="8" fillId="48" borderId="101" xfId="0" applyNumberFormat="1" applyFont="1" applyFill="1" applyBorder="1" applyAlignment="1">
      <alignment horizontal="center" vertical="center" wrapText="1"/>
    </xf>
    <xf numFmtId="2" fontId="8" fillId="48" borderId="95" xfId="0" applyNumberFormat="1" applyFont="1" applyFill="1" applyBorder="1" applyAlignment="1">
      <alignment horizontal="center" vertical="center" wrapText="1"/>
    </xf>
    <xf numFmtId="0" fontId="0" fillId="0" borderId="100" xfId="0" applyBorder="1" applyAlignment="1">
      <alignment horizontal="right"/>
    </xf>
    <xf numFmtId="0" fontId="9" fillId="0" borderId="100" xfId="0" applyFont="1" applyBorder="1" applyAlignment="1">
      <alignment horizontal="right" vertical="center"/>
    </xf>
    <xf numFmtId="0" fontId="0" fillId="0" borderId="94" xfId="0" applyBorder="1" applyAlignment="1">
      <alignment horizontal="right"/>
    </xf>
    <xf numFmtId="0" fontId="0" fillId="0" borderId="33" xfId="0" applyBorder="1"/>
    <xf numFmtId="0" fontId="8" fillId="48" borderId="100" xfId="0" applyFont="1" applyFill="1" applyBorder="1" applyAlignment="1" applyProtection="1">
      <alignment horizontal="right" vertical="center" wrapText="1"/>
    </xf>
    <xf numFmtId="0" fontId="8" fillId="49" borderId="19" xfId="0" applyFont="1" applyFill="1" applyBorder="1"/>
    <xf numFmtId="4" fontId="9" fillId="49" borderId="19" xfId="0" applyNumberFormat="1" applyFont="1" applyFill="1" applyBorder="1" applyAlignment="1">
      <alignment horizontal="center" vertical="center"/>
    </xf>
    <xf numFmtId="0" fontId="0" fillId="49" borderId="25" xfId="0" applyFill="1" applyBorder="1"/>
    <xf numFmtId="0" fontId="8" fillId="0" borderId="0" xfId="0" applyFont="1" applyFill="1" applyAlignment="1">
      <alignment vertical="top" wrapText="1"/>
    </xf>
    <xf numFmtId="39" fontId="8" fillId="0" borderId="19" xfId="1047" applyNumberFormat="1" applyFont="1" applyFill="1" applyBorder="1" applyAlignment="1">
      <alignment vertical="top" wrapText="1"/>
    </xf>
    <xf numFmtId="0" fontId="0" fillId="0" borderId="0" xfId="0"/>
    <xf numFmtId="4" fontId="8" fillId="0" borderId="19" xfId="868" applyNumberFormat="1" applyFont="1" applyFill="1" applyBorder="1" applyAlignment="1">
      <alignment vertical="center" wrapText="1"/>
    </xf>
    <xf numFmtId="0" fontId="8" fillId="0" borderId="0" xfId="0" applyFont="1" applyFill="1" applyBorder="1" applyAlignment="1"/>
    <xf numFmtId="0" fontId="8" fillId="0" borderId="0" xfId="0" applyFont="1" applyFill="1" applyBorder="1" applyAlignment="1">
      <alignment horizontal="center"/>
    </xf>
    <xf numFmtId="0" fontId="8" fillId="0" borderId="19" xfId="0" applyFont="1" applyFill="1" applyBorder="1" applyAlignment="1">
      <alignment horizontal="left" wrapText="1"/>
    </xf>
    <xf numFmtId="39" fontId="8" fillId="67" borderId="19" xfId="1295" applyNumberFormat="1" applyFont="1" applyFill="1" applyBorder="1"/>
    <xf numFmtId="2" fontId="17" fillId="48" borderId="19" xfId="1295" applyNumberFormat="1" applyFont="1" applyFill="1" applyBorder="1" applyAlignment="1">
      <alignment vertical="center"/>
    </xf>
    <xf numFmtId="39" fontId="17" fillId="48" borderId="19" xfId="1295" applyNumberFormat="1" applyFont="1" applyFill="1" applyBorder="1"/>
    <xf numFmtId="0" fontId="19" fillId="48" borderId="0" xfId="1295" applyFont="1" applyFill="1" applyBorder="1"/>
    <xf numFmtId="0" fontId="44" fillId="71" borderId="0" xfId="1297" applyFont="1" applyFill="1" applyBorder="1" applyAlignment="1">
      <alignment horizontal="center" vertical="center"/>
    </xf>
    <xf numFmtId="0" fontId="8" fillId="0" borderId="0" xfId="970"/>
    <xf numFmtId="0" fontId="8" fillId="67" borderId="0" xfId="970" applyFill="1"/>
    <xf numFmtId="0" fontId="9" fillId="66" borderId="19" xfId="970" applyFont="1" applyFill="1" applyBorder="1" applyAlignment="1">
      <alignment vertical="top"/>
    </xf>
    <xf numFmtId="0" fontId="9" fillId="66" borderId="19" xfId="970" applyFont="1" applyFill="1" applyBorder="1" applyAlignment="1">
      <alignment wrapText="1"/>
    </xf>
    <xf numFmtId="0" fontId="8" fillId="70" borderId="0" xfId="970" applyFont="1" applyFill="1"/>
    <xf numFmtId="4" fontId="8" fillId="70" borderId="0" xfId="970" applyNumberFormat="1" applyFont="1" applyFill="1"/>
    <xf numFmtId="193" fontId="9" fillId="74" borderId="0" xfId="970" applyNumberFormat="1" applyFont="1" applyFill="1"/>
    <xf numFmtId="0" fontId="9" fillId="68" borderId="0" xfId="970" applyFont="1" applyFill="1"/>
    <xf numFmtId="0" fontId="8" fillId="68" borderId="0" xfId="970" applyFont="1" applyFill="1"/>
    <xf numFmtId="0" fontId="8" fillId="70" borderId="39" xfId="970" applyFont="1" applyFill="1" applyBorder="1"/>
    <xf numFmtId="0" fontId="8" fillId="75" borderId="40" xfId="970" applyFont="1" applyFill="1" applyBorder="1"/>
    <xf numFmtId="4" fontId="8" fillId="75" borderId="40" xfId="970" applyNumberFormat="1" applyFont="1" applyFill="1" applyBorder="1"/>
    <xf numFmtId="0" fontId="8" fillId="75" borderId="40" xfId="970" applyFont="1" applyFill="1" applyBorder="1" applyAlignment="1">
      <alignment horizontal="center" vertical="center"/>
    </xf>
    <xf numFmtId="4" fontId="8" fillId="75" borderId="73" xfId="970" applyNumberFormat="1" applyFont="1" applyFill="1" applyBorder="1" applyAlignment="1">
      <alignment vertical="center"/>
    </xf>
    <xf numFmtId="4" fontId="8" fillId="75" borderId="65" xfId="970" applyNumberFormat="1" applyFont="1" applyFill="1" applyBorder="1"/>
    <xf numFmtId="0" fontId="8" fillId="70" borderId="48" xfId="970" applyFont="1" applyFill="1" applyBorder="1"/>
    <xf numFmtId="0" fontId="8" fillId="70" borderId="25" xfId="970" applyFont="1" applyFill="1" applyBorder="1"/>
    <xf numFmtId="4" fontId="8" fillId="70" borderId="25" xfId="970" applyNumberFormat="1" applyFont="1" applyFill="1" applyBorder="1"/>
    <xf numFmtId="10" fontId="8" fillId="70" borderId="24" xfId="970" applyNumberFormat="1" applyFont="1" applyFill="1" applyBorder="1"/>
    <xf numFmtId="0" fontId="8" fillId="70" borderId="24" xfId="970" applyFont="1" applyFill="1" applyBorder="1" applyAlignment="1">
      <alignment horizontal="center" vertical="center"/>
    </xf>
    <xf numFmtId="4" fontId="8" fillId="70" borderId="24" xfId="970" applyNumberFormat="1" applyFont="1" applyFill="1" applyBorder="1" applyAlignment="1">
      <alignment vertical="center"/>
    </xf>
    <xf numFmtId="4" fontId="8" fillId="70" borderId="43" xfId="970" applyNumberFormat="1" applyFont="1" applyFill="1" applyBorder="1"/>
    <xf numFmtId="0" fontId="8" fillId="70" borderId="24" xfId="970" applyFont="1" applyFill="1" applyBorder="1"/>
    <xf numFmtId="4" fontId="8" fillId="70" borderId="24" xfId="970" applyNumberFormat="1" applyFont="1" applyFill="1" applyBorder="1"/>
    <xf numFmtId="0" fontId="8" fillId="70" borderId="44" xfId="970" applyFont="1" applyFill="1" applyBorder="1"/>
    <xf numFmtId="0" fontId="8" fillId="70" borderId="45" xfId="970" applyFont="1" applyFill="1" applyBorder="1"/>
    <xf numFmtId="0" fontId="9" fillId="70" borderId="45" xfId="970" applyFont="1" applyFill="1" applyBorder="1" applyAlignment="1">
      <alignment horizontal="right"/>
    </xf>
    <xf numFmtId="4" fontId="9" fillId="75" borderId="46" xfId="970" applyNumberFormat="1" applyFont="1" applyFill="1" applyBorder="1"/>
    <xf numFmtId="0" fontId="8" fillId="70" borderId="0" xfId="970" applyFont="1" applyFill="1" applyBorder="1"/>
    <xf numFmtId="0" fontId="9" fillId="70" borderId="0" xfId="970" applyFont="1" applyFill="1" applyBorder="1" applyAlignment="1">
      <alignment horizontal="right"/>
    </xf>
    <xf numFmtId="4" fontId="9" fillId="75" borderId="0" xfId="970" applyNumberFormat="1" applyFont="1" applyFill="1" applyBorder="1"/>
    <xf numFmtId="0" fontId="9" fillId="66" borderId="0" xfId="970" applyFont="1" applyFill="1" applyBorder="1"/>
    <xf numFmtId="0" fontId="9" fillId="66" borderId="0" xfId="970" applyFont="1" applyFill="1"/>
    <xf numFmtId="4" fontId="8" fillId="75" borderId="111" xfId="970" applyNumberFormat="1" applyFont="1" applyFill="1" applyBorder="1"/>
    <xf numFmtId="0" fontId="8" fillId="75" borderId="25" xfId="970" applyFont="1" applyFill="1" applyBorder="1"/>
    <xf numFmtId="4" fontId="8" fillId="75" borderId="25" xfId="970" applyNumberFormat="1" applyFont="1" applyFill="1" applyBorder="1"/>
    <xf numFmtId="0" fontId="8" fillId="75" borderId="25" xfId="970" applyFont="1" applyFill="1" applyBorder="1" applyAlignment="1">
      <alignment horizontal="center" vertical="center"/>
    </xf>
    <xf numFmtId="4" fontId="8" fillId="75" borderId="24" xfId="970" applyNumberFormat="1" applyFont="1" applyFill="1" applyBorder="1" applyAlignment="1">
      <alignment vertical="center"/>
    </xf>
    <xf numFmtId="4" fontId="8" fillId="75" borderId="43" xfId="970" applyNumberFormat="1" applyFont="1" applyFill="1" applyBorder="1"/>
    <xf numFmtId="4" fontId="8" fillId="70" borderId="40" xfId="970" applyNumberFormat="1" applyFont="1" applyFill="1" applyBorder="1"/>
    <xf numFmtId="0" fontId="8" fillId="70" borderId="40" xfId="970" applyFont="1" applyFill="1" applyBorder="1" applyAlignment="1">
      <alignment horizontal="center" vertical="center"/>
    </xf>
    <xf numFmtId="4" fontId="8" fillId="70" borderId="73" xfId="970" applyNumberFormat="1" applyFont="1" applyFill="1" applyBorder="1" applyAlignment="1">
      <alignment vertical="center"/>
    </xf>
    <xf numFmtId="4" fontId="8" fillId="70" borderId="65" xfId="970" applyNumberFormat="1" applyFont="1" applyFill="1" applyBorder="1"/>
    <xf numFmtId="0" fontId="8" fillId="70" borderId="25" xfId="970" applyFont="1" applyFill="1" applyBorder="1" applyAlignment="1">
      <alignment horizontal="center" vertical="center"/>
    </xf>
    <xf numFmtId="0" fontId="8" fillId="70" borderId="42" xfId="970" applyFont="1" applyFill="1" applyBorder="1"/>
    <xf numFmtId="4" fontId="138" fillId="66" borderId="0" xfId="970" applyNumberFormat="1" applyFont="1" applyFill="1" applyBorder="1"/>
    <xf numFmtId="4" fontId="9" fillId="70" borderId="0" xfId="970" applyNumberFormat="1" applyFont="1" applyFill="1" applyBorder="1"/>
    <xf numFmtId="2" fontId="9" fillId="74" borderId="0" xfId="970" applyNumberFormat="1" applyFont="1" applyFill="1"/>
    <xf numFmtId="193" fontId="9" fillId="66" borderId="0" xfId="970" applyNumberFormat="1" applyFont="1" applyFill="1"/>
    <xf numFmtId="0" fontId="9" fillId="74" borderId="0" xfId="970" applyFont="1" applyFill="1"/>
    <xf numFmtId="0" fontId="8" fillId="74" borderId="0" xfId="970" applyFont="1" applyFill="1"/>
    <xf numFmtId="4" fontId="9" fillId="66" borderId="46" xfId="970" applyNumberFormat="1" applyFont="1" applyFill="1" applyBorder="1"/>
    <xf numFmtId="0" fontId="30" fillId="70" borderId="0" xfId="1293" applyFont="1" applyFill="1"/>
    <xf numFmtId="0" fontId="29" fillId="48" borderId="0" xfId="1293" applyFont="1" applyFill="1"/>
    <xf numFmtId="0" fontId="30" fillId="67" borderId="0" xfId="1293" applyFont="1" applyFill="1"/>
    <xf numFmtId="0" fontId="29" fillId="67" borderId="0" xfId="1293" applyFont="1" applyFill="1"/>
    <xf numFmtId="0" fontId="30" fillId="76" borderId="67" xfId="1293" applyFont="1" applyFill="1" applyBorder="1"/>
    <xf numFmtId="0" fontId="29" fillId="48" borderId="34" xfId="1293" applyFont="1" applyFill="1" applyBorder="1"/>
    <xf numFmtId="0" fontId="29" fillId="70" borderId="112" xfId="1293" applyFont="1" applyFill="1" applyBorder="1" applyAlignment="1">
      <alignment horizontal="left"/>
    </xf>
    <xf numFmtId="2" fontId="29" fillId="70" borderId="113" xfId="1293" applyNumberFormat="1" applyFont="1" applyFill="1" applyBorder="1"/>
    <xf numFmtId="0" fontId="29" fillId="48" borderId="0" xfId="1293" applyFont="1" applyFill="1" applyBorder="1" applyAlignment="1">
      <alignment horizontal="centerContinuous"/>
    </xf>
    <xf numFmtId="4" fontId="35" fillId="48" borderId="0" xfId="1293" applyNumberFormat="1" applyFont="1" applyFill="1" applyBorder="1"/>
    <xf numFmtId="4" fontId="35" fillId="48" borderId="114" xfId="1443" applyNumberFormat="1" applyFont="1" applyFill="1" applyBorder="1"/>
    <xf numFmtId="0" fontId="29" fillId="70" borderId="112" xfId="1293" applyFont="1" applyFill="1" applyBorder="1" applyAlignment="1">
      <alignment horizontal="left" wrapText="1"/>
    </xf>
    <xf numFmtId="0" fontId="29" fillId="70" borderId="112" xfId="1293" applyFont="1" applyFill="1" applyBorder="1"/>
    <xf numFmtId="4" fontId="29" fillId="48" borderId="0" xfId="1293" applyNumberFormat="1" applyFont="1" applyFill="1" applyBorder="1"/>
    <xf numFmtId="0" fontId="29" fillId="70" borderId="19" xfId="1293" applyFont="1" applyFill="1" applyBorder="1"/>
    <xf numFmtId="2" fontId="29" fillId="70" borderId="74" xfId="1293" applyNumberFormat="1" applyFont="1" applyFill="1" applyBorder="1"/>
    <xf numFmtId="4" fontId="35" fillId="70" borderId="0" xfId="1293" applyNumberFormat="1" applyFont="1" applyFill="1" applyBorder="1"/>
    <xf numFmtId="4" fontId="35" fillId="70" borderId="0" xfId="1443" applyNumberFormat="1" applyFont="1" applyFill="1" applyBorder="1"/>
    <xf numFmtId="4" fontId="35" fillId="77" borderId="0" xfId="1293" applyNumberFormat="1" applyFont="1" applyFill="1" applyBorder="1" applyAlignment="1">
      <alignment vertical="center"/>
    </xf>
    <xf numFmtId="4" fontId="29" fillId="70" borderId="0" xfId="1293" applyNumberFormat="1" applyFont="1" applyFill="1" applyBorder="1"/>
    <xf numFmtId="2" fontId="29" fillId="70" borderId="67" xfId="1293" applyNumberFormat="1" applyFont="1" applyFill="1" applyBorder="1"/>
    <xf numFmtId="0" fontId="29" fillId="48" borderId="115" xfId="1293" applyFont="1" applyFill="1" applyBorder="1"/>
    <xf numFmtId="4" fontId="30" fillId="76" borderId="115" xfId="1293" applyNumberFormat="1" applyFont="1" applyFill="1" applyBorder="1" applyAlignment="1">
      <alignment horizontal="right"/>
    </xf>
    <xf numFmtId="0" fontId="30" fillId="76" borderId="0" xfId="1293" applyFont="1" applyFill="1"/>
    <xf numFmtId="0" fontId="29" fillId="70" borderId="116" xfId="1293" applyFont="1" applyFill="1" applyBorder="1"/>
    <xf numFmtId="2" fontId="29" fillId="70" borderId="117" xfId="1293" applyNumberFormat="1" applyFont="1" applyFill="1" applyBorder="1"/>
    <xf numFmtId="0" fontId="29" fillId="70" borderId="118" xfId="1293" applyFont="1" applyFill="1" applyBorder="1" applyAlignment="1">
      <alignment horizontal="centerContinuous"/>
    </xf>
    <xf numFmtId="4" fontId="35" fillId="70" borderId="118" xfId="1293" applyNumberFormat="1" applyFont="1" applyFill="1" applyBorder="1"/>
    <xf numFmtId="4" fontId="35" fillId="70" borderId="119" xfId="1443" applyNumberFormat="1" applyFont="1" applyFill="1" applyBorder="1"/>
    <xf numFmtId="0" fontId="29" fillId="70" borderId="0" xfId="1293" applyFont="1" applyFill="1" applyBorder="1" applyAlignment="1">
      <alignment horizontal="centerContinuous"/>
    </xf>
    <xf numFmtId="4" fontId="35" fillId="70" borderId="114" xfId="1443" applyNumberFormat="1" applyFont="1" applyFill="1" applyBorder="1"/>
    <xf numFmtId="0" fontId="8" fillId="0" borderId="0" xfId="970" applyFont="1"/>
    <xf numFmtId="0" fontId="29" fillId="48" borderId="116" xfId="1293" applyFont="1" applyFill="1" applyBorder="1"/>
    <xf numFmtId="2" fontId="29" fillId="48" borderId="117" xfId="1293" applyNumberFormat="1" applyFont="1" applyFill="1" applyBorder="1"/>
    <xf numFmtId="0" fontId="29" fillId="48" borderId="118" xfId="1293" applyFont="1" applyFill="1" applyBorder="1" applyAlignment="1">
      <alignment horizontal="centerContinuous"/>
    </xf>
    <xf numFmtId="4" fontId="35" fillId="48" borderId="118" xfId="1293" applyNumberFormat="1" applyFont="1" applyFill="1" applyBorder="1"/>
    <xf numFmtId="4" fontId="35" fillId="48" borderId="119" xfId="1443" applyNumberFormat="1" applyFont="1" applyFill="1" applyBorder="1"/>
    <xf numFmtId="0" fontId="29" fillId="48" borderId="112" xfId="1293" applyFont="1" applyFill="1" applyBorder="1"/>
    <xf numFmtId="2" fontId="29" fillId="48" borderId="113" xfId="1293" applyNumberFormat="1" applyFont="1" applyFill="1" applyBorder="1"/>
    <xf numFmtId="0" fontId="29" fillId="48" borderId="112" xfId="1293" applyFont="1" applyFill="1" applyBorder="1" applyAlignment="1">
      <alignment horizontal="left"/>
    </xf>
    <xf numFmtId="2" fontId="29" fillId="48" borderId="74" xfId="1293" applyNumberFormat="1" applyFont="1" applyFill="1" applyBorder="1"/>
    <xf numFmtId="2" fontId="29" fillId="48" borderId="67" xfId="1293" applyNumberFormat="1" applyFont="1" applyFill="1" applyBorder="1"/>
    <xf numFmtId="0" fontId="29" fillId="70" borderId="0" xfId="1293" applyFont="1" applyFill="1"/>
    <xf numFmtId="0" fontId="29" fillId="70" borderId="120" xfId="1293" applyFont="1" applyFill="1" applyBorder="1"/>
    <xf numFmtId="2" fontId="29" fillId="70" borderId="118" xfId="1293" applyNumberFormat="1" applyFont="1" applyFill="1" applyBorder="1"/>
    <xf numFmtId="0" fontId="29" fillId="70" borderId="121" xfId="1293" applyFont="1" applyFill="1" applyBorder="1"/>
    <xf numFmtId="0" fontId="29" fillId="70" borderId="122" xfId="1293" applyFont="1" applyFill="1" applyBorder="1"/>
    <xf numFmtId="0" fontId="29" fillId="70" borderId="123" xfId="1293" applyFont="1" applyFill="1" applyBorder="1"/>
    <xf numFmtId="0" fontId="29" fillId="48" borderId="0" xfId="1293" applyFont="1" applyFill="1" applyBorder="1"/>
    <xf numFmtId="0" fontId="30" fillId="48" borderId="0" xfId="1293" applyFont="1" applyFill="1" applyBorder="1" applyAlignment="1">
      <alignment horizontal="right"/>
    </xf>
    <xf numFmtId="4" fontId="30" fillId="70" borderId="0" xfId="1293" applyNumberFormat="1" applyFont="1" applyFill="1" applyBorder="1" applyAlignment="1">
      <alignment horizontal="right"/>
    </xf>
    <xf numFmtId="0" fontId="30" fillId="66" borderId="0" xfId="1293" applyFont="1" applyFill="1"/>
    <xf numFmtId="4" fontId="35" fillId="70" borderId="0" xfId="1293" applyNumberFormat="1" applyFont="1" applyFill="1" applyBorder="1" applyAlignment="1">
      <alignment vertical="center"/>
    </xf>
    <xf numFmtId="0" fontId="29" fillId="78" borderId="112" xfId="1293" applyFont="1" applyFill="1" applyBorder="1" applyAlignment="1">
      <alignment horizontal="left"/>
    </xf>
    <xf numFmtId="2" fontId="29" fillId="48" borderId="0" xfId="1293" applyNumberFormat="1" applyFont="1" applyFill="1" applyBorder="1"/>
    <xf numFmtId="4" fontId="30" fillId="66" borderId="115" xfId="1293" applyNumberFormat="1" applyFont="1" applyFill="1" applyBorder="1" applyAlignment="1">
      <alignment horizontal="right"/>
    </xf>
    <xf numFmtId="4" fontId="9" fillId="0" borderId="0" xfId="0" applyNumberFormat="1" applyFont="1"/>
    <xf numFmtId="0" fontId="9" fillId="0" borderId="19" xfId="0" applyFont="1" applyFill="1" applyBorder="1" applyAlignment="1">
      <alignment horizontal="left"/>
    </xf>
    <xf numFmtId="0" fontId="9" fillId="68" borderId="24" xfId="1051" applyNumberFormat="1" applyFont="1" applyFill="1" applyBorder="1" applyAlignment="1" applyProtection="1"/>
    <xf numFmtId="0" fontId="8" fillId="68" borderId="24" xfId="1051" applyNumberFormat="1" applyFont="1" applyFill="1" applyBorder="1" applyAlignment="1"/>
    <xf numFmtId="0" fontId="0" fillId="68" borderId="0" xfId="0" applyFill="1"/>
    <xf numFmtId="0" fontId="0" fillId="0" borderId="0" xfId="0" applyAlignment="1">
      <alignment horizontal="right"/>
    </xf>
    <xf numFmtId="0" fontId="0" fillId="0" borderId="0" xfId="0" applyFill="1"/>
    <xf numFmtId="0" fontId="9" fillId="0" borderId="0" xfId="0" applyFont="1" applyFill="1" applyAlignment="1">
      <alignment horizontal="center"/>
    </xf>
    <xf numFmtId="0" fontId="8" fillId="0" borderId="0" xfId="1051" applyFont="1" applyFill="1"/>
    <xf numFmtId="0" fontId="9" fillId="0" borderId="0" xfId="1293" applyFont="1" applyFill="1" applyBorder="1" applyAlignment="1">
      <alignment horizontal="center"/>
    </xf>
    <xf numFmtId="0" fontId="9" fillId="0" borderId="0" xfId="1293" applyFont="1" applyFill="1" applyBorder="1" applyAlignment="1">
      <alignment horizontal="right"/>
    </xf>
    <xf numFmtId="0" fontId="8" fillId="0" borderId="0" xfId="1293" applyFont="1" applyFill="1" applyBorder="1" applyAlignment="1">
      <alignment horizontal="left"/>
    </xf>
    <xf numFmtId="0" fontId="8" fillId="0" borderId="0" xfId="1293" applyFont="1" applyFill="1" applyBorder="1" applyAlignment="1">
      <alignment horizontal="center"/>
    </xf>
    <xf numFmtId="0" fontId="141" fillId="0" borderId="0" xfId="1293" applyFont="1" applyFill="1" applyBorder="1" applyAlignment="1">
      <alignment horizontal="center"/>
    </xf>
    <xf numFmtId="0" fontId="9" fillId="0" borderId="47" xfId="1293" applyFont="1" applyFill="1" applyBorder="1" applyAlignment="1">
      <alignment horizontal="right"/>
    </xf>
    <xf numFmtId="0" fontId="8" fillId="0" borderId="47" xfId="1293" applyFont="1" applyFill="1" applyBorder="1" applyAlignment="1">
      <alignment horizontal="left"/>
    </xf>
    <xf numFmtId="0" fontId="14" fillId="0" borderId="38" xfId="1293" applyFont="1" applyFill="1" applyBorder="1" applyAlignment="1">
      <alignment horizontal="center"/>
    </xf>
    <xf numFmtId="0" fontId="14" fillId="0" borderId="57" xfId="1293" applyFont="1" applyFill="1" applyBorder="1" applyAlignment="1">
      <alignment horizontal="center" vertical="center" wrapText="1"/>
    </xf>
    <xf numFmtId="0" fontId="14" fillId="0" borderId="38" xfId="1293" applyFont="1" applyFill="1" applyBorder="1" applyAlignment="1">
      <alignment horizontal="center" vertical="center" wrapText="1"/>
    </xf>
    <xf numFmtId="0" fontId="13" fillId="0" borderId="55" xfId="1293" applyFont="1" applyFill="1" applyBorder="1"/>
    <xf numFmtId="0" fontId="14" fillId="0" borderId="55" xfId="1293" applyFont="1" applyFill="1" applyBorder="1" applyAlignment="1">
      <alignment horizontal="center" vertical="center" wrapText="1"/>
    </xf>
    <xf numFmtId="0" fontId="26" fillId="0" borderId="47" xfId="1293" applyFont="1" applyFill="1" applyBorder="1" applyAlignment="1">
      <alignment horizontal="center"/>
    </xf>
    <xf numFmtId="0" fontId="13" fillId="0" borderId="75" xfId="1293" applyFont="1" applyFill="1" applyBorder="1" applyAlignment="1">
      <alignment horizontal="right"/>
    </xf>
    <xf numFmtId="0" fontId="13" fillId="0" borderId="125" xfId="1293" applyFont="1" applyFill="1" applyBorder="1" applyAlignment="1">
      <alignment horizontal="left"/>
    </xf>
    <xf numFmtId="4" fontId="13" fillId="0" borderId="40" xfId="924" applyNumberFormat="1" applyFont="1" applyFill="1" applyBorder="1"/>
    <xf numFmtId="43" fontId="13" fillId="0" borderId="40" xfId="462" applyFont="1" applyFill="1" applyBorder="1" applyAlignment="1">
      <alignment horizontal="center"/>
    </xf>
    <xf numFmtId="0" fontId="13" fillId="0" borderId="42" xfId="1293" applyFont="1" applyFill="1" applyBorder="1" applyAlignment="1">
      <alignment horizontal="right"/>
    </xf>
    <xf numFmtId="0" fontId="13" fillId="0" borderId="50" xfId="1293" applyFont="1" applyFill="1" applyBorder="1" applyAlignment="1">
      <alignment horizontal="left"/>
    </xf>
    <xf numFmtId="4" fontId="13" fillId="0" borderId="24" xfId="924" applyNumberFormat="1" applyFont="1" applyFill="1" applyBorder="1"/>
    <xf numFmtId="43" fontId="13" fillId="0" borderId="24" xfId="462" applyFont="1" applyFill="1" applyBorder="1" applyAlignment="1">
      <alignment horizontal="center"/>
    </xf>
    <xf numFmtId="4" fontId="8" fillId="0" borderId="24" xfId="1480" applyNumberFormat="1" applyFont="1" applyFill="1" applyBorder="1" applyAlignment="1">
      <alignment vertical="top" wrapText="1"/>
    </xf>
    <xf numFmtId="4" fontId="136" fillId="0" borderId="24" xfId="924" applyNumberFormat="1" applyFont="1" applyFill="1" applyBorder="1"/>
    <xf numFmtId="0" fontId="13" fillId="0" borderId="126" xfId="1293" applyFont="1" applyFill="1" applyBorder="1" applyAlignment="1">
      <alignment horizontal="left"/>
    </xf>
    <xf numFmtId="4" fontId="13" fillId="0" borderId="20" xfId="924" applyNumberFormat="1" applyFont="1" applyFill="1" applyBorder="1"/>
    <xf numFmtId="43" fontId="13" fillId="0" borderId="20" xfId="462" applyFont="1" applyFill="1" applyBorder="1" applyAlignment="1">
      <alignment horizontal="center"/>
    </xf>
    <xf numFmtId="4" fontId="14" fillId="0" borderId="20" xfId="924" applyNumberFormat="1" applyFont="1" applyFill="1" applyBorder="1"/>
    <xf numFmtId="0" fontId="9" fillId="0" borderId="24" xfId="1293" applyFont="1" applyFill="1" applyBorder="1" applyAlignment="1">
      <alignment horizontal="center" vertical="top"/>
    </xf>
    <xf numFmtId="0" fontId="14" fillId="0" borderId="42" xfId="1293" applyFont="1" applyFill="1" applyBorder="1" applyAlignment="1">
      <alignment horizontal="right"/>
    </xf>
    <xf numFmtId="0" fontId="9" fillId="0" borderId="24" xfId="1293" applyFont="1" applyFill="1" applyBorder="1" applyAlignment="1">
      <alignment vertical="top"/>
    </xf>
    <xf numFmtId="4" fontId="9" fillId="0" borderId="24" xfId="1293" applyNumberFormat="1" applyFont="1" applyFill="1" applyBorder="1" applyAlignment="1">
      <alignment vertical="top"/>
    </xf>
    <xf numFmtId="0" fontId="8" fillId="0" borderId="24" xfId="1293" applyFont="1" applyFill="1" applyBorder="1" applyAlignment="1">
      <alignment vertical="top"/>
    </xf>
    <xf numFmtId="4" fontId="8" fillId="0" borderId="24" xfId="1293" applyNumberFormat="1" applyFont="1" applyFill="1" applyBorder="1" applyAlignment="1">
      <alignment horizontal="right" vertical="top"/>
    </xf>
    <xf numFmtId="0" fontId="8" fillId="0" borderId="24" xfId="1293" applyFont="1" applyFill="1" applyBorder="1" applyAlignment="1">
      <alignment horizontal="center" vertical="top"/>
    </xf>
    <xf numFmtId="4" fontId="8" fillId="0" borderId="24" xfId="1293" applyNumberFormat="1" applyFont="1" applyFill="1" applyBorder="1" applyAlignment="1">
      <alignment vertical="top"/>
    </xf>
    <xf numFmtId="0" fontId="13" fillId="0" borderId="42" xfId="1293" applyFont="1" applyFill="1" applyBorder="1"/>
    <xf numFmtId="0" fontId="9" fillId="0" borderId="24" xfId="1293" applyFont="1" applyFill="1" applyBorder="1" applyAlignment="1">
      <alignment horizontal="right" vertical="top"/>
    </xf>
    <xf numFmtId="0" fontId="13" fillId="0" borderId="0" xfId="1293" applyFont="1" applyFill="1" applyBorder="1"/>
    <xf numFmtId="0" fontId="13" fillId="0" borderId="0" xfId="1293" applyFont="1" applyFill="1" applyBorder="1" applyAlignment="1">
      <alignment horizontal="left"/>
    </xf>
    <xf numFmtId="43" fontId="13" fillId="0" borderId="0" xfId="924" applyFont="1" applyFill="1" applyBorder="1"/>
    <xf numFmtId="43" fontId="13" fillId="0" borderId="0" xfId="462" applyFont="1" applyFill="1" applyBorder="1" applyAlignment="1">
      <alignment horizontal="center"/>
    </xf>
    <xf numFmtId="0" fontId="26" fillId="0" borderId="0" xfId="1293" applyFont="1" applyFill="1" applyBorder="1" applyAlignment="1">
      <alignment horizontal="center"/>
    </xf>
    <xf numFmtId="0" fontId="14" fillId="0" borderId="0" xfId="1293" applyFont="1" applyFill="1" applyBorder="1" applyAlignment="1">
      <alignment horizontal="right"/>
    </xf>
    <xf numFmtId="0" fontId="14" fillId="0" borderId="47" xfId="1293" applyFont="1" applyFill="1" applyBorder="1" applyAlignment="1">
      <alignment horizontal="left"/>
    </xf>
    <xf numFmtId="43" fontId="13" fillId="0" borderId="47" xfId="924" applyFont="1" applyFill="1" applyBorder="1"/>
    <xf numFmtId="0" fontId="13" fillId="0" borderId="47" xfId="1293" applyFont="1" applyFill="1" applyBorder="1" applyAlignment="1">
      <alignment horizontal="center"/>
    </xf>
    <xf numFmtId="0" fontId="13" fillId="0" borderId="39" xfId="1293" applyFont="1" applyFill="1" applyBorder="1" applyAlignment="1">
      <alignment horizontal="right"/>
    </xf>
    <xf numFmtId="0" fontId="13" fillId="0" borderId="125" xfId="1293" applyFont="1" applyFill="1" applyBorder="1"/>
    <xf numFmtId="39" fontId="13" fillId="0" borderId="40" xfId="1293" applyNumberFormat="1" applyFont="1" applyFill="1" applyBorder="1" applyAlignment="1">
      <alignment horizontal="center"/>
    </xf>
    <xf numFmtId="0" fontId="13" fillId="0" borderId="50" xfId="1293" applyFont="1" applyFill="1" applyBorder="1"/>
    <xf numFmtId="39" fontId="13" fillId="0" borderId="24" xfId="1293" applyNumberFormat="1" applyFont="1" applyFill="1" applyBorder="1" applyAlignment="1">
      <alignment horizontal="center"/>
    </xf>
    <xf numFmtId="39" fontId="13" fillId="0" borderId="78" xfId="1301" applyFont="1" applyFill="1" applyBorder="1"/>
    <xf numFmtId="4" fontId="13" fillId="0" borderId="19" xfId="919" applyNumberFormat="1" applyFont="1" applyFill="1" applyBorder="1"/>
    <xf numFmtId="39" fontId="13" fillId="0" borderId="19" xfId="1301" applyNumberFormat="1" applyFont="1" applyFill="1" applyBorder="1" applyAlignment="1">
      <alignment horizontal="center"/>
    </xf>
    <xf numFmtId="4" fontId="13" fillId="0" borderId="19" xfId="1301" applyNumberFormat="1" applyFont="1" applyFill="1" applyBorder="1"/>
    <xf numFmtId="0" fontId="13" fillId="0" borderId="62" xfId="1293" applyFont="1" applyFill="1" applyBorder="1"/>
    <xf numFmtId="39" fontId="14" fillId="0" borderId="71" xfId="1293" quotePrefix="1" applyNumberFormat="1" applyFont="1" applyFill="1" applyBorder="1" applyAlignment="1">
      <alignment horizontal="left"/>
    </xf>
    <xf numFmtId="43" fontId="14" fillId="0" borderId="45" xfId="924" quotePrefix="1" applyFont="1" applyFill="1" applyBorder="1" applyAlignment="1">
      <alignment horizontal="left"/>
    </xf>
    <xf numFmtId="39" fontId="13" fillId="0" borderId="45" xfId="1293" applyNumberFormat="1" applyFont="1" applyFill="1" applyBorder="1" applyAlignment="1">
      <alignment horizontal="center"/>
    </xf>
    <xf numFmtId="43" fontId="14" fillId="0" borderId="45" xfId="924" quotePrefix="1" applyFont="1" applyFill="1" applyBorder="1" applyAlignment="1">
      <alignment horizontal="right"/>
    </xf>
    <xf numFmtId="43" fontId="13" fillId="0" borderId="0" xfId="924" applyFont="1" applyFill="1"/>
    <xf numFmtId="0" fontId="13" fillId="0" borderId="0" xfId="1293" applyFont="1" applyFill="1" applyAlignment="1">
      <alignment horizontal="center"/>
    </xf>
    <xf numFmtId="0" fontId="14" fillId="0" borderId="47" xfId="1293" quotePrefix="1" applyFont="1" applyFill="1" applyBorder="1" applyAlignment="1">
      <alignment horizontal="left"/>
    </xf>
    <xf numFmtId="0" fontId="13" fillId="0" borderId="127" xfId="1293" applyFont="1" applyFill="1" applyBorder="1"/>
    <xf numFmtId="4" fontId="13" fillId="0" borderId="73" xfId="924" applyNumberFormat="1" applyFont="1" applyFill="1" applyBorder="1"/>
    <xf numFmtId="39" fontId="13" fillId="0" borderId="73" xfId="1293" applyNumberFormat="1" applyFont="1" applyFill="1" applyBorder="1" applyAlignment="1">
      <alignment horizontal="center"/>
    </xf>
    <xf numFmtId="0" fontId="13" fillId="0" borderId="44" xfId="1293" applyFont="1" applyFill="1" applyBorder="1"/>
    <xf numFmtId="0" fontId="13" fillId="0" borderId="71" xfId="1293" applyFont="1" applyFill="1" applyBorder="1"/>
    <xf numFmtId="43" fontId="13" fillId="0" borderId="45" xfId="924" applyFont="1" applyFill="1" applyBorder="1"/>
    <xf numFmtId="43" fontId="13" fillId="0" borderId="0" xfId="924" quotePrefix="1" applyFont="1" applyFill="1" applyBorder="1" applyAlignment="1">
      <alignment horizontal="left"/>
    </xf>
    <xf numFmtId="39" fontId="13" fillId="0" borderId="0" xfId="1293" applyNumberFormat="1" applyFont="1" applyFill="1" applyBorder="1" applyAlignment="1">
      <alignment horizontal="center"/>
    </xf>
    <xf numFmtId="0" fontId="14" fillId="0" borderId="47" xfId="1293" applyFont="1" applyFill="1" applyBorder="1"/>
    <xf numFmtId="0" fontId="13" fillId="0" borderId="45" xfId="1293" applyFont="1" applyFill="1" applyBorder="1" applyAlignment="1">
      <alignment horizontal="center"/>
    </xf>
    <xf numFmtId="4" fontId="13" fillId="0" borderId="40" xfId="924" quotePrefix="1" applyNumberFormat="1" applyFont="1" applyFill="1" applyBorder="1" applyAlignment="1"/>
    <xf numFmtId="0" fontId="13" fillId="0" borderId="24" xfId="1293" applyFont="1" applyFill="1" applyBorder="1"/>
    <xf numFmtId="4" fontId="13" fillId="0" borderId="24" xfId="924" quotePrefix="1" applyNumberFormat="1" applyFont="1" applyFill="1" applyBorder="1" applyAlignment="1"/>
    <xf numFmtId="43" fontId="13" fillId="0" borderId="24" xfId="924" applyFont="1" applyFill="1" applyBorder="1"/>
    <xf numFmtId="0" fontId="13" fillId="0" borderId="24" xfId="1293" applyFont="1" applyFill="1" applyBorder="1" applyAlignment="1">
      <alignment horizontal="left"/>
    </xf>
    <xf numFmtId="43" fontId="14" fillId="0" borderId="24" xfId="924" applyFont="1" applyFill="1" applyBorder="1" applyAlignment="1">
      <alignment horizontal="right"/>
    </xf>
    <xf numFmtId="43" fontId="13" fillId="0" borderId="24" xfId="924" quotePrefix="1" applyFont="1" applyFill="1" applyBorder="1" applyAlignment="1">
      <alignment horizontal="left"/>
    </xf>
    <xf numFmtId="43" fontId="9" fillId="0" borderId="45" xfId="924" applyFont="1" applyFill="1" applyBorder="1" applyAlignment="1">
      <alignment horizontal="right"/>
    </xf>
    <xf numFmtId="0" fontId="13" fillId="0" borderId="45" xfId="1293" applyFont="1" applyFill="1" applyBorder="1"/>
    <xf numFmtId="43" fontId="13" fillId="0" borderId="45" xfId="924" quotePrefix="1" applyFont="1" applyFill="1" applyBorder="1" applyAlignment="1">
      <alignment horizontal="left"/>
    </xf>
    <xf numFmtId="43" fontId="9" fillId="0" borderId="0" xfId="924" applyFont="1" applyFill="1" applyBorder="1" applyAlignment="1">
      <alignment horizontal="right"/>
    </xf>
    <xf numFmtId="0" fontId="13" fillId="0" borderId="0" xfId="1293" applyFont="1" applyFill="1" applyBorder="1" applyAlignment="1">
      <alignment vertical="top"/>
    </xf>
    <xf numFmtId="43" fontId="13" fillId="0" borderId="0" xfId="924" quotePrefix="1" applyFont="1" applyFill="1" applyBorder="1" applyAlignment="1">
      <alignment horizontal="left" vertical="top"/>
    </xf>
    <xf numFmtId="39" fontId="13" fillId="0" borderId="0" xfId="1293" applyNumberFormat="1" applyFont="1" applyFill="1" applyBorder="1" applyAlignment="1">
      <alignment horizontal="center" vertical="top"/>
    </xf>
    <xf numFmtId="43" fontId="13" fillId="0" borderId="0" xfId="924" applyFont="1" applyFill="1" applyBorder="1" applyAlignment="1">
      <alignment vertical="top"/>
    </xf>
    <xf numFmtId="0" fontId="14" fillId="0" borderId="0" xfId="1293" applyFont="1" applyFill="1" applyBorder="1" applyAlignment="1">
      <alignment horizontal="right" vertical="top"/>
    </xf>
    <xf numFmtId="0" fontId="14" fillId="0" borderId="0" xfId="1293" applyFont="1" applyFill="1" applyBorder="1" applyAlignment="1">
      <alignment vertical="top"/>
    </xf>
    <xf numFmtId="0" fontId="13" fillId="0" borderId="39" xfId="1293" applyFont="1" applyFill="1" applyBorder="1" applyAlignment="1">
      <alignment horizontal="right" vertical="top"/>
    </xf>
    <xf numFmtId="0" fontId="13" fillId="0" borderId="40" xfId="1293" applyFont="1" applyFill="1" applyBorder="1" applyAlignment="1">
      <alignment vertical="top"/>
    </xf>
    <xf numFmtId="43" fontId="13" fillId="0" borderId="40" xfId="924" quotePrefix="1" applyFont="1" applyFill="1" applyBorder="1" applyAlignment="1">
      <alignment horizontal="left" vertical="top"/>
    </xf>
    <xf numFmtId="39" fontId="13" fillId="0" borderId="40" xfId="1293" applyNumberFormat="1" applyFont="1" applyFill="1" applyBorder="1" applyAlignment="1">
      <alignment horizontal="center" vertical="top"/>
    </xf>
    <xf numFmtId="43" fontId="13" fillId="0" borderId="40" xfId="924" applyFont="1" applyFill="1" applyBorder="1" applyAlignment="1">
      <alignment vertical="top"/>
    </xf>
    <xf numFmtId="0" fontId="13" fillId="0" borderId="42" xfId="1293" applyFont="1" applyFill="1" applyBorder="1" applyAlignment="1">
      <alignment horizontal="right" vertical="top"/>
    </xf>
    <xf numFmtId="0" fontId="13" fillId="0" borderId="24" xfId="1293" applyFont="1" applyFill="1" applyBorder="1" applyAlignment="1">
      <alignment vertical="top"/>
    </xf>
    <xf numFmtId="43" fontId="13" fillId="0" borderId="24" xfId="924" quotePrefix="1" applyFont="1" applyFill="1" applyBorder="1" applyAlignment="1">
      <alignment horizontal="left" vertical="top"/>
    </xf>
    <xf numFmtId="39" fontId="13" fillId="0" borderId="24" xfId="1293" applyNumberFormat="1" applyFont="1" applyFill="1" applyBorder="1" applyAlignment="1">
      <alignment horizontal="center" vertical="top"/>
    </xf>
    <xf numFmtId="4" fontId="13" fillId="0" borderId="43" xfId="924" applyNumberFormat="1" applyFont="1" applyFill="1" applyBorder="1"/>
    <xf numFmtId="0" fontId="13" fillId="0" borderId="24" xfId="1293" applyFont="1" applyFill="1" applyBorder="1" applyAlignment="1">
      <alignment vertical="top" wrapText="1"/>
    </xf>
    <xf numFmtId="43" fontId="13" fillId="0" borderId="24" xfId="924" applyFont="1" applyFill="1" applyBorder="1" applyAlignment="1"/>
    <xf numFmtId="43" fontId="13" fillId="0" borderId="24" xfId="924" applyFont="1" applyFill="1" applyBorder="1" applyAlignment="1">
      <alignment vertical="top"/>
    </xf>
    <xf numFmtId="0" fontId="13" fillId="0" borderId="42" xfId="1293" applyFont="1" applyFill="1" applyBorder="1" applyAlignment="1">
      <alignment vertical="top"/>
    </xf>
    <xf numFmtId="0" fontId="26" fillId="0" borderId="24" xfId="1293" applyFont="1" applyFill="1" applyBorder="1"/>
    <xf numFmtId="43" fontId="13" fillId="0" borderId="24" xfId="924" quotePrefix="1" applyFont="1" applyFill="1" applyBorder="1" applyAlignment="1">
      <alignment horizontal="right" vertical="top"/>
    </xf>
    <xf numFmtId="0" fontId="13" fillId="0" borderId="44" xfId="1293" applyFont="1" applyFill="1" applyBorder="1" applyAlignment="1">
      <alignment vertical="top"/>
    </xf>
    <xf numFmtId="0" fontId="13" fillId="0" borderId="45" xfId="1293" applyFont="1" applyFill="1" applyBorder="1" applyAlignment="1">
      <alignment vertical="top"/>
    </xf>
    <xf numFmtId="43" fontId="13" fillId="0" borderId="45" xfId="924" quotePrefix="1" applyFont="1" applyFill="1" applyBorder="1" applyAlignment="1">
      <alignment horizontal="left" vertical="top"/>
    </xf>
    <xf numFmtId="39" fontId="13" fillId="0" borderId="45" xfId="1293" applyNumberFormat="1" applyFont="1" applyFill="1" applyBorder="1" applyAlignment="1">
      <alignment horizontal="center" vertical="top"/>
    </xf>
    <xf numFmtId="43" fontId="14" fillId="0" borderId="45" xfId="924" applyFont="1" applyFill="1" applyBorder="1" applyAlignment="1">
      <alignment horizontal="right"/>
    </xf>
    <xf numFmtId="0" fontId="14" fillId="0" borderId="47" xfId="1293" applyFont="1" applyFill="1" applyBorder="1" applyAlignment="1">
      <alignment horizontal="right"/>
    </xf>
    <xf numFmtId="0" fontId="13" fillId="0" borderId="40" xfId="1293" applyFont="1" applyFill="1" applyBorder="1" applyAlignment="1">
      <alignment horizontal="center"/>
    </xf>
    <xf numFmtId="0" fontId="13" fillId="0" borderId="24" xfId="1293" applyFont="1" applyFill="1" applyBorder="1" applyAlignment="1">
      <alignment horizontal="center"/>
    </xf>
    <xf numFmtId="0" fontId="14" fillId="0" borderId="0" xfId="1293" applyFont="1" applyFill="1" applyBorder="1"/>
    <xf numFmtId="0" fontId="13" fillId="0" borderId="0" xfId="1293" applyFont="1" applyFill="1" applyBorder="1" applyAlignment="1">
      <alignment horizontal="center"/>
    </xf>
    <xf numFmtId="43" fontId="14" fillId="0" borderId="0" xfId="924" applyFont="1" applyFill="1" applyBorder="1" applyAlignment="1">
      <alignment horizontal="right"/>
    </xf>
    <xf numFmtId="0" fontId="14" fillId="0" borderId="0" xfId="1293" quotePrefix="1" applyFont="1" applyFill="1" applyBorder="1" applyAlignment="1">
      <alignment horizontal="left"/>
    </xf>
    <xf numFmtId="0" fontId="13" fillId="0" borderId="48" xfId="1293" applyFont="1" applyFill="1" applyBorder="1" applyAlignment="1">
      <alignment horizontal="right"/>
    </xf>
    <xf numFmtId="4" fontId="13" fillId="0" borderId="25" xfId="924" applyNumberFormat="1" applyFont="1" applyFill="1" applyBorder="1"/>
    <xf numFmtId="39" fontId="13" fillId="0" borderId="25" xfId="1293" applyNumberFormat="1" applyFont="1" applyFill="1" applyBorder="1" applyAlignment="1">
      <alignment horizontal="center"/>
    </xf>
    <xf numFmtId="4" fontId="13" fillId="0" borderId="40" xfId="1293" applyNumberFormat="1" applyFont="1" applyFill="1" applyBorder="1" applyAlignment="1">
      <alignment horizontal="center"/>
    </xf>
    <xf numFmtId="4" fontId="13" fillId="0" borderId="24" xfId="1293" applyNumberFormat="1" applyFont="1" applyFill="1" applyBorder="1" applyAlignment="1">
      <alignment horizontal="center"/>
    </xf>
    <xf numFmtId="4" fontId="13" fillId="0" borderId="24" xfId="1293" quotePrefix="1" applyNumberFormat="1" applyFont="1" applyFill="1" applyBorder="1" applyAlignment="1">
      <alignment horizontal="center"/>
    </xf>
    <xf numFmtId="0" fontId="13" fillId="0" borderId="50" xfId="1293" quotePrefix="1" applyFont="1" applyFill="1" applyBorder="1" applyAlignment="1">
      <alignment horizontal="left"/>
    </xf>
    <xf numFmtId="43" fontId="14" fillId="0" borderId="0" xfId="924" applyFont="1" applyFill="1" applyAlignment="1">
      <alignment horizontal="right"/>
    </xf>
    <xf numFmtId="0" fontId="142" fillId="0" borderId="24" xfId="1293" applyFont="1" applyFill="1" applyBorder="1" applyAlignment="1">
      <alignment horizontal="center"/>
    </xf>
    <xf numFmtId="0" fontId="14" fillId="0" borderId="0" xfId="1297" quotePrefix="1" applyFont="1" applyFill="1" applyBorder="1" applyAlignment="1" applyProtection="1">
      <alignment horizontal="left" vertical="center"/>
    </xf>
    <xf numFmtId="43" fontId="13" fillId="0" borderId="0" xfId="924" applyFont="1" applyFill="1" applyBorder="1" applyAlignment="1">
      <alignment horizontal="right" vertical="center"/>
    </xf>
    <xf numFmtId="0" fontId="13" fillId="0" borderId="0" xfId="1297" applyFont="1" applyFill="1" applyBorder="1" applyAlignment="1">
      <alignment horizontal="center" vertical="center"/>
    </xf>
    <xf numFmtId="0" fontId="13" fillId="0" borderId="39" xfId="1297" applyFont="1" applyFill="1" applyBorder="1" applyAlignment="1">
      <alignment horizontal="right" vertical="center"/>
    </xf>
    <xf numFmtId="0" fontId="13" fillId="0" borderId="125" xfId="1297" quotePrefix="1" applyFont="1" applyFill="1" applyBorder="1" applyAlignment="1" applyProtection="1">
      <alignment horizontal="left" vertical="center"/>
    </xf>
    <xf numFmtId="4" fontId="13" fillId="0" borderId="40" xfId="924" applyNumberFormat="1" applyFont="1" applyFill="1" applyBorder="1" applyAlignment="1" applyProtection="1">
      <alignment horizontal="right" vertical="center"/>
    </xf>
    <xf numFmtId="0" fontId="13" fillId="0" borderId="40" xfId="1297" applyFont="1" applyFill="1" applyBorder="1" applyAlignment="1" applyProtection="1">
      <alignment horizontal="center" vertical="center"/>
    </xf>
    <xf numFmtId="4" fontId="13" fillId="0" borderId="40" xfId="924" applyNumberFormat="1" applyFont="1" applyFill="1" applyBorder="1" applyAlignment="1" applyProtection="1">
      <alignment horizontal="right" vertical="center"/>
      <protection locked="0"/>
    </xf>
    <xf numFmtId="0" fontId="13" fillId="0" borderId="42" xfId="1297" applyFont="1" applyFill="1" applyBorder="1" applyAlignment="1">
      <alignment horizontal="right" vertical="center"/>
    </xf>
    <xf numFmtId="0" fontId="13" fillId="0" borderId="50" xfId="1297" quotePrefix="1" applyFont="1" applyFill="1" applyBorder="1" applyAlignment="1" applyProtection="1">
      <alignment horizontal="left" vertical="center"/>
    </xf>
    <xf numFmtId="4" fontId="13" fillId="0" borderId="24" xfId="924" applyNumberFormat="1" applyFont="1" applyFill="1" applyBorder="1" applyAlignment="1" applyProtection="1">
      <alignment horizontal="right" vertical="center"/>
    </xf>
    <xf numFmtId="0" fontId="13" fillId="0" borderId="24" xfId="1297" applyFont="1" applyFill="1" applyBorder="1" applyAlignment="1" applyProtection="1">
      <alignment horizontal="center" vertical="center"/>
    </xf>
    <xf numFmtId="4" fontId="13" fillId="0" borderId="24" xfId="924" applyNumberFormat="1" applyFont="1" applyFill="1" applyBorder="1" applyAlignment="1" applyProtection="1">
      <alignment horizontal="right" vertical="center"/>
      <protection locked="0"/>
    </xf>
    <xf numFmtId="0" fontId="13" fillId="0" borderId="44" xfId="1297" applyFont="1" applyFill="1" applyBorder="1" applyAlignment="1">
      <alignment vertical="center"/>
    </xf>
    <xf numFmtId="0" fontId="13" fillId="0" borderId="71" xfId="1297" applyFont="1" applyFill="1" applyBorder="1" applyAlignment="1">
      <alignment vertical="center"/>
    </xf>
    <xf numFmtId="43" fontId="13" fillId="0" borderId="45" xfId="924" applyFont="1" applyFill="1" applyBorder="1" applyAlignment="1">
      <alignment horizontal="right" vertical="center"/>
    </xf>
    <xf numFmtId="0" fontId="13" fillId="0" borderId="45" xfId="1297" applyFont="1" applyFill="1" applyBorder="1" applyAlignment="1">
      <alignment horizontal="center" vertical="center"/>
    </xf>
    <xf numFmtId="0" fontId="13" fillId="0" borderId="0" xfId="1297" applyFont="1" applyFill="1" applyBorder="1" applyAlignment="1">
      <alignment vertical="center"/>
    </xf>
    <xf numFmtId="43" fontId="14" fillId="0" borderId="0" xfId="924" applyFont="1" applyFill="1" applyBorder="1" applyAlignment="1">
      <alignment horizontal="right" vertical="center"/>
    </xf>
    <xf numFmtId="0" fontId="14" fillId="0" borderId="0" xfId="1297" applyFont="1" applyFill="1" applyBorder="1" applyAlignment="1">
      <alignment horizontal="center" vertical="center"/>
    </xf>
    <xf numFmtId="43" fontId="13" fillId="0" borderId="125" xfId="1481" quotePrefix="1" applyFont="1" applyFill="1" applyBorder="1" applyAlignment="1" applyProtection="1">
      <alignment horizontal="left" vertical="center"/>
    </xf>
    <xf numFmtId="43" fontId="13" fillId="0" borderId="40" xfId="1481" applyFont="1" applyFill="1" applyBorder="1" applyAlignment="1" applyProtection="1">
      <alignment horizontal="center" vertical="center"/>
    </xf>
    <xf numFmtId="43" fontId="13" fillId="0" borderId="50" xfId="1481" applyFont="1" applyFill="1" applyBorder="1" applyAlignment="1" applyProtection="1">
      <alignment vertical="center"/>
    </xf>
    <xf numFmtId="43" fontId="13" fillId="0" borderId="24" xfId="1481" applyFont="1" applyFill="1" applyBorder="1" applyAlignment="1" applyProtection="1">
      <alignment horizontal="center" vertical="center"/>
    </xf>
    <xf numFmtId="43" fontId="13" fillId="0" borderId="50" xfId="1481" quotePrefix="1" applyFont="1" applyFill="1" applyBorder="1" applyAlignment="1" applyProtection="1">
      <alignment horizontal="left" vertical="center"/>
    </xf>
    <xf numFmtId="43" fontId="13" fillId="0" borderId="71" xfId="1481" applyFont="1" applyFill="1" applyBorder="1" applyAlignment="1">
      <alignment vertical="center"/>
    </xf>
    <xf numFmtId="43" fontId="13" fillId="0" borderId="45" xfId="1481" applyFont="1" applyFill="1" applyBorder="1" applyAlignment="1">
      <alignment horizontal="center" vertical="center"/>
    </xf>
    <xf numFmtId="43" fontId="13" fillId="0" borderId="0" xfId="924" applyFont="1" applyFill="1" applyBorder="1" applyAlignment="1" applyProtection="1">
      <alignment horizontal="right" vertical="center"/>
    </xf>
    <xf numFmtId="43" fontId="13" fillId="0" borderId="45" xfId="924" applyFont="1" applyFill="1" applyBorder="1" applyAlignment="1" applyProtection="1">
      <alignment horizontal="right" vertical="center"/>
    </xf>
    <xf numFmtId="43" fontId="13" fillId="0" borderId="0" xfId="1481" applyFont="1" applyFill="1" applyBorder="1" applyAlignment="1">
      <alignment vertical="center"/>
    </xf>
    <xf numFmtId="43" fontId="13" fillId="0" borderId="0" xfId="1481" applyFont="1" applyFill="1" applyBorder="1" applyAlignment="1">
      <alignment horizontal="center" vertical="center"/>
    </xf>
    <xf numFmtId="39" fontId="14" fillId="0" borderId="0" xfId="1301" quotePrefix="1" applyFont="1" applyFill="1" applyBorder="1" applyAlignment="1" applyProtection="1">
      <alignment horizontal="left" vertical="center"/>
    </xf>
    <xf numFmtId="39" fontId="13" fillId="0" borderId="0" xfId="1301" applyFont="1" applyFill="1" applyBorder="1" applyAlignment="1">
      <alignment horizontal="right" vertical="center"/>
    </xf>
    <xf numFmtId="39" fontId="13" fillId="0" borderId="0" xfId="1301" applyFont="1" applyFill="1" applyBorder="1" applyAlignment="1">
      <alignment horizontal="center" vertical="center"/>
    </xf>
    <xf numFmtId="39" fontId="13" fillId="0" borderId="39" xfId="1301" applyFont="1" applyFill="1" applyBorder="1" applyAlignment="1">
      <alignment horizontal="right" vertical="center"/>
    </xf>
    <xf numFmtId="39" fontId="13" fillId="0" borderId="125" xfId="1301" quotePrefix="1" applyFont="1" applyFill="1" applyBorder="1" applyAlignment="1" applyProtection="1">
      <alignment horizontal="left" vertical="center"/>
    </xf>
    <xf numFmtId="180" fontId="13" fillId="0" borderId="40" xfId="1301" applyNumberFormat="1" applyFont="1" applyFill="1" applyBorder="1" applyAlignment="1" applyProtection="1">
      <alignment horizontal="right" vertical="center"/>
      <protection locked="0"/>
    </xf>
    <xf numFmtId="39" fontId="13" fillId="0" borderId="40" xfId="1301" applyFont="1" applyFill="1" applyBorder="1" applyAlignment="1" applyProtection="1">
      <alignment horizontal="center" vertical="center"/>
    </xf>
    <xf numFmtId="4" fontId="13" fillId="0" borderId="40" xfId="1301" applyNumberFormat="1" applyFont="1" applyFill="1" applyBorder="1" applyAlignment="1" applyProtection="1">
      <alignment horizontal="right" vertical="center"/>
    </xf>
    <xf numFmtId="39" fontId="13" fillId="0" borderId="42" xfId="1301" applyFont="1" applyFill="1" applyBorder="1" applyAlignment="1">
      <alignment horizontal="right" vertical="center"/>
    </xf>
    <xf numFmtId="39" fontId="13" fillId="0" borderId="50" xfId="1301" quotePrefix="1" applyFont="1" applyFill="1" applyBorder="1" applyAlignment="1" applyProtection="1">
      <alignment horizontal="left" vertical="center"/>
    </xf>
    <xf numFmtId="180" fontId="13" fillId="0" borderId="24" xfId="1301" applyNumberFormat="1" applyFont="1" applyFill="1" applyBorder="1" applyAlignment="1" applyProtection="1">
      <alignment horizontal="right" vertical="center"/>
      <protection locked="0"/>
    </xf>
    <xf numFmtId="39" fontId="13" fillId="0" borderId="24" xfId="1301" applyFont="1" applyFill="1" applyBorder="1" applyAlignment="1" applyProtection="1">
      <alignment horizontal="center" vertical="center"/>
    </xf>
    <xf numFmtId="4" fontId="13" fillId="0" borderId="24" xfId="1301" applyNumberFormat="1" applyFont="1" applyFill="1" applyBorder="1" applyAlignment="1" applyProtection="1">
      <alignment horizontal="right" vertical="center"/>
    </xf>
    <xf numFmtId="39" fontId="13" fillId="0" borderId="50" xfId="1301" applyFont="1" applyFill="1" applyBorder="1" applyAlignment="1" applyProtection="1">
      <alignment horizontal="left" vertical="center"/>
    </xf>
    <xf numFmtId="39" fontId="13" fillId="0" borderId="44" xfId="1301" applyFont="1" applyFill="1" applyBorder="1" applyAlignment="1">
      <alignment vertical="center"/>
    </xf>
    <xf numFmtId="39" fontId="13" fillId="0" borderId="71" xfId="1301" applyFont="1" applyFill="1" applyBorder="1" applyAlignment="1">
      <alignment vertical="center"/>
    </xf>
    <xf numFmtId="39" fontId="13" fillId="0" borderId="45" xfId="1301" applyFont="1" applyFill="1" applyBorder="1" applyAlignment="1">
      <alignment horizontal="right" vertical="center"/>
    </xf>
    <xf numFmtId="39" fontId="13" fillId="0" borderId="45" xfId="1301" applyFont="1" applyFill="1" applyBorder="1" applyAlignment="1">
      <alignment horizontal="center" vertical="center"/>
    </xf>
    <xf numFmtId="39" fontId="13" fillId="0" borderId="0" xfId="1301" applyFont="1" applyFill="1" applyBorder="1" applyAlignment="1">
      <alignment vertical="center"/>
    </xf>
    <xf numFmtId="4" fontId="13" fillId="0" borderId="0" xfId="1301" quotePrefix="1" applyNumberFormat="1" applyFont="1" applyFill="1" applyBorder="1" applyAlignment="1" applyProtection="1">
      <alignment horizontal="right" vertical="center"/>
    </xf>
    <xf numFmtId="0" fontId="14" fillId="0" borderId="0" xfId="1293" applyFont="1" applyFill="1" applyBorder="1" applyAlignment="1">
      <alignment horizontal="left"/>
    </xf>
    <xf numFmtId="234" fontId="13" fillId="0" borderId="0" xfId="924" applyNumberFormat="1" applyFont="1" applyFill="1" applyBorder="1"/>
    <xf numFmtId="213" fontId="13" fillId="0" borderId="40" xfId="1301" applyNumberFormat="1" applyFont="1" applyFill="1" applyBorder="1" applyAlignment="1" applyProtection="1">
      <alignment horizontal="right" vertical="center"/>
      <protection locked="0"/>
    </xf>
    <xf numFmtId="175" fontId="13" fillId="0" borderId="24" xfId="1301" applyNumberFormat="1" applyFont="1" applyFill="1" applyBorder="1" applyAlignment="1" applyProtection="1">
      <alignment horizontal="right" vertical="center"/>
      <protection locked="0"/>
    </xf>
    <xf numFmtId="4" fontId="144" fillId="0" borderId="24" xfId="1301" applyNumberFormat="1" applyFont="1" applyFill="1" applyBorder="1" applyAlignment="1" applyProtection="1">
      <alignment horizontal="right" vertical="center"/>
    </xf>
    <xf numFmtId="4" fontId="136" fillId="0" borderId="24" xfId="924" applyNumberFormat="1" applyFont="1" applyFill="1" applyBorder="1" applyAlignment="1">
      <alignment horizontal="right"/>
    </xf>
    <xf numFmtId="0" fontId="9" fillId="0" borderId="0" xfId="0" quotePrefix="1" applyFont="1" applyFill="1" applyBorder="1" applyAlignment="1" applyProtection="1">
      <alignment horizontal="left" vertical="center"/>
    </xf>
    <xf numFmtId="0" fontId="8" fillId="0" borderId="125" xfId="0" applyFont="1" applyFill="1" applyBorder="1" applyAlignment="1" applyProtection="1">
      <alignment horizontal="left" vertical="center"/>
    </xf>
    <xf numFmtId="213" fontId="8" fillId="0" borderId="40" xfId="0" applyNumberFormat="1" applyFont="1" applyFill="1" applyBorder="1" applyAlignment="1" applyProtection="1">
      <alignment horizontal="right" vertical="center"/>
      <protection locked="0"/>
    </xf>
    <xf numFmtId="0" fontId="8" fillId="0" borderId="50" xfId="0" applyFont="1" applyFill="1" applyBorder="1" applyAlignment="1" applyProtection="1">
      <alignment horizontal="left" vertical="center"/>
    </xf>
    <xf numFmtId="175" fontId="8" fillId="0" borderId="24" xfId="0" applyNumberFormat="1" applyFont="1" applyFill="1" applyBorder="1" applyAlignment="1" applyProtection="1">
      <alignment horizontal="right" vertical="center"/>
      <protection locked="0"/>
    </xf>
    <xf numFmtId="4" fontId="144" fillId="0" borderId="24" xfId="0" applyNumberFormat="1" applyFont="1" applyFill="1" applyBorder="1" applyAlignment="1" applyProtection="1">
      <alignment horizontal="right" vertical="center"/>
    </xf>
    <xf numFmtId="0" fontId="8" fillId="0" borderId="71" xfId="0" applyFont="1" applyFill="1" applyBorder="1" applyAlignment="1">
      <alignment vertical="center"/>
    </xf>
    <xf numFmtId="4" fontId="9" fillId="0" borderId="45" xfId="0" quotePrefix="1" applyNumberFormat="1" applyFont="1" applyFill="1" applyBorder="1" applyAlignment="1" applyProtection="1">
      <alignment horizontal="right" vertical="center"/>
    </xf>
    <xf numFmtId="4" fontId="13" fillId="0" borderId="0" xfId="1293" applyNumberFormat="1" applyFont="1" applyFill="1" applyBorder="1"/>
    <xf numFmtId="39" fontId="13" fillId="0" borderId="0" xfId="1293" quotePrefix="1" applyNumberFormat="1" applyFont="1" applyFill="1" applyBorder="1" applyAlignment="1">
      <alignment horizontal="left"/>
    </xf>
    <xf numFmtId="4" fontId="14" fillId="0" borderId="0" xfId="1293" applyNumberFormat="1" applyFont="1" applyFill="1" applyBorder="1" applyAlignment="1">
      <alignment horizontal="right"/>
    </xf>
    <xf numFmtId="0" fontId="9" fillId="0" borderId="0" xfId="0" quotePrefix="1" applyFont="1" applyFill="1" applyBorder="1" applyAlignment="1">
      <alignment horizontal="left"/>
    </xf>
    <xf numFmtId="0" fontId="8" fillId="0" borderId="125" xfId="0" quotePrefix="1" applyFont="1" applyFill="1" applyBorder="1" applyAlignment="1">
      <alignment horizontal="left" vertical="top" wrapText="1"/>
    </xf>
    <xf numFmtId="235" fontId="8" fillId="0" borderId="40" xfId="0" applyNumberFormat="1" applyFont="1" applyFill="1" applyBorder="1" applyAlignment="1"/>
    <xf numFmtId="0" fontId="8" fillId="0" borderId="40" xfId="0" applyFont="1" applyFill="1" applyBorder="1" applyAlignment="1">
      <alignment horizontal="center"/>
    </xf>
    <xf numFmtId="4" fontId="8" fillId="0" borderId="40" xfId="0" applyNumberFormat="1" applyFont="1" applyFill="1" applyBorder="1"/>
    <xf numFmtId="0" fontId="8" fillId="0" borderId="50" xfId="0" applyFont="1" applyFill="1" applyBorder="1" applyAlignment="1">
      <alignment vertical="top" wrapText="1"/>
    </xf>
    <xf numFmtId="2" fontId="8" fillId="0" borderId="24" xfId="0" applyNumberFormat="1" applyFont="1" applyFill="1" applyBorder="1"/>
    <xf numFmtId="0" fontId="8" fillId="0" borderId="24" xfId="0" applyFont="1" applyFill="1" applyBorder="1" applyAlignment="1">
      <alignment horizontal="center"/>
    </xf>
    <xf numFmtId="4" fontId="8" fillId="0" borderId="24" xfId="0" applyNumberFormat="1" applyFont="1" applyFill="1" applyBorder="1"/>
    <xf numFmtId="0" fontId="8" fillId="0" borderId="71" xfId="0" applyFont="1" applyFill="1" applyBorder="1"/>
    <xf numFmtId="0" fontId="8" fillId="0" borderId="45" xfId="0" applyFont="1" applyFill="1" applyBorder="1"/>
    <xf numFmtId="0" fontId="8" fillId="0" borderId="45" xfId="0" applyFont="1" applyFill="1" applyBorder="1" applyAlignment="1">
      <alignment horizontal="center"/>
    </xf>
    <xf numFmtId="0" fontId="9" fillId="0" borderId="45" xfId="0" applyFont="1" applyFill="1" applyBorder="1" applyAlignment="1">
      <alignment horizontal="right"/>
    </xf>
    <xf numFmtId="0" fontId="9" fillId="0" borderId="0" xfId="0" applyFont="1" applyFill="1"/>
    <xf numFmtId="0" fontId="8" fillId="0" borderId="40" xfId="0" applyFont="1" applyFill="1" applyBorder="1"/>
    <xf numFmtId="0" fontId="8" fillId="0" borderId="24" xfId="0" applyFont="1" applyFill="1" applyBorder="1"/>
    <xf numFmtId="4" fontId="13" fillId="0" borderId="0" xfId="1293" applyNumberFormat="1" applyFont="1" applyFill="1"/>
    <xf numFmtId="4" fontId="144" fillId="0" borderId="24" xfId="0" applyNumberFormat="1" applyFont="1" applyFill="1" applyBorder="1"/>
    <xf numFmtId="0" fontId="13" fillId="0" borderId="39" xfId="1293" applyFont="1" applyFill="1" applyBorder="1"/>
    <xf numFmtId="181" fontId="13" fillId="0" borderId="40" xfId="924" applyNumberFormat="1" applyFont="1" applyFill="1" applyBorder="1"/>
    <xf numFmtId="4" fontId="13" fillId="0" borderId="24" xfId="924" applyNumberFormat="1" applyFont="1" applyFill="1" applyBorder="1" applyAlignment="1">
      <alignment horizontal="right"/>
    </xf>
    <xf numFmtId="4" fontId="13" fillId="0" borderId="24" xfId="924" applyNumberFormat="1" applyFont="1" applyFill="1" applyBorder="1" applyAlignment="1"/>
    <xf numFmtId="43" fontId="14" fillId="0" borderId="0" xfId="924" applyFont="1" applyFill="1" applyBorder="1"/>
    <xf numFmtId="181" fontId="13" fillId="0" borderId="24" xfId="924" applyNumberFormat="1" applyFont="1" applyFill="1" applyBorder="1"/>
    <xf numFmtId="4" fontId="14" fillId="0" borderId="45" xfId="924" applyNumberFormat="1" applyFont="1" applyFill="1" applyBorder="1" applyAlignment="1">
      <alignment horizontal="right"/>
    </xf>
    <xf numFmtId="176" fontId="13" fillId="0" borderId="40" xfId="924" applyNumberFormat="1" applyFont="1" applyFill="1" applyBorder="1"/>
    <xf numFmtId="4" fontId="144" fillId="0" borderId="24" xfId="924" applyNumberFormat="1" applyFont="1" applyFill="1" applyBorder="1"/>
    <xf numFmtId="175" fontId="13" fillId="0" borderId="40" xfId="924" applyNumberFormat="1" applyFont="1" applyFill="1" applyBorder="1"/>
    <xf numFmtId="175" fontId="13" fillId="0" borderId="24" xfId="924" applyNumberFormat="1" applyFont="1" applyFill="1" applyBorder="1"/>
    <xf numFmtId="180" fontId="13" fillId="0" borderId="24" xfId="924" applyNumberFormat="1" applyFont="1" applyFill="1" applyBorder="1"/>
    <xf numFmtId="43" fontId="26" fillId="0" borderId="24" xfId="924" applyFont="1" applyFill="1" applyBorder="1" applyAlignment="1">
      <alignment horizontal="right"/>
    </xf>
    <xf numFmtId="0" fontId="14" fillId="0" borderId="24" xfId="1293" applyFont="1" applyFill="1" applyBorder="1"/>
    <xf numFmtId="0" fontId="14" fillId="0" borderId="45" xfId="1293" applyFont="1" applyFill="1" applyBorder="1"/>
    <xf numFmtId="0" fontId="13" fillId="0" borderId="51" xfId="1293" applyFont="1" applyFill="1" applyBorder="1"/>
    <xf numFmtId="0" fontId="26" fillId="0" borderId="126" xfId="1293" applyFont="1" applyFill="1" applyBorder="1"/>
    <xf numFmtId="43" fontId="13" fillId="0" borderId="20" xfId="924" applyFont="1" applyFill="1" applyBorder="1"/>
    <xf numFmtId="0" fontId="13" fillId="0" borderId="20" xfId="1293" applyFont="1" applyFill="1" applyBorder="1" applyAlignment="1">
      <alignment horizontal="center"/>
    </xf>
    <xf numFmtId="43" fontId="26" fillId="0" borderId="20" xfId="924" applyFont="1" applyFill="1" applyBorder="1" applyAlignment="1">
      <alignment horizontal="right"/>
    </xf>
    <xf numFmtId="0" fontId="13" fillId="0" borderId="125" xfId="1293" quotePrefix="1" applyFont="1" applyFill="1" applyBorder="1" applyAlignment="1">
      <alignment horizontal="left"/>
    </xf>
    <xf numFmtId="176" fontId="13" fillId="0" borderId="24" xfId="924" applyNumberFormat="1" applyFont="1" applyFill="1" applyBorder="1"/>
    <xf numFmtId="4" fontId="9" fillId="0" borderId="0" xfId="0" applyNumberFormat="1" applyFont="1" applyFill="1" applyBorder="1"/>
    <xf numFmtId="43" fontId="8" fillId="0" borderId="0" xfId="1482" applyFont="1" applyFill="1" applyBorder="1" applyAlignment="1">
      <alignment horizontal="right"/>
    </xf>
    <xf numFmtId="4" fontId="8" fillId="0" borderId="0" xfId="0" applyNumberFormat="1" applyFont="1" applyFill="1" applyBorder="1" applyAlignment="1">
      <alignment horizontal="center"/>
    </xf>
    <xf numFmtId="43" fontId="9" fillId="0" borderId="0" xfId="1482" applyFont="1" applyFill="1" applyBorder="1" applyAlignment="1">
      <alignment horizontal="right"/>
    </xf>
    <xf numFmtId="4" fontId="8" fillId="0" borderId="125" xfId="0" applyNumberFormat="1" applyFont="1" applyFill="1" applyBorder="1"/>
    <xf numFmtId="43" fontId="8" fillId="0" borderId="40" xfId="1482" applyFont="1" applyFill="1" applyBorder="1" applyAlignment="1">
      <alignment horizontal="right"/>
    </xf>
    <xf numFmtId="4" fontId="8" fillId="0" borderId="40" xfId="0" applyNumberFormat="1" applyFont="1" applyFill="1" applyBorder="1" applyAlignment="1">
      <alignment horizontal="center"/>
    </xf>
    <xf numFmtId="4" fontId="8" fillId="0" borderId="50" xfId="0" applyNumberFormat="1" applyFont="1" applyFill="1" applyBorder="1"/>
    <xf numFmtId="43" fontId="8" fillId="0" borderId="24" xfId="1482" applyFont="1" applyFill="1" applyBorder="1" applyAlignment="1">
      <alignment horizontal="right"/>
    </xf>
    <xf numFmtId="4" fontId="8" fillId="0" borderId="24" xfId="0" applyNumberFormat="1" applyFont="1" applyFill="1" applyBorder="1" applyAlignment="1">
      <alignment horizontal="center"/>
    </xf>
    <xf numFmtId="4" fontId="8" fillId="0" borderId="71" xfId="0" applyNumberFormat="1" applyFont="1" applyFill="1" applyBorder="1"/>
    <xf numFmtId="43" fontId="8" fillId="0" borderId="45" xfId="1482" applyFont="1" applyFill="1" applyBorder="1" applyAlignment="1">
      <alignment horizontal="right"/>
    </xf>
    <xf numFmtId="4" fontId="8" fillId="0" borderId="45" xfId="0" applyNumberFormat="1" applyFont="1" applyFill="1" applyBorder="1" applyAlignment="1">
      <alignment horizontal="center"/>
    </xf>
    <xf numFmtId="43" fontId="9" fillId="0" borderId="45" xfId="1482" applyFont="1" applyFill="1" applyBorder="1" applyAlignment="1">
      <alignment horizontal="right"/>
    </xf>
    <xf numFmtId="4" fontId="8" fillId="0" borderId="125" xfId="0" applyNumberFormat="1" applyFont="1" applyFill="1" applyBorder="1" applyAlignment="1">
      <alignment horizontal="center"/>
    </xf>
    <xf numFmtId="43" fontId="8" fillId="0" borderId="40" xfId="1482" applyFont="1" applyFill="1" applyBorder="1"/>
    <xf numFmtId="4" fontId="8" fillId="0" borderId="128" xfId="0" applyNumberFormat="1" applyFont="1" applyFill="1" applyBorder="1"/>
    <xf numFmtId="43" fontId="8" fillId="0" borderId="25" xfId="1482" applyFont="1" applyFill="1" applyBorder="1" applyAlignment="1">
      <alignment horizontal="right"/>
    </xf>
    <xf numFmtId="43" fontId="8" fillId="0" borderId="50" xfId="1482" applyFont="1" applyFill="1" applyBorder="1"/>
    <xf numFmtId="4" fontId="8" fillId="0" borderId="25" xfId="0" applyNumberFormat="1" applyFont="1" applyFill="1" applyBorder="1" applyAlignment="1">
      <alignment horizontal="center"/>
    </xf>
    <xf numFmtId="43" fontId="8" fillId="0" borderId="24" xfId="1482" applyFont="1" applyFill="1" applyBorder="1"/>
    <xf numFmtId="4" fontId="9" fillId="0" borderId="50" xfId="0" applyNumberFormat="1" applyFont="1" applyFill="1" applyBorder="1"/>
    <xf numFmtId="43" fontId="8" fillId="0" borderId="66" xfId="1482" applyFont="1" applyFill="1" applyBorder="1" applyAlignment="1">
      <alignment horizontal="right"/>
    </xf>
    <xf numFmtId="4" fontId="8" fillId="0" borderId="99" xfId="0" applyNumberFormat="1" applyFont="1" applyFill="1" applyBorder="1" applyAlignment="1">
      <alignment horizontal="center"/>
    </xf>
    <xf numFmtId="43" fontId="8" fillId="0" borderId="99" xfId="1482" applyFont="1" applyFill="1" applyBorder="1"/>
    <xf numFmtId="4" fontId="8" fillId="0" borderId="126" xfId="0" applyNumberFormat="1" applyFont="1" applyFill="1" applyBorder="1"/>
    <xf numFmtId="43" fontId="8" fillId="0" borderId="20" xfId="1482" applyFont="1" applyFill="1" applyBorder="1" applyAlignment="1">
      <alignment horizontal="right"/>
    </xf>
    <xf numFmtId="4" fontId="8" fillId="0" borderId="20" xfId="0" applyNumberFormat="1" applyFont="1" applyFill="1" applyBorder="1" applyAlignment="1">
      <alignment horizontal="center"/>
    </xf>
    <xf numFmtId="43" fontId="8" fillId="0" borderId="20" xfId="1482" applyFont="1" applyFill="1" applyBorder="1"/>
    <xf numFmtId="0" fontId="26" fillId="0" borderId="40" xfId="0" applyFont="1" applyFill="1" applyBorder="1" applyAlignment="1">
      <alignment horizontal="right"/>
    </xf>
    <xf numFmtId="4" fontId="9" fillId="0" borderId="40" xfId="0" applyNumberFormat="1" applyFont="1" applyFill="1" applyBorder="1" applyAlignment="1">
      <alignment horizontal="right"/>
    </xf>
    <xf numFmtId="0" fontId="26" fillId="0" borderId="24" xfId="0" applyFont="1" applyFill="1" applyBorder="1" applyAlignment="1">
      <alignment horizontal="right"/>
    </xf>
    <xf numFmtId="4" fontId="9" fillId="0" borderId="24" xfId="0" applyNumberFormat="1" applyFont="1" applyFill="1" applyBorder="1" applyAlignment="1">
      <alignment horizontal="right"/>
    </xf>
    <xf numFmtId="0" fontId="26" fillId="0" borderId="45" xfId="0" applyFont="1" applyFill="1" applyBorder="1" applyAlignment="1">
      <alignment horizontal="right"/>
    </xf>
    <xf numFmtId="4" fontId="8" fillId="0" borderId="45" xfId="0" applyNumberFormat="1" applyFont="1" applyFill="1" applyBorder="1"/>
    <xf numFmtId="4" fontId="9" fillId="0" borderId="45" xfId="0" applyNumberFormat="1" applyFont="1" applyFill="1" applyBorder="1" applyAlignment="1">
      <alignment horizontal="right"/>
    </xf>
    <xf numFmtId="43" fontId="8" fillId="0" borderId="0" xfId="1482" applyFont="1" applyFill="1" applyBorder="1" applyAlignment="1">
      <alignment horizontal="left"/>
    </xf>
    <xf numFmtId="0" fontId="8" fillId="0" borderId="89" xfId="1080" applyFont="1" applyFill="1" applyBorder="1" applyAlignment="1">
      <alignment horizontal="left" vertical="top"/>
    </xf>
    <xf numFmtId="0" fontId="8" fillId="0" borderId="24" xfId="1138" applyFont="1" applyFill="1" applyBorder="1" applyAlignment="1">
      <alignment horizontal="center"/>
    </xf>
    <xf numFmtId="4" fontId="8" fillId="0" borderId="77" xfId="1080" applyNumberFormat="1" applyFont="1" applyFill="1" applyBorder="1"/>
    <xf numFmtId="4" fontId="8" fillId="0" borderId="24" xfId="1080" applyNumberFormat="1" applyFont="1" applyFill="1" applyBorder="1" applyAlignment="1">
      <alignment vertical="top"/>
    </xf>
    <xf numFmtId="0" fontId="8" fillId="0" borderId="24" xfId="1080" applyFont="1" applyFill="1" applyBorder="1" applyAlignment="1">
      <alignment horizontal="center" vertical="top"/>
    </xf>
    <xf numFmtId="4" fontId="8" fillId="0" borderId="24" xfId="1080" applyNumberFormat="1" applyFont="1" applyFill="1" applyBorder="1"/>
    <xf numFmtId="0" fontId="8" fillId="0" borderId="24" xfId="1138" applyFont="1" applyFill="1" applyBorder="1"/>
    <xf numFmtId="0" fontId="9" fillId="0" borderId="89" xfId="1080" applyFont="1" applyFill="1" applyBorder="1" applyAlignment="1">
      <alignment horizontal="left" vertical="top"/>
    </xf>
    <xf numFmtId="0" fontId="8" fillId="0" borderId="89" xfId="1138" applyFont="1" applyFill="1" applyBorder="1"/>
    <xf numFmtId="0" fontId="9" fillId="0" borderId="24" xfId="1080" applyFont="1" applyFill="1" applyBorder="1" applyAlignment="1">
      <alignment horizontal="right" vertical="top"/>
    </xf>
    <xf numFmtId="0" fontId="8" fillId="0" borderId="126" xfId="1138" applyFont="1" applyFill="1" applyBorder="1"/>
    <xf numFmtId="0" fontId="8" fillId="0" borderId="68" xfId="1138" applyFont="1" applyFill="1" applyBorder="1"/>
    <xf numFmtId="0" fontId="9" fillId="0" borderId="20" xfId="1080" applyFont="1" applyFill="1" applyBorder="1" applyAlignment="1">
      <alignment horizontal="right" vertical="top"/>
    </xf>
    <xf numFmtId="0" fontId="8" fillId="0" borderId="0" xfId="1293" applyFont="1" applyFill="1" applyBorder="1" applyAlignment="1">
      <alignment vertical="top"/>
    </xf>
    <xf numFmtId="0" fontId="9" fillId="0" borderId="34" xfId="992" applyFont="1" applyFill="1" applyBorder="1" applyAlignment="1">
      <alignment horizontal="left" vertical="top"/>
    </xf>
    <xf numFmtId="43" fontId="8" fillId="0" borderId="34" xfId="1480" applyFont="1" applyFill="1" applyBorder="1" applyAlignment="1">
      <alignment vertical="top"/>
    </xf>
    <xf numFmtId="43" fontId="9" fillId="0" borderId="34" xfId="1480" applyFont="1" applyFill="1" applyBorder="1" applyAlignment="1">
      <alignment horizontal="right" vertical="top"/>
    </xf>
    <xf numFmtId="0" fontId="8" fillId="0" borderId="24" xfId="992" applyFont="1" applyFill="1" applyBorder="1" applyAlignment="1">
      <alignment horizontal="left" vertical="top"/>
    </xf>
    <xf numFmtId="43" fontId="8" fillId="0" borderId="24" xfId="1480" applyFont="1" applyFill="1" applyBorder="1" applyAlignment="1">
      <alignment horizontal="centerContinuous" vertical="top"/>
    </xf>
    <xf numFmtId="236" fontId="8" fillId="0" borderId="24" xfId="1480" applyNumberFormat="1" applyFont="1" applyFill="1" applyBorder="1" applyAlignment="1">
      <alignment horizontal="centerContinuous" vertical="top"/>
    </xf>
    <xf numFmtId="4" fontId="8" fillId="0" borderId="24" xfId="1483" applyNumberFormat="1" applyFont="1" applyFill="1" applyBorder="1" applyAlignment="1">
      <alignment vertical="top" wrapText="1"/>
    </xf>
    <xf numFmtId="0" fontId="8" fillId="0" borderId="60" xfId="1293" applyFont="1" applyFill="1" applyBorder="1" applyAlignment="1">
      <alignment vertical="top"/>
    </xf>
    <xf numFmtId="0" fontId="9" fillId="0" borderId="0" xfId="0" applyFont="1" applyFill="1" applyBorder="1" applyAlignment="1">
      <alignment horizontal="right" vertical="top"/>
    </xf>
    <xf numFmtId="0" fontId="8" fillId="0" borderId="24" xfId="0" applyFont="1" applyFill="1" applyBorder="1" applyAlignment="1">
      <alignment horizontal="left" vertical="top"/>
    </xf>
    <xf numFmtId="0" fontId="9" fillId="0" borderId="40" xfId="0" applyFont="1" applyFill="1" applyBorder="1" applyAlignment="1">
      <alignment horizontal="left" vertical="top"/>
    </xf>
    <xf numFmtId="43" fontId="8" fillId="0" borderId="40" xfId="1480" applyFont="1" applyFill="1" applyBorder="1" applyAlignment="1">
      <alignment vertical="top"/>
    </xf>
    <xf numFmtId="43" fontId="9" fillId="0" borderId="40" xfId="1480" applyFont="1" applyFill="1" applyBorder="1" applyAlignment="1">
      <alignment horizontal="right" vertical="top"/>
    </xf>
    <xf numFmtId="0" fontId="9" fillId="0" borderId="70" xfId="0" applyFont="1" applyFill="1" applyBorder="1" applyAlignment="1">
      <alignment vertical="top"/>
    </xf>
    <xf numFmtId="0" fontId="9" fillId="0" borderId="131" xfId="0" applyFont="1" applyFill="1" applyBorder="1" applyAlignment="1">
      <alignment vertical="top"/>
    </xf>
    <xf numFmtId="0" fontId="9" fillId="0" borderId="71" xfId="0" applyFont="1" applyFill="1" applyBorder="1" applyAlignment="1">
      <alignment vertical="top"/>
    </xf>
    <xf numFmtId="0" fontId="14" fillId="0" borderId="0" xfId="0" applyFont="1" applyFill="1" applyBorder="1"/>
    <xf numFmtId="0" fontId="13" fillId="0" borderId="0" xfId="0" applyFont="1" applyFill="1" applyBorder="1"/>
    <xf numFmtId="0" fontId="14" fillId="0" borderId="0" xfId="0" applyFont="1" applyFill="1" applyBorder="1" applyAlignment="1">
      <alignment horizontal="right"/>
    </xf>
    <xf numFmtId="0" fontId="13" fillId="0" borderId="132" xfId="1293" applyFont="1" applyFill="1" applyBorder="1"/>
    <xf numFmtId="0" fontId="13" fillId="0" borderId="40" xfId="0" applyFont="1" applyFill="1" applyBorder="1"/>
    <xf numFmtId="4" fontId="13" fillId="0" borderId="40" xfId="0" applyNumberFormat="1" applyFont="1" applyFill="1" applyBorder="1"/>
    <xf numFmtId="4" fontId="13" fillId="0" borderId="40" xfId="0" applyNumberFormat="1" applyFont="1" applyFill="1" applyBorder="1" applyAlignment="1">
      <alignment horizontal="right"/>
    </xf>
    <xf numFmtId="0" fontId="13" fillId="0" borderId="133" xfId="1293" applyFont="1" applyFill="1" applyBorder="1"/>
    <xf numFmtId="0" fontId="13" fillId="0" borderId="24" xfId="0" applyFont="1" applyFill="1" applyBorder="1" applyAlignment="1">
      <alignment vertical="top"/>
    </xf>
    <xf numFmtId="4" fontId="13" fillId="0" borderId="24" xfId="0" applyNumberFormat="1" applyFont="1" applyFill="1" applyBorder="1"/>
    <xf numFmtId="4" fontId="13" fillId="0" borderId="24" xfId="0" applyNumberFormat="1" applyFont="1" applyFill="1" applyBorder="1" applyAlignment="1">
      <alignment horizontal="right"/>
    </xf>
    <xf numFmtId="0" fontId="13" fillId="0" borderId="24" xfId="0" applyFont="1" applyFill="1" applyBorder="1"/>
    <xf numFmtId="0" fontId="13" fillId="0" borderId="24" xfId="0" applyFont="1" applyFill="1" applyBorder="1" applyAlignment="1">
      <alignment horizontal="center"/>
    </xf>
    <xf numFmtId="0" fontId="13" fillId="0" borderId="134" xfId="1293" applyFont="1" applyFill="1" applyBorder="1"/>
    <xf numFmtId="0" fontId="13" fillId="0" borderId="45" xfId="0" applyFont="1" applyFill="1" applyBorder="1"/>
    <xf numFmtId="4" fontId="13" fillId="0" borderId="0" xfId="1297" applyNumberFormat="1" applyFont="1" applyFill="1" applyBorder="1" applyAlignment="1">
      <alignment horizontal="right" vertical="center"/>
    </xf>
    <xf numFmtId="2" fontId="14" fillId="0" borderId="0" xfId="1293" applyNumberFormat="1" applyFont="1" applyFill="1" applyBorder="1" applyAlignment="1">
      <alignment horizontal="right"/>
    </xf>
    <xf numFmtId="0" fontId="13" fillId="0" borderId="0" xfId="1293" applyFont="1" applyFill="1"/>
    <xf numFmtId="2" fontId="13" fillId="0" borderId="0" xfId="1297" quotePrefix="1" applyNumberFormat="1" applyFont="1" applyFill="1" applyBorder="1" applyAlignment="1">
      <alignment horizontal="left" vertical="center"/>
    </xf>
    <xf numFmtId="2" fontId="13" fillId="0" borderId="0" xfId="1293" applyNumberFormat="1" applyFont="1" applyFill="1" applyBorder="1"/>
    <xf numFmtId="4" fontId="13" fillId="0" borderId="80" xfId="1297" applyNumberFormat="1" applyFont="1" applyFill="1" applyBorder="1" applyAlignment="1">
      <alignment horizontal="right" vertical="center"/>
    </xf>
    <xf numFmtId="4" fontId="13" fillId="0" borderId="0" xfId="1297" applyNumberFormat="1" applyFont="1" applyFill="1" applyBorder="1" applyAlignment="1" applyProtection="1">
      <alignment horizontal="right" vertical="center"/>
      <protection locked="0"/>
    </xf>
    <xf numFmtId="2" fontId="13" fillId="0" borderId="0" xfId="1293" applyNumberFormat="1" applyFont="1" applyFill="1"/>
    <xf numFmtId="0" fontId="13" fillId="0" borderId="0" xfId="1293" applyFont="1" applyFill="1" applyAlignment="1">
      <alignment vertical="top"/>
    </xf>
    <xf numFmtId="0" fontId="13" fillId="0" borderId="0" xfId="1293" applyFont="1" applyFill="1" applyAlignment="1">
      <alignment horizontal="left" vertical="top"/>
    </xf>
    <xf numFmtId="0" fontId="13" fillId="0" borderId="0" xfId="1293" applyFont="1" applyFill="1" applyAlignment="1">
      <alignment horizontal="left"/>
    </xf>
    <xf numFmtId="4" fontId="14" fillId="0" borderId="0" xfId="1293" applyNumberFormat="1" applyFont="1" applyFill="1" applyBorder="1" applyAlignment="1">
      <alignment horizontal="center"/>
    </xf>
    <xf numFmtId="4" fontId="13" fillId="0" borderId="0" xfId="462" applyNumberFormat="1" applyFont="1" applyFill="1" applyBorder="1"/>
    <xf numFmtId="0" fontId="13" fillId="0" borderId="0" xfId="1293" applyFont="1" applyFill="1" applyAlignment="1">
      <alignment horizontal="right" vertical="top"/>
    </xf>
    <xf numFmtId="0" fontId="8" fillId="0" borderId="0" xfId="1293" applyFont="1" applyFill="1" applyBorder="1" applyAlignment="1">
      <alignment horizontal="right" vertical="top"/>
    </xf>
    <xf numFmtId="4" fontId="13" fillId="0" borderId="0" xfId="1301" applyNumberFormat="1" applyFont="1" applyFill="1"/>
    <xf numFmtId="39" fontId="13" fillId="0" borderId="0" xfId="1301" applyFont="1" applyFill="1"/>
    <xf numFmtId="4" fontId="14" fillId="0" borderId="0" xfId="1293" applyNumberFormat="1" applyFont="1" applyFill="1" applyBorder="1"/>
    <xf numFmtId="4" fontId="14" fillId="0" borderId="0" xfId="1293" applyNumberFormat="1" applyFont="1" applyFill="1" applyAlignment="1">
      <alignment horizontal="right"/>
    </xf>
    <xf numFmtId="4" fontId="143" fillId="0" borderId="0" xfId="1297" applyNumberFormat="1" applyFont="1" applyFill="1" applyBorder="1" applyAlignment="1" applyProtection="1">
      <alignment horizontal="right" vertical="center"/>
      <protection locked="0"/>
    </xf>
    <xf numFmtId="4" fontId="14" fillId="0" borderId="0" xfId="1481" applyNumberFormat="1" applyFont="1" applyFill="1" applyBorder="1" applyAlignment="1" applyProtection="1">
      <alignment horizontal="right" vertical="center"/>
      <protection locked="0"/>
    </xf>
    <xf numFmtId="4" fontId="13" fillId="0" borderId="0" xfId="1297" applyNumberFormat="1" applyFont="1" applyFill="1" applyBorder="1" applyAlignment="1" applyProtection="1">
      <alignment horizontal="right" vertical="center"/>
    </xf>
    <xf numFmtId="4" fontId="14" fillId="0" borderId="0" xfId="1297" applyNumberFormat="1" applyFont="1" applyFill="1" applyBorder="1" applyAlignment="1">
      <alignment horizontal="right" vertical="center"/>
    </xf>
    <xf numFmtId="2" fontId="14" fillId="0" borderId="0" xfId="1297" quotePrefix="1" applyNumberFormat="1" applyFont="1" applyFill="1" applyBorder="1" applyAlignment="1">
      <alignment horizontal="left" vertical="center"/>
    </xf>
    <xf numFmtId="0" fontId="14" fillId="0" borderId="0" xfId="1297" applyFont="1" applyFill="1" applyBorder="1" applyAlignment="1">
      <alignment vertical="center"/>
    </xf>
    <xf numFmtId="4" fontId="13" fillId="0" borderId="0" xfId="1481" applyNumberFormat="1" applyFont="1" applyFill="1" applyBorder="1" applyAlignment="1" applyProtection="1">
      <alignment horizontal="right" vertical="center"/>
      <protection locked="0"/>
    </xf>
    <xf numFmtId="4" fontId="13" fillId="0" borderId="0" xfId="1301" applyNumberFormat="1" applyFont="1" applyFill="1" applyBorder="1" applyAlignment="1">
      <alignment horizontal="right" vertical="center"/>
    </xf>
    <xf numFmtId="4" fontId="13" fillId="0" borderId="0" xfId="1301" applyNumberFormat="1" applyFont="1" applyFill="1" applyBorder="1" applyAlignment="1">
      <alignment vertical="center"/>
    </xf>
    <xf numFmtId="4" fontId="13" fillId="0" borderId="0" xfId="1301" applyNumberFormat="1" applyFont="1" applyFill="1" applyBorder="1" applyAlignment="1" applyProtection="1">
      <alignment horizontal="right" vertical="center"/>
      <protection locked="0"/>
    </xf>
    <xf numFmtId="4" fontId="143" fillId="0" borderId="0" xfId="1301" applyNumberFormat="1" applyFont="1" applyFill="1" applyBorder="1" applyAlignment="1" applyProtection="1">
      <alignment horizontal="right" vertical="center"/>
      <protection locked="0"/>
    </xf>
    <xf numFmtId="4" fontId="14" fillId="0" borderId="0" xfId="1293" applyNumberFormat="1" applyFont="1" applyFill="1" applyAlignment="1">
      <alignment horizontal="left"/>
    </xf>
    <xf numFmtId="4" fontId="145" fillId="0" borderId="0" xfId="1293" applyNumberFormat="1" applyFont="1" applyFill="1" applyAlignment="1">
      <alignment horizontal="centerContinuous"/>
    </xf>
    <xf numFmtId="4" fontId="13" fillId="0" borderId="0" xfId="1293" applyNumberFormat="1" applyFont="1" applyFill="1" applyBorder="1" applyAlignment="1">
      <alignment horizontal="right"/>
    </xf>
    <xf numFmtId="0" fontId="13" fillId="0" borderId="0" xfId="1293" applyFont="1" applyFill="1" applyBorder="1" applyAlignment="1">
      <alignment horizontal="centerContinuous"/>
    </xf>
    <xf numFmtId="176" fontId="13" fillId="0" borderId="0" xfId="1293" applyNumberFormat="1" applyFont="1" applyFill="1" applyBorder="1"/>
    <xf numFmtId="42" fontId="8" fillId="0" borderId="0" xfId="865" applyFont="1" applyFill="1"/>
    <xf numFmtId="4" fontId="9" fillId="0" borderId="135" xfId="1051" applyNumberFormat="1" applyFont="1" applyFill="1" applyBorder="1" applyAlignment="1">
      <alignment horizontal="center"/>
    </xf>
    <xf numFmtId="42" fontId="9" fillId="0" borderId="136" xfId="865" applyFont="1" applyFill="1" applyBorder="1" applyAlignment="1">
      <alignment horizontal="center"/>
    </xf>
    <xf numFmtId="4" fontId="9" fillId="0" borderId="136" xfId="1051" applyNumberFormat="1" applyFont="1" applyFill="1" applyBorder="1" applyAlignment="1">
      <alignment horizontal="center"/>
    </xf>
    <xf numFmtId="42" fontId="9" fillId="0" borderId="137" xfId="865" applyFont="1" applyFill="1" applyBorder="1" applyAlignment="1">
      <alignment horizontal="center"/>
    </xf>
    <xf numFmtId="4" fontId="9" fillId="0" borderId="100" xfId="1051" applyNumberFormat="1" applyFont="1" applyFill="1" applyBorder="1" applyAlignment="1">
      <alignment horizontal="center"/>
    </xf>
    <xf numFmtId="42" fontId="9" fillId="0" borderId="19" xfId="865" applyFont="1" applyFill="1" applyBorder="1" applyAlignment="1"/>
    <xf numFmtId="4" fontId="9" fillId="0" borderId="19" xfId="1051" applyNumberFormat="1" applyFont="1" applyFill="1" applyBorder="1" applyAlignment="1">
      <alignment horizontal="center"/>
    </xf>
    <xf numFmtId="4" fontId="9" fillId="0" borderId="19" xfId="1051" applyNumberFormat="1" applyFont="1" applyFill="1" applyBorder="1" applyAlignment="1"/>
    <xf numFmtId="42" fontId="9" fillId="0" borderId="33" xfId="865" applyFont="1" applyFill="1" applyBorder="1" applyAlignment="1"/>
    <xf numFmtId="4" fontId="9" fillId="0" borderId="100" xfId="1051" applyNumberFormat="1" applyFont="1" applyFill="1" applyBorder="1" applyAlignment="1"/>
    <xf numFmtId="4" fontId="8" fillId="0" borderId="100" xfId="1051" applyNumberFormat="1" applyFont="1" applyFill="1" applyBorder="1" applyAlignment="1"/>
    <xf numFmtId="42" fontId="8" fillId="0" borderId="19" xfId="865" applyFont="1" applyFill="1" applyBorder="1" applyAlignment="1">
      <alignment horizontal="right"/>
    </xf>
    <xf numFmtId="4" fontId="8" fillId="0" borderId="19" xfId="1051" applyNumberFormat="1" applyFont="1" applyFill="1" applyBorder="1" applyAlignment="1">
      <alignment horizontal="center"/>
    </xf>
    <xf numFmtId="43" fontId="8" fillId="0" borderId="19" xfId="1482" applyNumberFormat="1" applyFont="1" applyFill="1" applyBorder="1"/>
    <xf numFmtId="42" fontId="8" fillId="0" borderId="33" xfId="865" applyFont="1" applyFill="1" applyBorder="1"/>
    <xf numFmtId="4" fontId="8" fillId="0" borderId="100" xfId="1051" applyNumberFormat="1" applyFont="1" applyFill="1" applyBorder="1" applyAlignment="1">
      <alignment vertical="center"/>
    </xf>
    <xf numFmtId="42" fontId="8" fillId="0" borderId="19" xfId="865" applyFont="1" applyFill="1" applyBorder="1" applyAlignment="1">
      <alignment horizontal="right" vertical="center"/>
    </xf>
    <xf numFmtId="4" fontId="8" fillId="0" borderId="19" xfId="1051" applyNumberFormat="1" applyFont="1" applyFill="1" applyBorder="1" applyAlignment="1">
      <alignment horizontal="center" vertical="center"/>
    </xf>
    <xf numFmtId="43" fontId="8" fillId="0" borderId="19" xfId="1482" applyNumberFormat="1" applyFont="1" applyFill="1" applyBorder="1" applyAlignment="1">
      <alignment vertical="center"/>
    </xf>
    <xf numFmtId="4" fontId="8" fillId="0" borderId="103" xfId="1051" applyNumberFormat="1" applyFont="1" applyFill="1" applyBorder="1" applyAlignment="1"/>
    <xf numFmtId="42" fontId="8" fillId="0" borderId="102" xfId="865" applyFont="1" applyFill="1" applyBorder="1" applyAlignment="1">
      <alignment horizontal="right"/>
    </xf>
    <xf numFmtId="4" fontId="8" fillId="0" borderId="102" xfId="1051" applyNumberFormat="1" applyFont="1" applyFill="1" applyBorder="1" applyAlignment="1">
      <alignment horizontal="center"/>
    </xf>
    <xf numFmtId="43" fontId="8" fillId="0" borderId="102" xfId="1482" applyNumberFormat="1" applyFont="1" applyFill="1" applyBorder="1"/>
    <xf numFmtId="42" fontId="8" fillId="0" borderId="37" xfId="865" applyFont="1" applyFill="1" applyBorder="1"/>
    <xf numFmtId="4" fontId="8" fillId="0" borderId="0" xfId="1051" applyNumberFormat="1" applyFont="1" applyFill="1" applyBorder="1" applyAlignment="1"/>
    <xf numFmtId="42" fontId="9" fillId="0" borderId="104" xfId="865" applyFont="1" applyFill="1" applyBorder="1"/>
    <xf numFmtId="4" fontId="9" fillId="0" borderId="0" xfId="1293" applyNumberFormat="1" applyFont="1" applyFill="1"/>
    <xf numFmtId="0" fontId="8" fillId="0" borderId="0" xfId="1293" applyFont="1" applyFill="1"/>
    <xf numFmtId="173" fontId="8" fillId="0" borderId="24" xfId="1452" applyFont="1" applyFill="1" applyBorder="1"/>
    <xf numFmtId="0" fontId="8" fillId="0" borderId="24" xfId="1293" applyFont="1" applyFill="1" applyBorder="1" applyAlignment="1">
      <alignment horizontal="center"/>
    </xf>
    <xf numFmtId="169" fontId="8" fillId="0" borderId="24" xfId="1293" applyNumberFormat="1" applyFont="1" applyFill="1" applyBorder="1"/>
    <xf numFmtId="0" fontId="9" fillId="0" borderId="0" xfId="1300" applyFont="1" applyFill="1" applyBorder="1" applyAlignment="1">
      <alignment horizontal="left"/>
    </xf>
    <xf numFmtId="169" fontId="9" fillId="0" borderId="0" xfId="920" applyFont="1" applyFill="1" applyBorder="1" applyAlignment="1">
      <alignment horizontal="center"/>
    </xf>
    <xf numFmtId="0" fontId="9" fillId="0" borderId="0" xfId="0" applyFont="1" applyFill="1" applyBorder="1" applyAlignment="1">
      <alignment vertical="top"/>
    </xf>
    <xf numFmtId="0" fontId="9" fillId="0" borderId="0" xfId="1299" applyFont="1" applyFill="1" applyBorder="1"/>
    <xf numFmtId="169" fontId="8" fillId="0" borderId="0" xfId="914" applyFont="1" applyFill="1" applyBorder="1"/>
    <xf numFmtId="0" fontId="8" fillId="0" borderId="40" xfId="1299" applyFont="1" applyFill="1" applyBorder="1"/>
    <xf numFmtId="169" fontId="9" fillId="0" borderId="40" xfId="914" applyFont="1" applyFill="1" applyBorder="1" applyAlignment="1">
      <alignment horizontal="center"/>
    </xf>
    <xf numFmtId="169" fontId="9" fillId="0" borderId="41" xfId="914" applyFont="1" applyFill="1" applyBorder="1" applyAlignment="1">
      <alignment horizontal="center"/>
    </xf>
    <xf numFmtId="39" fontId="8" fillId="0" borderId="24" xfId="0" applyNumberFormat="1" applyFont="1" applyFill="1" applyBorder="1"/>
    <xf numFmtId="4" fontId="8" fillId="0" borderId="43" xfId="0" applyNumberFormat="1" applyFont="1" applyFill="1" applyBorder="1"/>
    <xf numFmtId="0" fontId="8" fillId="0" borderId="24" xfId="1299" applyFont="1" applyFill="1" applyBorder="1"/>
    <xf numFmtId="169" fontId="8" fillId="0" borderId="24" xfId="914" applyFont="1" applyFill="1" applyBorder="1" applyAlignment="1">
      <alignment horizontal="right"/>
    </xf>
    <xf numFmtId="169" fontId="8" fillId="0" borderId="24" xfId="914" applyFont="1" applyFill="1" applyBorder="1" applyAlignment="1">
      <alignment horizontal="center"/>
    </xf>
    <xf numFmtId="169" fontId="8" fillId="0" borderId="43" xfId="914" applyFont="1" applyFill="1" applyBorder="1" applyAlignment="1">
      <alignment horizontal="right"/>
    </xf>
    <xf numFmtId="43" fontId="8" fillId="0" borderId="24" xfId="462" applyNumberFormat="1" applyFont="1" applyFill="1" applyBorder="1"/>
    <xf numFmtId="0" fontId="8" fillId="0" borderId="24" xfId="1286" applyFont="1" applyFill="1" applyBorder="1" applyProtection="1"/>
    <xf numFmtId="184" fontId="8" fillId="0" borderId="24" xfId="1286" applyNumberFormat="1" applyFont="1" applyFill="1" applyBorder="1" applyProtection="1"/>
    <xf numFmtId="0" fontId="8" fillId="0" borderId="24" xfId="1286" applyFont="1" applyFill="1" applyBorder="1" applyAlignment="1" applyProtection="1">
      <alignment horizontal="center"/>
    </xf>
    <xf numFmtId="170" fontId="9" fillId="0" borderId="24" xfId="0" applyNumberFormat="1" applyFont="1" applyFill="1" applyBorder="1" applyAlignment="1">
      <alignment horizontal="right"/>
    </xf>
    <xf numFmtId="169" fontId="9" fillId="0" borderId="43" xfId="914" applyFont="1" applyFill="1" applyBorder="1" applyAlignment="1"/>
    <xf numFmtId="0" fontId="8" fillId="0" borderId="24" xfId="1288" applyFont="1" applyFill="1" applyBorder="1" applyAlignment="1">
      <alignment horizontal="right"/>
    </xf>
    <xf numFmtId="2" fontId="8" fillId="0" borderId="24" xfId="0" applyNumberFormat="1" applyFont="1" applyFill="1" applyBorder="1" applyAlignment="1">
      <alignment horizontal="center" vertical="top"/>
    </xf>
    <xf numFmtId="0" fontId="8" fillId="0" borderId="24" xfId="1299" applyFont="1" applyFill="1" applyBorder="1" applyAlignment="1" applyProtection="1">
      <alignment horizontal="center"/>
    </xf>
    <xf numFmtId="0" fontId="9" fillId="0" borderId="24" xfId="0" applyFont="1" applyFill="1" applyBorder="1" applyAlignment="1">
      <alignment horizontal="right"/>
    </xf>
    <xf numFmtId="170" fontId="9" fillId="0" borderId="43" xfId="0" applyNumberFormat="1" applyFont="1" applyFill="1" applyBorder="1"/>
    <xf numFmtId="0" fontId="9" fillId="0" borderId="45" xfId="0" applyFont="1" applyFill="1" applyBorder="1" applyAlignment="1"/>
    <xf numFmtId="169" fontId="148" fillId="0" borderId="45" xfId="914" applyFont="1" applyFill="1" applyBorder="1" applyAlignment="1">
      <alignment horizontal="right"/>
    </xf>
    <xf numFmtId="170" fontId="148" fillId="0" borderId="46" xfId="0" applyNumberFormat="1" applyFont="1" applyFill="1" applyBorder="1" applyAlignment="1">
      <alignment horizontal="right"/>
    </xf>
    <xf numFmtId="0" fontId="8" fillId="0" borderId="25" xfId="1299" applyFont="1" applyFill="1" applyBorder="1"/>
    <xf numFmtId="0" fontId="9" fillId="0" borderId="40" xfId="1047" applyFont="1" applyFill="1" applyBorder="1"/>
    <xf numFmtId="0" fontId="8" fillId="0" borderId="24" xfId="1047" applyFont="1" applyFill="1" applyBorder="1"/>
    <xf numFmtId="184" fontId="8" fillId="0" borderId="24" xfId="1047" applyNumberFormat="1" applyFont="1" applyFill="1" applyBorder="1" applyAlignment="1" applyProtection="1">
      <alignment horizontal="right"/>
    </xf>
    <xf numFmtId="43" fontId="8" fillId="0" borderId="24" xfId="434" applyNumberFormat="1" applyFont="1" applyFill="1" applyBorder="1" applyAlignment="1">
      <alignment horizontal="right"/>
    </xf>
    <xf numFmtId="169" fontId="8" fillId="0" borderId="24" xfId="914" applyFont="1" applyFill="1" applyBorder="1"/>
    <xf numFmtId="169" fontId="9" fillId="0" borderId="24" xfId="914" applyFont="1" applyFill="1" applyBorder="1" applyAlignment="1">
      <alignment horizontal="right"/>
    </xf>
    <xf numFmtId="0" fontId="8" fillId="0" borderId="24" xfId="1299" applyFont="1" applyFill="1" applyBorder="1" applyAlignment="1">
      <alignment horizontal="right"/>
    </xf>
    <xf numFmtId="176" fontId="8" fillId="0" borderId="24" xfId="1047" applyNumberFormat="1" applyFont="1" applyFill="1" applyBorder="1"/>
    <xf numFmtId="169" fontId="8" fillId="0" borderId="24" xfId="914" applyFont="1" applyFill="1" applyBorder="1" applyAlignment="1"/>
    <xf numFmtId="170" fontId="9" fillId="0" borderId="43" xfId="1047" applyNumberFormat="1" applyFont="1" applyFill="1" applyBorder="1" applyAlignment="1">
      <alignment horizontal="right"/>
    </xf>
    <xf numFmtId="0" fontId="8" fillId="0" borderId="45" xfId="1299" applyFont="1" applyFill="1" applyBorder="1" applyAlignment="1">
      <alignment horizontal="right"/>
    </xf>
    <xf numFmtId="181" fontId="8" fillId="0" borderId="45" xfId="1047" applyNumberFormat="1" applyFont="1" applyFill="1" applyBorder="1"/>
    <xf numFmtId="169" fontId="8" fillId="0" borderId="45" xfId="914" applyFont="1" applyFill="1" applyBorder="1" applyAlignment="1"/>
    <xf numFmtId="169" fontId="9" fillId="0" borderId="45" xfId="914" applyFont="1" applyFill="1" applyBorder="1" applyAlignment="1">
      <alignment horizontal="right"/>
    </xf>
    <xf numFmtId="170" fontId="9" fillId="0" borderId="46" xfId="1047" applyNumberFormat="1" applyFont="1" applyFill="1" applyBorder="1" applyAlignment="1">
      <alignment horizontal="right"/>
    </xf>
    <xf numFmtId="0" fontId="9" fillId="0" borderId="87" xfId="0" quotePrefix="1" applyFont="1" applyFill="1" applyBorder="1" applyAlignment="1" applyProtection="1">
      <alignment horizontal="left" vertical="center"/>
    </xf>
    <xf numFmtId="0" fontId="8" fillId="0" borderId="87" xfId="0" applyFont="1" applyFill="1" applyBorder="1" applyAlignment="1">
      <alignment horizontal="right" vertical="center"/>
    </xf>
    <xf numFmtId="0" fontId="8" fillId="0" borderId="87" xfId="0" applyFont="1" applyFill="1" applyBorder="1" applyAlignment="1">
      <alignment horizontal="center" vertical="center"/>
    </xf>
    <xf numFmtId="0" fontId="8" fillId="0" borderId="88" xfId="0" applyFont="1" applyFill="1" applyBorder="1" applyAlignment="1">
      <alignment horizontal="right" vertical="center"/>
    </xf>
    <xf numFmtId="4" fontId="8" fillId="0" borderId="110" xfId="0" applyNumberFormat="1" applyFont="1" applyFill="1" applyBorder="1" applyAlignment="1" applyProtection="1">
      <alignment horizontal="right" vertical="center"/>
    </xf>
    <xf numFmtId="4" fontId="8" fillId="0" borderId="77" xfId="0" applyNumberFormat="1" applyFont="1" applyFill="1" applyBorder="1" applyAlignment="1" applyProtection="1">
      <alignment horizontal="right" vertical="center"/>
      <protection locked="0"/>
    </xf>
    <xf numFmtId="0" fontId="8" fillId="0" borderId="85" xfId="0" applyFont="1" applyFill="1" applyBorder="1" applyAlignment="1">
      <alignment vertical="center"/>
    </xf>
    <xf numFmtId="0" fontId="8" fillId="0" borderId="85" xfId="0" applyFont="1" applyFill="1" applyBorder="1" applyAlignment="1">
      <alignment horizontal="right" vertical="center"/>
    </xf>
    <xf numFmtId="0" fontId="8" fillId="0" borderId="85" xfId="0" applyFont="1" applyFill="1" applyBorder="1" applyAlignment="1">
      <alignment horizontal="center" vertical="center"/>
    </xf>
    <xf numFmtId="39" fontId="9" fillId="0" borderId="85" xfId="0" applyNumberFormat="1" applyFont="1" applyFill="1" applyBorder="1" applyAlignment="1" applyProtection="1">
      <alignment horizontal="right" vertical="center"/>
    </xf>
    <xf numFmtId="0" fontId="9" fillId="0" borderId="140" xfId="0" quotePrefix="1" applyFont="1" applyFill="1" applyBorder="1" applyAlignment="1">
      <alignment horizontal="left" vertical="center"/>
    </xf>
    <xf numFmtId="0" fontId="8" fillId="0" borderId="0" xfId="1293" applyFont="1" applyFill="1" applyBorder="1"/>
    <xf numFmtId="4" fontId="8" fillId="0" borderId="0" xfId="1293" applyNumberFormat="1" applyFont="1" applyFill="1" applyBorder="1"/>
    <xf numFmtId="4" fontId="8" fillId="0" borderId="0" xfId="1293" applyNumberFormat="1" applyFont="1" applyFill="1" applyBorder="1" applyAlignment="1">
      <alignment horizontal="center"/>
    </xf>
    <xf numFmtId="4" fontId="9" fillId="0" borderId="0" xfId="1293" applyNumberFormat="1" applyFont="1" applyFill="1" applyBorder="1" applyAlignment="1">
      <alignment horizontal="right"/>
    </xf>
    <xf numFmtId="0" fontId="9" fillId="0" borderId="0" xfId="1293" applyFont="1" applyFill="1"/>
    <xf numFmtId="4" fontId="8" fillId="0" borderId="0" xfId="1293" applyNumberFormat="1" applyFont="1" applyFill="1"/>
    <xf numFmtId="0" fontId="8" fillId="0" borderId="39" xfId="1293" applyFont="1" applyFill="1" applyBorder="1"/>
    <xf numFmtId="4" fontId="8" fillId="0" borderId="40" xfId="1293" applyNumberFormat="1" applyFont="1" applyFill="1" applyBorder="1"/>
    <xf numFmtId="4" fontId="8" fillId="0" borderId="40" xfId="1293" applyNumberFormat="1" applyFont="1" applyFill="1" applyBorder="1" applyAlignment="1">
      <alignment horizontal="centerContinuous"/>
    </xf>
    <xf numFmtId="4" fontId="8" fillId="0" borderId="73" xfId="1293" applyNumberFormat="1" applyFont="1" applyFill="1" applyBorder="1"/>
    <xf numFmtId="4" fontId="8" fillId="0" borderId="41" xfId="1293" applyNumberFormat="1" applyFont="1" applyFill="1" applyBorder="1"/>
    <xf numFmtId="0" fontId="8" fillId="0" borderId="42" xfId="1293" applyFont="1" applyFill="1" applyBorder="1"/>
    <xf numFmtId="4" fontId="8" fillId="0" borderId="24" xfId="1293" applyNumberFormat="1" applyFont="1" applyFill="1" applyBorder="1"/>
    <xf numFmtId="4" fontId="8" fillId="0" borderId="24" xfId="1293" applyNumberFormat="1" applyFont="1" applyFill="1" applyBorder="1" applyAlignment="1">
      <alignment horizontal="centerContinuous"/>
    </xf>
    <xf numFmtId="4" fontId="8" fillId="0" borderId="43" xfId="1293" applyNumberFormat="1" applyFont="1" applyFill="1" applyBorder="1"/>
    <xf numFmtId="4" fontId="8" fillId="0" borderId="24" xfId="1293" applyNumberFormat="1" applyFont="1" applyFill="1" applyBorder="1" applyAlignment="1">
      <alignment horizontal="center"/>
    </xf>
    <xf numFmtId="4" fontId="136" fillId="0" borderId="24" xfId="1293" applyNumberFormat="1" applyFont="1" applyFill="1" applyBorder="1"/>
    <xf numFmtId="0" fontId="8" fillId="0" borderId="44" xfId="1293" applyFont="1" applyFill="1" applyBorder="1"/>
    <xf numFmtId="4" fontId="8" fillId="0" borderId="45" xfId="1293" applyNumberFormat="1" applyFont="1" applyFill="1" applyBorder="1"/>
    <xf numFmtId="4" fontId="9" fillId="0" borderId="45" xfId="1293" applyNumberFormat="1" applyFont="1" applyFill="1" applyBorder="1" applyAlignment="1">
      <alignment horizontal="right"/>
    </xf>
    <xf numFmtId="4" fontId="9" fillId="0" borderId="46" xfId="1293" applyNumberFormat="1" applyFont="1" applyFill="1" applyBorder="1" applyAlignment="1">
      <alignment horizontal="right"/>
    </xf>
    <xf numFmtId="0" fontId="9" fillId="0" borderId="0" xfId="1293" applyFont="1" applyFill="1" applyAlignment="1"/>
    <xf numFmtId="4" fontId="9" fillId="0" borderId="0" xfId="1293" applyNumberFormat="1" applyFont="1" applyFill="1" applyAlignment="1">
      <alignment horizontal="centerContinuous"/>
    </xf>
    <xf numFmtId="0" fontId="8" fillId="0" borderId="0" xfId="1278" applyFont="1" applyFill="1" applyBorder="1"/>
    <xf numFmtId="4" fontId="8" fillId="0" borderId="0" xfId="1278" applyNumberFormat="1" applyFont="1" applyFill="1" applyBorder="1"/>
    <xf numFmtId="4" fontId="9" fillId="0" borderId="0" xfId="1278" applyNumberFormat="1" applyFont="1" applyFill="1" applyBorder="1" applyAlignment="1">
      <alignment horizontal="right"/>
    </xf>
    <xf numFmtId="4" fontId="9" fillId="0" borderId="0" xfId="1278" applyNumberFormat="1" applyFont="1" applyFill="1" applyBorder="1"/>
    <xf numFmtId="0" fontId="9" fillId="0" borderId="0" xfId="1278" applyFont="1" applyFill="1" applyBorder="1" applyAlignment="1">
      <alignment horizontal="left"/>
    </xf>
    <xf numFmtId="4" fontId="9" fillId="0" borderId="0" xfId="1278" applyNumberFormat="1" applyFont="1" applyFill="1" applyBorder="1" applyAlignment="1">
      <alignment horizontal="center"/>
    </xf>
    <xf numFmtId="4" fontId="9" fillId="0" borderId="0" xfId="1278" applyNumberFormat="1" applyFont="1" applyFill="1" applyBorder="1" applyAlignment="1"/>
    <xf numFmtId="0" fontId="8" fillId="0" borderId="0" xfId="0" applyFont="1" applyFill="1" applyBorder="1" applyAlignment="1">
      <alignment horizontal="left"/>
    </xf>
    <xf numFmtId="4" fontId="8" fillId="0" borderId="0" xfId="921" applyNumberFormat="1" applyFont="1" applyFill="1" applyBorder="1"/>
    <xf numFmtId="4" fontId="8" fillId="0" borderId="0" xfId="921" applyNumberFormat="1" applyFont="1" applyFill="1" applyBorder="1" applyAlignment="1">
      <alignment horizontal="centerContinuous"/>
    </xf>
    <xf numFmtId="0" fontId="9" fillId="0" borderId="0" xfId="1293" applyFont="1" applyFill="1" applyBorder="1"/>
    <xf numFmtId="43" fontId="8" fillId="0" borderId="24" xfId="1480" applyFont="1" applyFill="1" applyBorder="1" applyAlignment="1">
      <alignment horizontal="center" vertical="top"/>
    </xf>
    <xf numFmtId="236" fontId="8" fillId="0" borderId="24" xfId="1480" applyNumberFormat="1" applyFont="1" applyFill="1" applyBorder="1" applyAlignment="1">
      <alignment horizontal="center" vertical="top"/>
    </xf>
    <xf numFmtId="0" fontId="13" fillId="0" borderId="40" xfId="0" applyFont="1" applyFill="1" applyBorder="1" applyAlignment="1">
      <alignment horizontal="center"/>
    </xf>
    <xf numFmtId="4" fontId="8" fillId="0" borderId="19" xfId="0" applyNumberFormat="1" applyFont="1" applyFill="1" applyBorder="1"/>
    <xf numFmtId="233" fontId="8" fillId="0" borderId="0" xfId="1293" applyNumberFormat="1" applyFont="1" applyFill="1" applyBorder="1" applyAlignment="1">
      <alignment horizontal="left"/>
    </xf>
    <xf numFmtId="4" fontId="13" fillId="0" borderId="41" xfId="924" applyNumberFormat="1" applyFont="1" applyFill="1" applyBorder="1"/>
    <xf numFmtId="4" fontId="13" fillId="0" borderId="52" xfId="924" applyNumberFormat="1" applyFont="1" applyFill="1" applyBorder="1"/>
    <xf numFmtId="173" fontId="8" fillId="0" borderId="43" xfId="740" applyNumberFormat="1" applyFont="1" applyFill="1" applyBorder="1" applyAlignment="1">
      <alignment vertical="top"/>
    </xf>
    <xf numFmtId="183" fontId="8" fillId="0" borderId="43" xfId="740" applyNumberFormat="1" applyFont="1" applyFill="1" applyBorder="1" applyAlignment="1">
      <alignment vertical="top" wrapText="1"/>
    </xf>
    <xf numFmtId="183" fontId="9" fillId="0" borderId="43" xfId="740" applyNumberFormat="1" applyFont="1" applyFill="1" applyBorder="1" applyAlignment="1">
      <alignment vertical="top" wrapText="1"/>
    </xf>
    <xf numFmtId="4" fontId="14" fillId="0" borderId="43" xfId="924" applyNumberFormat="1" applyFont="1" applyFill="1" applyBorder="1"/>
    <xf numFmtId="4" fontId="26" fillId="0" borderId="46" xfId="924" applyNumberFormat="1" applyFont="1" applyFill="1" applyBorder="1" applyAlignment="1">
      <alignment horizontal="right"/>
    </xf>
    <xf numFmtId="4" fontId="26" fillId="0" borderId="0" xfId="924" applyNumberFormat="1" applyFont="1" applyFill="1" applyBorder="1" applyAlignment="1">
      <alignment horizontal="right"/>
    </xf>
    <xf numFmtId="43" fontId="14" fillId="0" borderId="0" xfId="924" applyFont="1" applyFill="1" applyBorder="1" applyAlignment="1">
      <alignment horizontal="right" vertical="top"/>
    </xf>
    <xf numFmtId="43" fontId="14" fillId="0" borderId="43" xfId="924" applyFont="1" applyFill="1" applyBorder="1" applyAlignment="1">
      <alignment horizontal="right" vertical="top"/>
    </xf>
    <xf numFmtId="4" fontId="14" fillId="0" borderId="0" xfId="924" applyNumberFormat="1" applyFont="1" applyFill="1" applyBorder="1" applyAlignment="1">
      <alignment horizontal="right"/>
    </xf>
    <xf numFmtId="43" fontId="14" fillId="0" borderId="0" xfId="924" applyFont="1" applyFill="1" applyBorder="1" applyAlignment="1" applyProtection="1">
      <alignment horizontal="right" vertical="center"/>
      <protection locked="0"/>
    </xf>
    <xf numFmtId="43" fontId="13" fillId="0" borderId="0" xfId="924" applyFont="1" applyFill="1" applyBorder="1" applyAlignment="1" applyProtection="1">
      <alignment horizontal="right" vertical="center"/>
      <protection locked="0"/>
    </xf>
    <xf numFmtId="4" fontId="13" fillId="0" borderId="41" xfId="924" applyNumberFormat="1" applyFont="1" applyFill="1" applyBorder="1" applyAlignment="1" applyProtection="1">
      <alignment horizontal="right" vertical="center"/>
      <protection locked="0"/>
    </xf>
    <xf numFmtId="4" fontId="13" fillId="0" borderId="43" xfId="924" applyNumberFormat="1" applyFont="1" applyFill="1" applyBorder="1" applyAlignment="1" applyProtection="1">
      <alignment horizontal="right" vertical="center"/>
      <protection locked="0"/>
    </xf>
    <xf numFmtId="4" fontId="13" fillId="0" borderId="41" xfId="1301" applyNumberFormat="1" applyFont="1" applyFill="1" applyBorder="1" applyAlignment="1" applyProtection="1">
      <alignment horizontal="right" vertical="center"/>
      <protection locked="0"/>
    </xf>
    <xf numFmtId="4" fontId="13" fillId="0" borderId="43" xfId="1301" applyNumberFormat="1" applyFont="1" applyFill="1" applyBorder="1" applyAlignment="1" applyProtection="1">
      <alignment horizontal="right" vertical="center"/>
      <protection locked="0"/>
    </xf>
    <xf numFmtId="194" fontId="13" fillId="0" borderId="0" xfId="1301" applyNumberFormat="1" applyFont="1" applyFill="1" applyBorder="1" applyAlignment="1" applyProtection="1">
      <alignment horizontal="right" vertical="center"/>
      <protection locked="0"/>
    </xf>
    <xf numFmtId="4" fontId="9" fillId="0" borderId="46" xfId="0" applyNumberFormat="1" applyFont="1" applyFill="1" applyBorder="1" applyAlignment="1" applyProtection="1">
      <alignment horizontal="right" vertical="center"/>
      <protection locked="0"/>
    </xf>
    <xf numFmtId="39" fontId="9" fillId="0" borderId="46" xfId="0" applyNumberFormat="1" applyFont="1" applyFill="1" applyBorder="1" applyAlignment="1"/>
    <xf numFmtId="39" fontId="9" fillId="0" borderId="43" xfId="0" applyNumberFormat="1" applyFont="1" applyFill="1" applyBorder="1" applyAlignment="1">
      <alignment wrapText="1"/>
    </xf>
    <xf numFmtId="4" fontId="9" fillId="0" borderId="46" xfId="0" applyNumberFormat="1" applyFont="1" applyFill="1" applyBorder="1"/>
    <xf numFmtId="4" fontId="14" fillId="0" borderId="46" xfId="924" applyNumberFormat="1" applyFont="1" applyFill="1" applyBorder="1" applyAlignment="1">
      <alignment horizontal="right"/>
    </xf>
    <xf numFmtId="43" fontId="14" fillId="0" borderId="0" xfId="924" applyFont="1" applyFill="1" applyAlignment="1">
      <alignment horizontal="left"/>
    </xf>
    <xf numFmtId="4" fontId="26" fillId="0" borderId="43" xfId="924" applyNumberFormat="1" applyFont="1" applyFill="1" applyBorder="1" applyAlignment="1">
      <alignment horizontal="right"/>
    </xf>
    <xf numFmtId="4" fontId="14" fillId="0" borderId="43" xfId="924" applyNumberFormat="1" applyFont="1" applyFill="1" applyBorder="1" applyAlignment="1">
      <alignment horizontal="right"/>
    </xf>
    <xf numFmtId="4" fontId="26" fillId="0" borderId="52" xfId="924" applyNumberFormat="1" applyFont="1" applyFill="1" applyBorder="1" applyAlignment="1">
      <alignment horizontal="right"/>
    </xf>
    <xf numFmtId="4" fontId="14" fillId="0" borderId="0" xfId="924" applyNumberFormat="1" applyFont="1" applyFill="1" applyBorder="1"/>
    <xf numFmtId="4" fontId="9" fillId="0" borderId="0" xfId="0" applyNumberFormat="1" applyFont="1" applyFill="1" applyBorder="1" applyAlignment="1">
      <alignment horizontal="right"/>
    </xf>
    <xf numFmtId="4" fontId="8" fillId="0" borderId="65" xfId="0" applyNumberFormat="1" applyFont="1" applyFill="1" applyBorder="1"/>
    <xf numFmtId="4" fontId="9" fillId="0" borderId="46" xfId="0" applyNumberFormat="1" applyFont="1" applyFill="1" applyBorder="1" applyAlignment="1">
      <alignment horizontal="right"/>
    </xf>
    <xf numFmtId="4" fontId="8" fillId="0" borderId="129" xfId="0" applyNumberFormat="1" applyFont="1" applyFill="1" applyBorder="1"/>
    <xf numFmtId="4" fontId="26" fillId="0" borderId="41" xfId="0" applyNumberFormat="1" applyFont="1" applyFill="1" applyBorder="1"/>
    <xf numFmtId="4" fontId="26" fillId="0" borderId="52" xfId="0" applyNumberFormat="1" applyFont="1" applyFill="1" applyBorder="1"/>
    <xf numFmtId="4" fontId="26" fillId="0" borderId="46" xfId="0" applyNumberFormat="1" applyFont="1" applyFill="1" applyBorder="1"/>
    <xf numFmtId="4" fontId="9" fillId="0" borderId="77" xfId="1080" applyNumberFormat="1" applyFont="1" applyFill="1" applyBorder="1"/>
    <xf numFmtId="0" fontId="8" fillId="0" borderId="77" xfId="1138" applyFont="1" applyFill="1" applyBorder="1"/>
    <xf numFmtId="4" fontId="9" fillId="0" borderId="23" xfId="1080" applyNumberFormat="1" applyFont="1" applyFill="1" applyBorder="1"/>
    <xf numFmtId="43" fontId="9" fillId="0" borderId="130" xfId="1480" applyFont="1" applyFill="1" applyBorder="1" applyAlignment="1">
      <alignment horizontal="right" vertical="top"/>
    </xf>
    <xf numFmtId="4" fontId="8" fillId="0" borderId="43" xfId="1480" applyNumberFormat="1" applyFont="1" applyFill="1" applyBorder="1" applyAlignment="1">
      <alignment vertical="top" wrapText="1"/>
    </xf>
    <xf numFmtId="4" fontId="9" fillId="0" borderId="46" xfId="1480" applyNumberFormat="1" applyFont="1" applyFill="1" applyBorder="1" applyAlignment="1">
      <alignment vertical="top" wrapText="1"/>
    </xf>
    <xf numFmtId="4" fontId="9" fillId="0" borderId="0" xfId="1480" applyNumberFormat="1" applyFont="1" applyFill="1" applyBorder="1" applyAlignment="1">
      <alignment vertical="top" wrapText="1"/>
    </xf>
    <xf numFmtId="43" fontId="9" fillId="0" borderId="41" xfId="1480" applyFont="1" applyFill="1" applyBorder="1" applyAlignment="1">
      <alignment horizontal="right" vertical="top"/>
    </xf>
    <xf numFmtId="39" fontId="14" fillId="0" borderId="0" xfId="0" applyNumberFormat="1" applyFont="1" applyFill="1" applyBorder="1" applyAlignment="1">
      <alignment horizontal="right"/>
    </xf>
    <xf numFmtId="4" fontId="13" fillId="0" borderId="41" xfId="0" applyNumberFormat="1" applyFont="1" applyFill="1" applyBorder="1" applyAlignment="1">
      <alignment horizontal="right"/>
    </xf>
    <xf numFmtId="4" fontId="13" fillId="0" borderId="43" xfId="0" applyNumberFormat="1" applyFont="1" applyFill="1" applyBorder="1" applyAlignment="1">
      <alignment horizontal="right"/>
    </xf>
    <xf numFmtId="4" fontId="14" fillId="0" borderId="46" xfId="0" applyNumberFormat="1" applyFont="1" applyFill="1" applyBorder="1" applyAlignment="1">
      <alignment horizontal="right"/>
    </xf>
    <xf numFmtId="0" fontId="13" fillId="0" borderId="0" xfId="1484" applyFont="1" applyFill="1"/>
    <xf numFmtId="0" fontId="26" fillId="0" borderId="0" xfId="1297" applyFont="1" applyFill="1" applyBorder="1" applyAlignment="1">
      <alignment vertical="center"/>
    </xf>
    <xf numFmtId="0" fontId="14" fillId="0" borderId="0" xfId="1297" applyFont="1" applyFill="1" applyBorder="1" applyAlignment="1" applyProtection="1">
      <alignment horizontal="left" vertical="center"/>
    </xf>
    <xf numFmtId="0" fontId="14" fillId="0" borderId="0" xfId="1297" quotePrefix="1" applyFont="1" applyFill="1" applyBorder="1" applyAlignment="1">
      <alignment horizontal="left" vertical="center"/>
    </xf>
    <xf numFmtId="0" fontId="13" fillId="0" borderId="39" xfId="1297" applyFont="1" applyFill="1" applyBorder="1" applyAlignment="1">
      <alignment vertical="center"/>
    </xf>
    <xf numFmtId="0" fontId="13" fillId="0" borderId="125" xfId="1297" quotePrefix="1" applyFont="1" applyFill="1" applyBorder="1" applyAlignment="1">
      <alignment horizontal="left" vertical="center"/>
    </xf>
    <xf numFmtId="4" fontId="13" fillId="0" borderId="40" xfId="924" applyNumberFormat="1" applyFont="1" applyFill="1" applyBorder="1" applyAlignment="1">
      <alignment horizontal="right" vertical="center"/>
    </xf>
    <xf numFmtId="0" fontId="13" fillId="0" borderId="42" xfId="1297" applyFont="1" applyFill="1" applyBorder="1" applyAlignment="1">
      <alignment vertical="center"/>
    </xf>
    <xf numFmtId="0" fontId="13" fillId="0" borderId="50" xfId="1297" quotePrefix="1" applyFont="1" applyFill="1" applyBorder="1" applyAlignment="1">
      <alignment horizontal="left" vertical="center"/>
    </xf>
    <xf numFmtId="4" fontId="13" fillId="0" borderId="24" xfId="924" applyNumberFormat="1" applyFont="1" applyFill="1" applyBorder="1" applyAlignment="1">
      <alignment horizontal="right" vertical="center"/>
    </xf>
    <xf numFmtId="0" fontId="13" fillId="0" borderId="50" xfId="1297" applyFont="1" applyFill="1" applyBorder="1" applyAlignment="1">
      <alignment horizontal="left" vertical="center"/>
    </xf>
    <xf numFmtId="0" fontId="14" fillId="0" borderId="42" xfId="1297" applyFont="1" applyFill="1" applyBorder="1" applyAlignment="1">
      <alignment vertical="center"/>
    </xf>
    <xf numFmtId="4" fontId="14" fillId="0" borderId="0" xfId="1481" applyNumberFormat="1" applyFont="1" applyFill="1" applyBorder="1" applyAlignment="1" applyProtection="1">
      <alignment horizontal="right" vertical="center"/>
    </xf>
    <xf numFmtId="0" fontId="13" fillId="0" borderId="50" xfId="1297" applyFont="1" applyFill="1" applyBorder="1" applyAlignment="1" applyProtection="1">
      <alignment horizontal="left" vertical="center"/>
    </xf>
    <xf numFmtId="0" fontId="13" fillId="0" borderId="71" xfId="1297" quotePrefix="1" applyFont="1" applyFill="1" applyBorder="1" applyAlignment="1">
      <alignment horizontal="left" vertical="center"/>
    </xf>
    <xf numFmtId="0" fontId="13" fillId="0" borderId="45" xfId="1297" applyFont="1" applyFill="1" applyBorder="1" applyAlignment="1" applyProtection="1">
      <alignment horizontal="center" vertical="center"/>
    </xf>
    <xf numFmtId="43" fontId="14" fillId="0" borderId="45" xfId="924" applyFont="1" applyFill="1" applyBorder="1" applyAlignment="1" applyProtection="1">
      <alignment horizontal="right" vertical="center"/>
    </xf>
    <xf numFmtId="43" fontId="14" fillId="0" borderId="46" xfId="924" applyFont="1" applyFill="1" applyBorder="1" applyAlignment="1" applyProtection="1">
      <alignment horizontal="right" vertical="center"/>
    </xf>
    <xf numFmtId="0" fontId="13" fillId="0" borderId="0" xfId="1297" quotePrefix="1" applyFont="1" applyFill="1" applyBorder="1" applyAlignment="1">
      <alignment horizontal="left" vertical="center"/>
    </xf>
    <xf numFmtId="0" fontId="13" fillId="0" borderId="0" xfId="1297" applyFont="1" applyFill="1" applyBorder="1" applyAlignment="1" applyProtection="1">
      <alignment horizontal="center" vertical="center"/>
    </xf>
    <xf numFmtId="43" fontId="14" fillId="0" borderId="0" xfId="924" applyFont="1" applyFill="1" applyBorder="1" applyAlignment="1" applyProtection="1">
      <alignment horizontal="right" vertical="center"/>
    </xf>
    <xf numFmtId="0" fontId="13" fillId="0" borderId="24" xfId="1297" quotePrefix="1" applyFont="1" applyFill="1" applyBorder="1" applyAlignment="1" applyProtection="1">
      <alignment horizontal="center" vertical="center"/>
    </xf>
    <xf numFmtId="0" fontId="13" fillId="0" borderId="50" xfId="1297" applyFont="1" applyFill="1" applyBorder="1" applyAlignment="1">
      <alignment vertical="center"/>
    </xf>
    <xf numFmtId="4" fontId="13" fillId="0" borderId="0" xfId="1481" applyNumberFormat="1" applyFont="1" applyFill="1" applyBorder="1" applyAlignment="1" applyProtection="1">
      <alignment horizontal="right" vertical="center"/>
    </xf>
    <xf numFmtId="0" fontId="14" fillId="0" borderId="24" xfId="1278" applyFont="1" applyFill="1" applyBorder="1"/>
    <xf numFmtId="169" fontId="8" fillId="0" borderId="0" xfId="1485" applyFont="1" applyFill="1" applyBorder="1"/>
    <xf numFmtId="0" fontId="8" fillId="0" borderId="75" xfId="1293" applyFont="1" applyFill="1" applyBorder="1"/>
    <xf numFmtId="169" fontId="8" fillId="0" borderId="73" xfId="1485" applyFont="1" applyFill="1" applyBorder="1"/>
    <xf numFmtId="39" fontId="8" fillId="0" borderId="73" xfId="1293" applyNumberFormat="1" applyFont="1" applyFill="1" applyBorder="1" applyAlignment="1">
      <alignment horizontal="centerContinuous"/>
    </xf>
    <xf numFmtId="43" fontId="8" fillId="0" borderId="73" xfId="462" applyNumberFormat="1" applyFont="1" applyFill="1" applyBorder="1" applyAlignment="1">
      <alignment horizontal="right"/>
    </xf>
    <xf numFmtId="43" fontId="8" fillId="0" borderId="65" xfId="1486" applyFont="1" applyFill="1" applyBorder="1"/>
    <xf numFmtId="169" fontId="8" fillId="0" borderId="24" xfId="1485" applyFont="1" applyFill="1" applyBorder="1"/>
    <xf numFmtId="39" fontId="8" fillId="0" borderId="24" xfId="1293" applyNumberFormat="1" applyFont="1" applyFill="1" applyBorder="1" applyAlignment="1">
      <alignment horizontal="centerContinuous"/>
    </xf>
    <xf numFmtId="43" fontId="8" fillId="0" borderId="24" xfId="462" applyNumberFormat="1" applyFont="1" applyFill="1" applyBorder="1" applyAlignment="1">
      <alignment horizontal="right"/>
    </xf>
    <xf numFmtId="169" fontId="8" fillId="0" borderId="45" xfId="1485" applyFont="1" applyFill="1" applyBorder="1"/>
    <xf numFmtId="39" fontId="8" fillId="0" borderId="45" xfId="1293" applyNumberFormat="1" applyFont="1" applyFill="1" applyBorder="1" applyAlignment="1">
      <alignment horizontal="centerContinuous"/>
    </xf>
    <xf numFmtId="39" fontId="9" fillId="0" borderId="45" xfId="1293" quotePrefix="1" applyNumberFormat="1" applyFont="1" applyFill="1" applyBorder="1" applyAlignment="1">
      <alignment horizontal="right"/>
    </xf>
    <xf numFmtId="0" fontId="13" fillId="0" borderId="126" xfId="1297" applyFont="1" applyFill="1" applyBorder="1" applyAlignment="1">
      <alignment vertical="center"/>
    </xf>
    <xf numFmtId="43" fontId="13" fillId="0" borderId="20" xfId="924" applyFont="1" applyFill="1" applyBorder="1" applyAlignment="1">
      <alignment horizontal="right" vertical="center"/>
    </xf>
    <xf numFmtId="0" fontId="13" fillId="0" borderId="20" xfId="1297" applyFont="1" applyFill="1" applyBorder="1" applyAlignment="1">
      <alignment horizontal="center" vertical="center"/>
    </xf>
    <xf numFmtId="43" fontId="14" fillId="0" borderId="20" xfId="924" applyFont="1" applyFill="1" applyBorder="1" applyAlignment="1" applyProtection="1">
      <alignment horizontal="right" vertical="center"/>
    </xf>
    <xf numFmtId="43" fontId="14" fillId="0" borderId="52" xfId="924" applyFont="1" applyFill="1" applyBorder="1" applyAlignment="1" applyProtection="1">
      <alignment horizontal="right" vertical="center"/>
    </xf>
    <xf numFmtId="0" fontId="146" fillId="0" borderId="0" xfId="0" applyFont="1" applyFill="1" applyBorder="1" applyAlignment="1">
      <alignment horizontal="left" vertical="top" wrapText="1"/>
    </xf>
    <xf numFmtId="0" fontId="8" fillId="0" borderId="40" xfId="1293" applyFont="1" applyFill="1" applyBorder="1"/>
    <xf numFmtId="0" fontId="8" fillId="0" borderId="40" xfId="1293" applyFont="1" applyFill="1" applyBorder="1" applyAlignment="1">
      <alignment horizontal="centerContinuous"/>
    </xf>
    <xf numFmtId="39" fontId="8" fillId="0" borderId="40" xfId="1293" applyNumberFormat="1" applyFont="1" applyFill="1" applyBorder="1"/>
    <xf numFmtId="39" fontId="8" fillId="0" borderId="41" xfId="1293" applyNumberFormat="1" applyFont="1" applyFill="1" applyBorder="1"/>
    <xf numFmtId="0" fontId="8" fillId="0" borderId="24" xfId="1293" applyFont="1" applyFill="1" applyBorder="1"/>
    <xf numFmtId="39" fontId="8" fillId="0" borderId="24" xfId="1293" applyNumberFormat="1" applyFont="1" applyFill="1" applyBorder="1"/>
    <xf numFmtId="39" fontId="8" fillId="0" borderId="43" xfId="1293" applyNumberFormat="1" applyFont="1" applyFill="1" applyBorder="1"/>
    <xf numFmtId="0" fontId="8" fillId="0" borderId="45" xfId="1293" applyFont="1" applyFill="1" applyBorder="1"/>
    <xf numFmtId="0" fontId="9" fillId="0" borderId="45" xfId="1293" applyFont="1" applyFill="1" applyBorder="1" applyAlignment="1">
      <alignment horizontal="right"/>
    </xf>
    <xf numFmtId="39" fontId="9" fillId="0" borderId="46" xfId="1293" applyNumberFormat="1" applyFont="1" applyFill="1" applyBorder="1" applyAlignment="1">
      <alignment horizontal="right"/>
    </xf>
    <xf numFmtId="2" fontId="8" fillId="0" borderId="24" xfId="1293" applyNumberFormat="1" applyFont="1" applyFill="1" applyBorder="1"/>
    <xf numFmtId="0" fontId="9" fillId="0" borderId="91" xfId="0" applyFont="1" applyFill="1" applyBorder="1" applyAlignment="1">
      <alignment wrapText="1"/>
    </xf>
    <xf numFmtId="0" fontId="9" fillId="0" borderId="92" xfId="0" applyFont="1" applyFill="1" applyBorder="1"/>
    <xf numFmtId="0" fontId="9" fillId="0" borderId="21" xfId="0" applyFont="1" applyFill="1" applyBorder="1"/>
    <xf numFmtId="0" fontId="9" fillId="0" borderId="74" xfId="0" quotePrefix="1" applyFont="1" applyFill="1" applyBorder="1" applyAlignment="1">
      <alignment horizontal="left"/>
    </xf>
    <xf numFmtId="0" fontId="8" fillId="0" borderId="47" xfId="1293" applyFont="1" applyFill="1" applyBorder="1"/>
    <xf numFmtId="0" fontId="9" fillId="0" borderId="19" xfId="0" quotePrefix="1" applyFont="1" applyFill="1" applyBorder="1" applyAlignment="1">
      <alignment horizontal="left"/>
    </xf>
    <xf numFmtId="0" fontId="14" fillId="0" borderId="0" xfId="1278" applyFont="1" applyFill="1" applyBorder="1"/>
    <xf numFmtId="2" fontId="13" fillId="0" borderId="0" xfId="1278" applyNumberFormat="1" applyFont="1" applyFill="1" applyBorder="1" applyAlignment="1">
      <alignment horizontal="center"/>
    </xf>
    <xf numFmtId="0" fontId="13" fillId="0" borderId="0" xfId="1278" applyFont="1" applyFill="1" applyBorder="1" applyAlignment="1">
      <alignment horizontal="center"/>
    </xf>
    <xf numFmtId="39" fontId="13" fillId="0" borderId="0" xfId="1278" applyNumberFormat="1" applyFont="1" applyFill="1" applyBorder="1" applyAlignment="1">
      <alignment horizontal="right"/>
    </xf>
    <xf numFmtId="2" fontId="13" fillId="0" borderId="78" xfId="1278" applyNumberFormat="1" applyFont="1" applyFill="1" applyBorder="1"/>
    <xf numFmtId="0" fontId="13" fillId="0" borderId="34" xfId="1293" applyFont="1" applyFill="1" applyBorder="1"/>
    <xf numFmtId="2" fontId="13" fillId="0" borderId="34" xfId="1278" applyNumberFormat="1" applyFont="1" applyFill="1" applyBorder="1" applyAlignment="1">
      <alignment horizontal="center"/>
    </xf>
    <xf numFmtId="0" fontId="13" fillId="0" borderId="34" xfId="1278" applyFont="1" applyFill="1" applyBorder="1" applyAlignment="1">
      <alignment horizontal="center"/>
    </xf>
    <xf numFmtId="39" fontId="13" fillId="0" borderId="34" xfId="1278" applyNumberFormat="1" applyFont="1" applyFill="1" applyBorder="1" applyAlignment="1">
      <alignment horizontal="right"/>
    </xf>
    <xf numFmtId="2" fontId="13" fillId="0" borderId="128" xfId="1278" applyNumberFormat="1" applyFont="1" applyFill="1" applyBorder="1"/>
    <xf numFmtId="39" fontId="13" fillId="0" borderId="24" xfId="1278" applyNumberFormat="1" applyFont="1" applyFill="1" applyBorder="1" applyAlignment="1">
      <alignment horizontal="center"/>
    </xf>
    <xf numFmtId="0" fontId="13" fillId="0" borderId="24" xfId="1278" applyFont="1" applyFill="1" applyBorder="1" applyAlignment="1">
      <alignment horizontal="center"/>
    </xf>
    <xf numFmtId="39" fontId="13" fillId="0" borderId="24" xfId="1278" applyNumberFormat="1" applyFont="1" applyFill="1" applyBorder="1" applyAlignment="1">
      <alignment horizontal="right"/>
    </xf>
    <xf numFmtId="0" fontId="13" fillId="0" borderId="24" xfId="1278" applyFont="1" applyFill="1" applyBorder="1"/>
    <xf numFmtId="0" fontId="13" fillId="0" borderId="20" xfId="1278" applyFont="1" applyFill="1" applyBorder="1"/>
    <xf numFmtId="39" fontId="13" fillId="0" borderId="20" xfId="1278" applyNumberFormat="1" applyFont="1" applyFill="1" applyBorder="1" applyAlignment="1">
      <alignment horizontal="center"/>
    </xf>
    <xf numFmtId="2" fontId="8" fillId="0" borderId="0" xfId="0" applyNumberFormat="1" applyFont="1" applyFill="1" applyBorder="1" applyAlignment="1"/>
    <xf numFmtId="0" fontId="8" fillId="0" borderId="110" xfId="0" applyFont="1" applyFill="1" applyBorder="1" applyAlignment="1">
      <alignment horizontal="center"/>
    </xf>
    <xf numFmtId="0" fontId="9" fillId="0" borderId="0" xfId="0" applyFont="1" applyFill="1" applyAlignment="1">
      <alignment horizontal="right"/>
    </xf>
    <xf numFmtId="4" fontId="9" fillId="0" borderId="24" xfId="0" applyNumberFormat="1" applyFont="1" applyFill="1" applyBorder="1"/>
    <xf numFmtId="43" fontId="147" fillId="0" borderId="24" xfId="924" applyFont="1" applyFill="1" applyBorder="1" applyAlignment="1">
      <alignment vertical="top"/>
    </xf>
    <xf numFmtId="4" fontId="8" fillId="0" borderId="24" xfId="0" applyNumberFormat="1" applyFont="1" applyFill="1" applyBorder="1" applyAlignment="1" applyProtection="1">
      <alignment horizontal="right" vertical="center"/>
      <protection locked="0"/>
    </xf>
    <xf numFmtId="4" fontId="8" fillId="0" borderId="0" xfId="0" applyNumberFormat="1" applyFont="1" applyFill="1" applyBorder="1"/>
    <xf numFmtId="0" fontId="14" fillId="0" borderId="20" xfId="1278" applyFont="1" applyFill="1" applyBorder="1"/>
    <xf numFmtId="43" fontId="14" fillId="0" borderId="0" xfId="924" applyFont="1" applyFill="1"/>
    <xf numFmtId="0" fontId="14" fillId="0" borderId="0" xfId="1293" applyFont="1" applyFill="1" applyAlignment="1">
      <alignment horizontal="center"/>
    </xf>
    <xf numFmtId="0" fontId="14" fillId="0" borderId="108" xfId="1278" applyFont="1" applyFill="1" applyBorder="1"/>
    <xf numFmtId="43" fontId="14" fillId="0" borderId="47" xfId="924" applyFont="1" applyFill="1" applyBorder="1"/>
    <xf numFmtId="0" fontId="26" fillId="0" borderId="0" xfId="1293" applyFont="1" applyFill="1" applyBorder="1"/>
    <xf numFmtId="49" fontId="13" fillId="0" borderId="0" xfId="1301" applyNumberFormat="1" applyFont="1" applyFill="1" applyBorder="1" applyAlignment="1" applyProtection="1">
      <alignment vertical="top" wrapText="1"/>
    </xf>
    <xf numFmtId="0" fontId="13" fillId="0" borderId="0" xfId="1293" applyFont="1" applyFill="1" applyBorder="1" applyAlignment="1"/>
    <xf numFmtId="49" fontId="14" fillId="0" borderId="0" xfId="0" applyNumberFormat="1" applyFont="1" applyFill="1" applyBorder="1" applyAlignment="1">
      <alignment horizontal="left" vertical="center" wrapText="1"/>
    </xf>
    <xf numFmtId="43" fontId="13" fillId="0" borderId="34" xfId="924" applyFont="1" applyFill="1" applyBorder="1"/>
    <xf numFmtId="0" fontId="13" fillId="0" borderId="78" xfId="1293" applyFont="1" applyFill="1" applyBorder="1"/>
    <xf numFmtId="0" fontId="8" fillId="0" borderId="24" xfId="0" applyFont="1" applyFill="1" applyBorder="1" applyAlignment="1">
      <alignment horizontal="right"/>
    </xf>
    <xf numFmtId="2" fontId="8" fillId="0" borderId="24" xfId="0" applyNumberFormat="1" applyFont="1" applyFill="1" applyBorder="1" applyAlignment="1">
      <alignment horizontal="right"/>
    </xf>
    <xf numFmtId="4" fontId="13" fillId="0" borderId="50" xfId="1293" applyNumberFormat="1" applyFont="1" applyFill="1" applyBorder="1"/>
    <xf numFmtId="0" fontId="8" fillId="0" borderId="24" xfId="0" applyNumberFormat="1" applyFont="1" applyFill="1" applyBorder="1" applyAlignment="1">
      <alignment horizontal="right"/>
    </xf>
    <xf numFmtId="171" fontId="13" fillId="0" borderId="0" xfId="1293" applyNumberFormat="1" applyFont="1" applyFill="1"/>
    <xf numFmtId="0" fontId="9" fillId="0" borderId="50" xfId="0" applyFont="1" applyFill="1" applyBorder="1" applyAlignment="1">
      <alignment horizontal="right"/>
    </xf>
    <xf numFmtId="0" fontId="9" fillId="0" borderId="24" xfId="0" applyFont="1" applyFill="1" applyBorder="1" applyAlignment="1">
      <alignment horizontal="center"/>
    </xf>
    <xf numFmtId="0" fontId="9" fillId="0" borderId="0" xfId="0" applyFont="1" applyFill="1" applyBorder="1" applyAlignment="1">
      <alignment horizontal="right"/>
    </xf>
    <xf numFmtId="0" fontId="9" fillId="0" borderId="0" xfId="0" applyFont="1" applyFill="1" applyBorder="1" applyAlignment="1">
      <alignment horizontal="center"/>
    </xf>
    <xf numFmtId="193" fontId="13" fillId="0" borderId="24" xfId="1293" applyNumberFormat="1" applyFont="1" applyFill="1" applyBorder="1"/>
    <xf numFmtId="173" fontId="13" fillId="0" borderId="24" xfId="1452" applyFont="1" applyFill="1" applyBorder="1"/>
    <xf numFmtId="193" fontId="13" fillId="0" borderId="24" xfId="1293" applyNumberFormat="1" applyFont="1" applyFill="1" applyBorder="1" applyAlignment="1">
      <alignment horizontal="right"/>
    </xf>
    <xf numFmtId="193" fontId="13" fillId="0" borderId="24" xfId="1293" applyNumberFormat="1" applyFont="1" applyFill="1" applyBorder="1" applyAlignment="1">
      <alignment horizontal="center"/>
    </xf>
    <xf numFmtId="0" fontId="140" fillId="0" borderId="0" xfId="0" applyFont="1" applyFill="1"/>
    <xf numFmtId="0" fontId="9" fillId="0" borderId="24" xfId="1051" applyFont="1" applyFill="1" applyBorder="1" applyAlignment="1">
      <alignment horizontal="center" vertical="top"/>
    </xf>
    <xf numFmtId="174" fontId="9" fillId="0" borderId="24" xfId="1051" applyNumberFormat="1" applyFont="1" applyFill="1" applyBorder="1" applyAlignment="1">
      <alignment vertical="top"/>
    </xf>
    <xf numFmtId="0" fontId="13" fillId="0" borderId="20" xfId="1297" applyFont="1" applyFill="1" applyBorder="1" applyAlignment="1" applyProtection="1">
      <alignment horizontal="left" vertical="center"/>
    </xf>
    <xf numFmtId="4" fontId="13" fillId="0" borderId="20" xfId="924" applyNumberFormat="1" applyFont="1" applyFill="1" applyBorder="1" applyAlignment="1">
      <alignment horizontal="right" vertical="center"/>
    </xf>
    <xf numFmtId="4" fontId="13" fillId="0" borderId="20" xfId="924" applyNumberFormat="1" applyFont="1" applyFill="1" applyBorder="1" applyAlignment="1" applyProtection="1">
      <alignment horizontal="right" vertical="center"/>
      <protection locked="0"/>
    </xf>
    <xf numFmtId="0" fontId="13" fillId="0" borderId="19" xfId="1297" applyFont="1" applyFill="1" applyBorder="1" applyAlignment="1" applyProtection="1">
      <alignment horizontal="left" vertical="center"/>
    </xf>
    <xf numFmtId="4" fontId="13" fillId="0" borderId="19" xfId="924" applyNumberFormat="1" applyFont="1" applyFill="1" applyBorder="1" applyAlignment="1">
      <alignment horizontal="right" vertical="center"/>
    </xf>
    <xf numFmtId="0" fontId="13" fillId="0" borderId="19" xfId="1297" applyFont="1" applyFill="1" applyBorder="1" applyAlignment="1">
      <alignment horizontal="center" vertical="center"/>
    </xf>
    <xf numFmtId="4" fontId="13" fillId="0" borderId="19" xfId="924" applyNumberFormat="1" applyFont="1" applyFill="1" applyBorder="1" applyAlignment="1" applyProtection="1">
      <alignment horizontal="right" vertical="center"/>
      <protection locked="0"/>
    </xf>
    <xf numFmtId="0" fontId="8" fillId="0" borderId="19" xfId="1299" applyFont="1" applyFill="1" applyBorder="1"/>
    <xf numFmtId="0" fontId="8" fillId="0" borderId="19" xfId="1299" applyFont="1" applyFill="1" applyBorder="1" applyAlignment="1">
      <alignment wrapText="1"/>
    </xf>
    <xf numFmtId="2" fontId="140" fillId="0" borderId="0" xfId="0" applyNumberFormat="1" applyFont="1" applyFill="1"/>
    <xf numFmtId="49" fontId="14" fillId="0" borderId="19" xfId="924" applyNumberFormat="1" applyFont="1" applyFill="1" applyBorder="1" applyAlignment="1">
      <alignment horizontal="right" vertical="center"/>
    </xf>
    <xf numFmtId="4" fontId="14" fillId="0" borderId="19" xfId="924" applyNumberFormat="1" applyFont="1" applyFill="1" applyBorder="1" applyAlignment="1">
      <alignment horizontal="right" vertical="center"/>
    </xf>
    <xf numFmtId="0" fontId="13" fillId="0" borderId="25" xfId="1297" applyFont="1" applyFill="1" applyBorder="1" applyAlignment="1" applyProtection="1">
      <alignment horizontal="left" vertical="center"/>
    </xf>
    <xf numFmtId="43" fontId="13" fillId="0" borderId="25" xfId="924" applyFont="1" applyFill="1" applyBorder="1" applyAlignment="1">
      <alignment horizontal="right" vertical="center"/>
    </xf>
    <xf numFmtId="0" fontId="13" fillId="0" borderId="25" xfId="1297" applyFont="1" applyFill="1" applyBorder="1" applyAlignment="1">
      <alignment horizontal="center" vertical="center"/>
    </xf>
    <xf numFmtId="49" fontId="14" fillId="0" borderId="25" xfId="924" applyNumberFormat="1" applyFont="1" applyFill="1" applyBorder="1" applyAlignment="1">
      <alignment horizontal="right" vertical="center"/>
    </xf>
    <xf numFmtId="0" fontId="14" fillId="0" borderId="0" xfId="1293" applyFont="1" applyFill="1" applyBorder="1" applyAlignment="1"/>
    <xf numFmtId="4" fontId="13" fillId="0" borderId="0" xfId="1293" applyNumberFormat="1" applyFont="1" applyFill="1" applyBorder="1" applyAlignment="1"/>
    <xf numFmtId="39" fontId="13" fillId="0" borderId="0" xfId="1293" applyNumberFormat="1" applyFont="1" applyFill="1" applyBorder="1" applyAlignment="1"/>
    <xf numFmtId="0" fontId="9" fillId="0" borderId="20" xfId="1300" applyFont="1" applyFill="1" applyBorder="1" applyAlignment="1">
      <alignment horizontal="center"/>
    </xf>
    <xf numFmtId="169" fontId="9" fillId="0" borderId="20" xfId="920" applyFont="1" applyFill="1" applyBorder="1" applyAlignment="1">
      <alignment horizontal="center"/>
    </xf>
    <xf numFmtId="169" fontId="8" fillId="0" borderId="19" xfId="920" applyFont="1" applyFill="1" applyBorder="1"/>
    <xf numFmtId="169" fontId="8" fillId="0" borderId="19" xfId="920" applyFont="1" applyFill="1" applyBorder="1" applyAlignment="1">
      <alignment horizontal="center"/>
    </xf>
    <xf numFmtId="0" fontId="8" fillId="0" borderId="25" xfId="1288" applyFont="1" applyFill="1" applyBorder="1" applyAlignment="1">
      <alignment horizontal="right"/>
    </xf>
    <xf numFmtId="169" fontId="8" fillId="0" borderId="25" xfId="920" applyFont="1" applyFill="1" applyBorder="1"/>
    <xf numFmtId="169" fontId="8" fillId="0" borderId="25" xfId="920" applyFont="1" applyFill="1" applyBorder="1" applyAlignment="1" applyProtection="1">
      <alignment horizontal="center"/>
    </xf>
    <xf numFmtId="169" fontId="9" fillId="0" borderId="25" xfId="920" applyFont="1" applyFill="1" applyBorder="1" applyAlignment="1">
      <alignment horizontal="right"/>
    </xf>
    <xf numFmtId="0" fontId="146" fillId="0" borderId="0" xfId="1268" applyFont="1" applyFill="1" applyAlignment="1">
      <alignment horizontal="right"/>
    </xf>
    <xf numFmtId="2" fontId="8" fillId="0" borderId="0" xfId="0" applyNumberFormat="1" applyFont="1" applyFill="1"/>
    <xf numFmtId="0" fontId="146" fillId="0" borderId="0" xfId="1268" applyFont="1" applyFill="1" applyAlignment="1">
      <alignment horizontal="center" vertical="center"/>
    </xf>
    <xf numFmtId="169" fontId="146" fillId="0" borderId="99" xfId="1268" applyNumberFormat="1" applyFont="1" applyFill="1" applyBorder="1"/>
    <xf numFmtId="4" fontId="146" fillId="0" borderId="0" xfId="1268" applyNumberFormat="1" applyFont="1" applyFill="1"/>
    <xf numFmtId="2" fontId="13" fillId="0" borderId="0" xfId="1293" applyNumberFormat="1" applyFont="1" applyFill="1" applyBorder="1" applyAlignment="1"/>
    <xf numFmtId="43" fontId="13" fillId="0" borderId="0" xfId="1487" applyFont="1" applyFill="1" applyBorder="1" applyAlignment="1"/>
    <xf numFmtId="0" fontId="13" fillId="0" borderId="40" xfId="1293" applyFont="1" applyFill="1" applyBorder="1" applyAlignment="1"/>
    <xf numFmtId="4" fontId="13" fillId="0" borderId="40" xfId="1293" applyNumberFormat="1" applyFont="1" applyFill="1" applyBorder="1" applyAlignment="1"/>
    <xf numFmtId="0" fontId="13" fillId="0" borderId="24" xfId="1293" applyFont="1" applyFill="1" applyBorder="1" applyAlignment="1"/>
    <xf numFmtId="0" fontId="13" fillId="0" borderId="45" xfId="1293" applyFont="1" applyFill="1" applyBorder="1" applyAlignment="1"/>
    <xf numFmtId="43" fontId="13" fillId="0" borderId="45" xfId="924" applyFont="1" applyFill="1" applyBorder="1" applyAlignment="1"/>
    <xf numFmtId="43" fontId="14" fillId="0" borderId="45" xfId="924" applyFont="1" applyFill="1" applyBorder="1" applyAlignment="1">
      <alignment horizontal="right" vertical="center"/>
    </xf>
    <xf numFmtId="4" fontId="14" fillId="0" borderId="46" xfId="1293" applyNumberFormat="1" applyFont="1" applyFill="1" applyBorder="1" applyAlignment="1"/>
    <xf numFmtId="0" fontId="26" fillId="0" borderId="40" xfId="1293" applyFont="1" applyFill="1" applyBorder="1" applyAlignment="1">
      <alignment horizontal="right"/>
    </xf>
    <xf numFmtId="4" fontId="13" fillId="0" borderId="40" xfId="924" applyNumberFormat="1" applyFont="1" applyFill="1" applyBorder="1" applyAlignment="1">
      <alignment wrapText="1"/>
    </xf>
    <xf numFmtId="43" fontId="14" fillId="0" borderId="40" xfId="924" applyFont="1" applyFill="1" applyBorder="1" applyAlignment="1">
      <alignment horizontal="right"/>
    </xf>
    <xf numFmtId="4" fontId="14" fillId="0" borderId="41" xfId="924" applyNumberFormat="1" applyFont="1" applyFill="1" applyBorder="1"/>
    <xf numFmtId="0" fontId="26" fillId="0" borderId="0" xfId="1293" applyFont="1" applyFill="1" applyBorder="1" applyAlignment="1">
      <alignment horizontal="right"/>
    </xf>
    <xf numFmtId="4" fontId="13" fillId="0" borderId="0" xfId="924" applyNumberFormat="1" applyFont="1" applyFill="1" applyBorder="1" applyAlignment="1">
      <alignment wrapText="1"/>
    </xf>
    <xf numFmtId="0" fontId="9" fillId="0" borderId="24" xfId="1293" applyFont="1" applyFill="1" applyBorder="1"/>
    <xf numFmtId="0" fontId="13" fillId="0" borderId="24" xfId="1297" applyFont="1" applyFill="1" applyBorder="1" applyAlignment="1">
      <alignment horizontal="center" vertical="center"/>
    </xf>
    <xf numFmtId="43" fontId="8" fillId="0" borderId="24" xfId="1488" applyNumberFormat="1" applyFont="1" applyFill="1" applyBorder="1" applyAlignment="1">
      <alignment horizontal="right"/>
    </xf>
    <xf numFmtId="4" fontId="8" fillId="0" borderId="24" xfId="1293" applyNumberFormat="1" applyFont="1" applyFill="1" applyBorder="1" applyAlignment="1">
      <alignment horizontal="right"/>
    </xf>
    <xf numFmtId="39" fontId="8" fillId="0" borderId="24" xfId="1293" applyNumberFormat="1" applyFont="1" applyFill="1" applyBorder="1" applyAlignment="1">
      <alignment horizontal="center"/>
    </xf>
    <xf numFmtId="4" fontId="9" fillId="0" borderId="24" xfId="1293" applyNumberFormat="1" applyFont="1" applyFill="1" applyBorder="1" applyAlignment="1">
      <alignment horizontal="right"/>
    </xf>
    <xf numFmtId="0" fontId="8" fillId="0" borderId="66" xfId="1293" applyFont="1" applyFill="1" applyBorder="1"/>
    <xf numFmtId="43" fontId="8" fillId="0" borderId="99" xfId="1488" applyNumberFormat="1" applyFont="1" applyFill="1" applyBorder="1" applyAlignment="1">
      <alignment horizontal="right"/>
    </xf>
    <xf numFmtId="0" fontId="14" fillId="0" borderId="66" xfId="1293" applyFont="1" applyFill="1" applyBorder="1"/>
    <xf numFmtId="169" fontId="9" fillId="0" borderId="24" xfId="1485" applyNumberFormat="1" applyFont="1" applyFill="1" applyBorder="1"/>
    <xf numFmtId="43" fontId="14" fillId="0" borderId="99" xfId="924" applyFont="1" applyFill="1" applyBorder="1"/>
    <xf numFmtId="169" fontId="9" fillId="0" borderId="0" xfId="1485" applyNumberFormat="1" applyFont="1" applyFill="1" applyBorder="1"/>
    <xf numFmtId="39" fontId="8" fillId="0" borderId="0" xfId="1293" applyNumberFormat="1" applyFont="1" applyFill="1" applyBorder="1" applyAlignment="1">
      <alignment horizontal="center"/>
    </xf>
    <xf numFmtId="0" fontId="14" fillId="0" borderId="0" xfId="1293" applyFont="1" applyFill="1" applyBorder="1" applyAlignment="1">
      <alignment horizontal="center"/>
    </xf>
    <xf numFmtId="0" fontId="8" fillId="0" borderId="24" xfId="1293" applyFont="1" applyFill="1" applyBorder="1" applyAlignment="1">
      <alignment horizontal="left" wrapText="1"/>
    </xf>
    <xf numFmtId="0" fontId="13" fillId="0" borderId="24" xfId="1297" applyFont="1" applyFill="1" applyBorder="1" applyAlignment="1">
      <alignment horizontal="center"/>
    </xf>
    <xf numFmtId="0" fontId="8" fillId="0" borderId="24" xfId="1293" applyFont="1" applyFill="1" applyBorder="1" applyAlignment="1">
      <alignment horizontal="center" wrapText="1"/>
    </xf>
    <xf numFmtId="43" fontId="14" fillId="0" borderId="24" xfId="924" applyFont="1" applyFill="1" applyBorder="1"/>
    <xf numFmtId="4" fontId="9" fillId="0" borderId="0" xfId="1051" applyNumberFormat="1" applyFont="1" applyFill="1" applyBorder="1" applyAlignment="1">
      <alignment horizontal="left" wrapText="1"/>
    </xf>
    <xf numFmtId="169" fontId="45" fillId="0" borderId="0" xfId="866" applyFont="1" applyFill="1" applyBorder="1" applyAlignment="1">
      <alignment wrapText="1"/>
    </xf>
    <xf numFmtId="0" fontId="45" fillId="0" borderId="0" xfId="0" applyFont="1" applyFill="1" applyBorder="1" applyAlignment="1">
      <alignment horizontal="center" wrapText="1"/>
    </xf>
    <xf numFmtId="0" fontId="45" fillId="0" borderId="0" xfId="0" applyFont="1" applyFill="1" applyBorder="1" applyAlignment="1">
      <alignment wrapText="1"/>
    </xf>
    <xf numFmtId="4" fontId="9" fillId="0" borderId="135" xfId="1051" applyNumberFormat="1" applyFont="1" applyFill="1" applyBorder="1" applyAlignment="1">
      <alignment horizontal="center" wrapText="1"/>
    </xf>
    <xf numFmtId="169" fontId="9" fillId="0" borderId="136" xfId="866" applyFont="1" applyFill="1" applyBorder="1" applyAlignment="1">
      <alignment horizontal="center" wrapText="1"/>
    </xf>
    <xf numFmtId="4" fontId="9" fillId="0" borderId="136" xfId="1051" applyNumberFormat="1" applyFont="1" applyFill="1" applyBorder="1" applyAlignment="1">
      <alignment horizontal="center" wrapText="1"/>
    </xf>
    <xf numFmtId="169" fontId="9" fillId="0" borderId="137" xfId="743" applyFont="1" applyFill="1" applyBorder="1" applyAlignment="1">
      <alignment horizontal="center" wrapText="1"/>
    </xf>
    <xf numFmtId="4" fontId="9" fillId="0" borderId="100" xfId="1051" applyNumberFormat="1" applyFont="1" applyFill="1" applyBorder="1" applyAlignment="1">
      <alignment horizontal="center" wrapText="1"/>
    </xf>
    <xf numFmtId="169" fontId="9" fillId="0" borderId="19" xfId="866" applyFont="1" applyFill="1" applyBorder="1" applyAlignment="1">
      <alignment wrapText="1"/>
    </xf>
    <xf numFmtId="4" fontId="9" fillId="0" borderId="19" xfId="1051" applyNumberFormat="1" applyFont="1" applyFill="1" applyBorder="1" applyAlignment="1">
      <alignment horizontal="center" wrapText="1"/>
    </xf>
    <xf numFmtId="4" fontId="9" fillId="0" borderId="19" xfId="1051" applyNumberFormat="1" applyFont="1" applyFill="1" applyBorder="1" applyAlignment="1">
      <alignment wrapText="1"/>
    </xf>
    <xf numFmtId="169" fontId="9" fillId="0" borderId="33" xfId="743" applyFont="1" applyFill="1" applyBorder="1" applyAlignment="1">
      <alignment wrapText="1"/>
    </xf>
    <xf numFmtId="4" fontId="9" fillId="0" borderId="100" xfId="1051" applyNumberFormat="1" applyFont="1" applyFill="1" applyBorder="1" applyAlignment="1">
      <alignment wrapText="1"/>
    </xf>
    <xf numFmtId="4" fontId="8" fillId="0" borderId="100" xfId="1051" applyNumberFormat="1" applyFont="1" applyFill="1" applyBorder="1" applyAlignment="1">
      <alignment wrapText="1"/>
    </xf>
    <xf numFmtId="169" fontId="8" fillId="0" borderId="19" xfId="866" applyFont="1" applyFill="1" applyBorder="1" applyAlignment="1">
      <alignment horizontal="right" wrapText="1"/>
    </xf>
    <xf numFmtId="4" fontId="8" fillId="0" borderId="19" xfId="1051" applyNumberFormat="1" applyFont="1" applyFill="1" applyBorder="1" applyAlignment="1">
      <alignment horizontal="center" wrapText="1"/>
    </xf>
    <xf numFmtId="43" fontId="8" fillId="0" borderId="19" xfId="1482" applyNumberFormat="1" applyFont="1" applyFill="1" applyBorder="1" applyAlignment="1">
      <alignment wrapText="1"/>
    </xf>
    <xf numFmtId="169" fontId="8" fillId="0" borderId="33" xfId="743" applyFont="1" applyFill="1" applyBorder="1" applyAlignment="1">
      <alignment wrapText="1"/>
    </xf>
    <xf numFmtId="4" fontId="9" fillId="0" borderId="103" xfId="1051" applyNumberFormat="1" applyFont="1" applyFill="1" applyBorder="1" applyAlignment="1">
      <alignment wrapText="1"/>
    </xf>
    <xf numFmtId="169" fontId="9" fillId="0" borderId="102" xfId="866" applyFont="1" applyFill="1" applyBorder="1" applyAlignment="1">
      <alignment horizontal="right" wrapText="1"/>
    </xf>
    <xf numFmtId="4" fontId="9" fillId="0" borderId="102" xfId="1051" applyNumberFormat="1" applyFont="1" applyFill="1" applyBorder="1" applyAlignment="1">
      <alignment horizontal="center" wrapText="1"/>
    </xf>
    <xf numFmtId="4" fontId="9" fillId="0" borderId="138" xfId="1051" applyNumberFormat="1" applyFont="1" applyFill="1" applyBorder="1" applyAlignment="1">
      <alignment wrapText="1"/>
    </xf>
    <xf numFmtId="169" fontId="9" fillId="0" borderId="37" xfId="743" applyFont="1" applyFill="1" applyBorder="1" applyAlignment="1">
      <alignment wrapText="1"/>
    </xf>
    <xf numFmtId="4" fontId="8" fillId="0" borderId="0" xfId="1051" applyNumberFormat="1" applyFont="1" applyFill="1" applyBorder="1" applyAlignment="1">
      <alignment wrapText="1"/>
    </xf>
    <xf numFmtId="169" fontId="9" fillId="0" borderId="104" xfId="743" applyFont="1" applyFill="1" applyBorder="1" applyAlignment="1">
      <alignment wrapText="1"/>
    </xf>
    <xf numFmtId="0" fontId="13" fillId="0" borderId="40" xfId="1293" applyFont="1" applyFill="1" applyBorder="1"/>
    <xf numFmtId="43" fontId="13" fillId="0" borderId="40" xfId="924" applyFont="1" applyFill="1" applyBorder="1"/>
    <xf numFmtId="0" fontId="13" fillId="0" borderId="0" xfId="0" applyFont="1" applyFill="1" applyBorder="1" applyAlignment="1">
      <alignment horizontal="center" vertical="center"/>
    </xf>
    <xf numFmtId="0" fontId="28" fillId="0" borderId="83" xfId="1291" applyFont="1" applyFill="1" applyBorder="1" applyAlignment="1"/>
    <xf numFmtId="0" fontId="8" fillId="0" borderId="34" xfId="1299" applyNumberFormat="1" applyFont="1" applyFill="1" applyBorder="1" applyAlignment="1"/>
    <xf numFmtId="0" fontId="9" fillId="0" borderId="24" xfId="1299" applyFont="1" applyFill="1" applyBorder="1" applyAlignment="1">
      <alignment horizontal="center"/>
    </xf>
    <xf numFmtId="0" fontId="8" fillId="0" borderId="40" xfId="0" applyFont="1" applyFill="1" applyBorder="1" applyAlignment="1">
      <alignment vertical="top"/>
    </xf>
    <xf numFmtId="169" fontId="8" fillId="0" borderId="40" xfId="743" applyFont="1" applyFill="1" applyBorder="1" applyAlignment="1">
      <alignment vertical="top"/>
    </xf>
    <xf numFmtId="39" fontId="13" fillId="0" borderId="40" xfId="0" applyNumberFormat="1" applyFont="1" applyFill="1" applyBorder="1" applyAlignment="1" applyProtection="1">
      <alignment vertical="top"/>
      <protection locked="0"/>
    </xf>
    <xf numFmtId="2" fontId="8" fillId="0" borderId="43" xfId="0" applyNumberFormat="1" applyFont="1" applyFill="1" applyBorder="1" applyAlignment="1" applyProtection="1">
      <alignment vertical="top"/>
      <protection locked="0"/>
    </xf>
    <xf numFmtId="0" fontId="8" fillId="0" borderId="24" xfId="0" applyFont="1" applyFill="1" applyBorder="1" applyAlignment="1">
      <alignment vertical="top"/>
    </xf>
    <xf numFmtId="169" fontId="8" fillId="0" borderId="24" xfId="743" applyFont="1" applyFill="1" applyBorder="1" applyAlignment="1">
      <alignment vertical="top"/>
    </xf>
    <xf numFmtId="0" fontId="8" fillId="0" borderId="24" xfId="0" applyFont="1" applyFill="1" applyBorder="1" applyAlignment="1">
      <alignment horizontal="center" vertical="top"/>
    </xf>
    <xf numFmtId="2" fontId="13" fillId="0" borderId="43" xfId="1293" applyNumberFormat="1" applyFont="1" applyFill="1" applyBorder="1"/>
    <xf numFmtId="0" fontId="8" fillId="0" borderId="43" xfId="0" applyFont="1" applyFill="1" applyBorder="1" applyAlignment="1" applyProtection="1">
      <alignment vertical="top"/>
      <protection locked="0"/>
    </xf>
    <xf numFmtId="0" fontId="9" fillId="0" borderId="24" xfId="1299" applyFont="1" applyFill="1" applyBorder="1" applyProtection="1"/>
    <xf numFmtId="0" fontId="9" fillId="0" borderId="0" xfId="1299" applyFont="1" applyFill="1" applyBorder="1" applyProtection="1"/>
    <xf numFmtId="0" fontId="8" fillId="0" borderId="0" xfId="1299" applyFont="1" applyFill="1" applyBorder="1"/>
    <xf numFmtId="0" fontId="8" fillId="0" borderId="0" xfId="1299" applyFont="1" applyFill="1" applyBorder="1" applyAlignment="1" applyProtection="1">
      <alignment horizontal="center"/>
    </xf>
    <xf numFmtId="165" fontId="8" fillId="0" borderId="0" xfId="1299" applyNumberFormat="1" applyFont="1" applyFill="1" applyBorder="1" applyProtection="1"/>
    <xf numFmtId="165" fontId="9" fillId="0" borderId="0" xfId="1299" applyNumberFormat="1" applyFont="1" applyFill="1" applyBorder="1" applyProtection="1"/>
    <xf numFmtId="4" fontId="9" fillId="0" borderId="0" xfId="1051" applyNumberFormat="1" applyFont="1" applyFill="1" applyBorder="1" applyAlignment="1">
      <alignment horizontal="left"/>
    </xf>
    <xf numFmtId="42" fontId="45" fillId="0" borderId="0" xfId="865" applyFont="1" applyFill="1" applyBorder="1" applyAlignment="1">
      <alignment wrapText="1"/>
    </xf>
    <xf numFmtId="0" fontId="8" fillId="0" borderId="24" xfId="1051" applyFont="1" applyFill="1" applyBorder="1" applyAlignment="1" applyProtection="1">
      <alignment horizontal="left"/>
    </xf>
    <xf numFmtId="184" fontId="8" fillId="0" borderId="24" xfId="1051" applyNumberFormat="1" applyFont="1" applyFill="1" applyBorder="1" applyAlignment="1" applyProtection="1">
      <alignment horizontal="right"/>
    </xf>
    <xf numFmtId="0" fontId="8" fillId="0" borderId="24" xfId="1051" applyFont="1" applyFill="1" applyBorder="1" applyAlignment="1" applyProtection="1">
      <alignment horizontal="center"/>
    </xf>
    <xf numFmtId="0" fontId="8" fillId="0" borderId="24" xfId="1051" applyFont="1" applyFill="1" applyBorder="1" applyProtection="1"/>
    <xf numFmtId="184" fontId="8" fillId="0" borderId="24" xfId="1051" applyNumberFormat="1" applyFont="1" applyFill="1" applyBorder="1" applyProtection="1"/>
    <xf numFmtId="0" fontId="8" fillId="0" borderId="24" xfId="1051" applyFont="1" applyFill="1" applyBorder="1"/>
    <xf numFmtId="169" fontId="9" fillId="0" borderId="24" xfId="914" applyFont="1" applyFill="1" applyBorder="1" applyAlignment="1"/>
    <xf numFmtId="0" fontId="9" fillId="0" borderId="24" xfId="1299" applyFont="1" applyFill="1" applyBorder="1"/>
    <xf numFmtId="169" fontId="9" fillId="0" borderId="24" xfId="914" applyFont="1" applyFill="1" applyBorder="1"/>
    <xf numFmtId="4" fontId="9" fillId="0" borderId="103" xfId="1051" applyNumberFormat="1" applyFont="1" applyFill="1" applyBorder="1" applyAlignment="1"/>
    <xf numFmtId="42" fontId="9" fillId="0" borderId="102" xfId="865" applyFont="1" applyFill="1" applyBorder="1" applyAlignment="1">
      <alignment horizontal="right"/>
    </xf>
    <xf numFmtId="4" fontId="9" fillId="0" borderId="102" xfId="1051" applyNumberFormat="1" applyFont="1" applyFill="1" applyBorder="1" applyAlignment="1">
      <alignment horizontal="center"/>
    </xf>
    <xf numFmtId="43" fontId="9" fillId="0" borderId="102" xfId="1482" applyNumberFormat="1" applyFont="1" applyFill="1" applyBorder="1"/>
    <xf numFmtId="42" fontId="9" fillId="0" borderId="37" xfId="865" applyFont="1" applyFill="1" applyBorder="1"/>
    <xf numFmtId="0" fontId="8" fillId="0" borderId="32" xfId="0" applyFont="1" applyFill="1" applyBorder="1"/>
    <xf numFmtId="4" fontId="8" fillId="0" borderId="22" xfId="1051" applyNumberFormat="1" applyFont="1" applyFill="1" applyBorder="1" applyAlignment="1"/>
    <xf numFmtId="170" fontId="9" fillId="0" borderId="0" xfId="1051" applyNumberFormat="1" applyFont="1" applyFill="1" applyBorder="1" applyAlignment="1">
      <alignment horizontal="right"/>
    </xf>
    <xf numFmtId="169" fontId="9" fillId="0" borderId="0" xfId="914" applyFont="1" applyFill="1" applyBorder="1" applyAlignment="1">
      <alignment horizontal="right"/>
    </xf>
    <xf numFmtId="0" fontId="26" fillId="0" borderId="24" xfId="1293" applyFont="1" applyFill="1" applyBorder="1" applyAlignment="1"/>
    <xf numFmtId="4" fontId="13" fillId="0" borderId="24" xfId="924" applyNumberFormat="1" applyFont="1" applyFill="1" applyBorder="1" applyAlignment="1">
      <alignment wrapText="1"/>
    </xf>
    <xf numFmtId="4" fontId="148" fillId="0" borderId="43" xfId="1293" applyNumberFormat="1" applyFont="1" applyFill="1" applyBorder="1" applyAlignment="1"/>
    <xf numFmtId="43" fontId="148" fillId="0" borderId="43" xfId="924" applyFont="1" applyFill="1" applyBorder="1"/>
    <xf numFmtId="43" fontId="26" fillId="0" borderId="43" xfId="924" applyFont="1" applyFill="1" applyBorder="1"/>
    <xf numFmtId="0" fontId="26" fillId="0" borderId="45" xfId="1293" applyFont="1" applyFill="1" applyBorder="1"/>
    <xf numFmtId="4" fontId="13" fillId="0" borderId="45" xfId="1293" applyNumberFormat="1" applyFont="1" applyFill="1" applyBorder="1" applyAlignment="1">
      <alignment vertical="top" wrapText="1"/>
    </xf>
    <xf numFmtId="0" fontId="13" fillId="0" borderId="45" xfId="1293" applyFont="1" applyFill="1" applyBorder="1" applyAlignment="1">
      <alignment horizontal="center" vertical="top"/>
    </xf>
    <xf numFmtId="43" fontId="26" fillId="0" borderId="46" xfId="924" applyFont="1" applyFill="1" applyBorder="1"/>
    <xf numFmtId="43" fontId="14" fillId="0" borderId="24" xfId="924" applyFont="1" applyFill="1" applyBorder="1" applyAlignment="1">
      <alignment horizontal="right" vertical="center"/>
    </xf>
    <xf numFmtId="0" fontId="8" fillId="0" borderId="69" xfId="0" applyFont="1" applyFill="1" applyBorder="1"/>
    <xf numFmtId="2" fontId="8" fillId="0" borderId="69" xfId="0" applyNumberFormat="1" applyFont="1" applyFill="1" applyBorder="1"/>
    <xf numFmtId="43" fontId="26" fillId="0" borderId="0" xfId="924" applyFont="1" applyFill="1" applyBorder="1"/>
    <xf numFmtId="0" fontId="45" fillId="0" borderId="24" xfId="0" applyFont="1" applyFill="1" applyBorder="1" applyAlignment="1"/>
    <xf numFmtId="174" fontId="46" fillId="0" borderId="24" xfId="0" applyNumberFormat="1" applyFont="1" applyFill="1" applyBorder="1" applyAlignment="1"/>
    <xf numFmtId="0" fontId="46" fillId="0" borderId="24" xfId="0" applyFont="1" applyFill="1" applyBorder="1" applyAlignment="1"/>
    <xf numFmtId="174" fontId="46" fillId="0" borderId="24" xfId="0" applyNumberFormat="1" applyFont="1" applyFill="1" applyBorder="1" applyAlignment="1">
      <alignment horizontal="center"/>
    </xf>
    <xf numFmtId="4" fontId="14" fillId="0" borderId="24" xfId="924" applyNumberFormat="1" applyFont="1" applyFill="1" applyBorder="1"/>
    <xf numFmtId="0" fontId="45" fillId="0" borderId="24" xfId="0" applyFont="1" applyFill="1" applyBorder="1" applyAlignment="1">
      <alignment horizontal="center"/>
    </xf>
    <xf numFmtId="0" fontId="45" fillId="0" borderId="0" xfId="0" applyFont="1" applyFill="1" applyBorder="1" applyAlignment="1">
      <alignment horizontal="center"/>
    </xf>
    <xf numFmtId="174" fontId="45" fillId="0" borderId="0" xfId="0" applyNumberFormat="1" applyFont="1" applyFill="1" applyBorder="1" applyAlignment="1">
      <alignment horizontal="right"/>
    </xf>
    <xf numFmtId="0" fontId="45" fillId="0" borderId="0" xfId="0" applyFont="1" applyFill="1" applyBorder="1" applyAlignment="1"/>
    <xf numFmtId="174" fontId="46" fillId="0" borderId="0" xfId="0" applyNumberFormat="1" applyFont="1" applyFill="1" applyBorder="1" applyAlignment="1"/>
    <xf numFmtId="0" fontId="46" fillId="0" borderId="0" xfId="0" applyFont="1" applyFill="1" applyBorder="1" applyAlignment="1"/>
    <xf numFmtId="174" fontId="45" fillId="0" borderId="24" xfId="0" applyNumberFormat="1" applyFont="1" applyFill="1" applyBorder="1" applyAlignment="1"/>
    <xf numFmtId="0" fontId="8" fillId="0" borderId="24" xfId="972" applyFont="1" applyFill="1" applyBorder="1"/>
    <xf numFmtId="0" fontId="9" fillId="0" borderId="24" xfId="972" applyFont="1" applyFill="1" applyBorder="1" applyAlignment="1">
      <alignment horizontal="center"/>
    </xf>
    <xf numFmtId="193" fontId="13" fillId="0" borderId="0" xfId="1293" applyNumberFormat="1" applyFont="1" applyFill="1"/>
    <xf numFmtId="2" fontId="8" fillId="0" borderId="24" xfId="972" applyNumberFormat="1" applyFont="1" applyFill="1" applyBorder="1" applyAlignment="1">
      <alignment horizontal="right"/>
    </xf>
    <xf numFmtId="0" fontId="8" fillId="0" borderId="24" xfId="972" applyFont="1" applyFill="1" applyBorder="1" applyAlignment="1">
      <alignment horizontal="center"/>
    </xf>
    <xf numFmtId="4" fontId="8" fillId="0" borderId="24" xfId="972" applyNumberFormat="1" applyFont="1" applyFill="1" applyBorder="1" applyAlignment="1">
      <alignment horizontal="right"/>
    </xf>
    <xf numFmtId="4" fontId="13" fillId="0" borderId="24" xfId="1293" applyNumberFormat="1" applyFont="1" applyFill="1" applyBorder="1"/>
    <xf numFmtId="0" fontId="8" fillId="0" borderId="24" xfId="972" applyFont="1" applyFill="1" applyBorder="1" applyAlignment="1"/>
    <xf numFmtId="0" fontId="9" fillId="0" borderId="24" xfId="972" applyFont="1" applyFill="1" applyBorder="1" applyAlignment="1">
      <alignment horizontal="right"/>
    </xf>
    <xf numFmtId="4" fontId="9" fillId="0" borderId="24" xfId="972" applyNumberFormat="1" applyFont="1" applyFill="1" applyBorder="1" applyAlignment="1"/>
    <xf numFmtId="2" fontId="9" fillId="0" borderId="24" xfId="972" applyNumberFormat="1" applyFont="1" applyFill="1" applyBorder="1" applyAlignment="1">
      <alignment horizontal="right"/>
    </xf>
    <xf numFmtId="4" fontId="14" fillId="0" borderId="24" xfId="924" applyNumberFormat="1" applyFont="1" applyFill="1" applyBorder="1" applyAlignment="1">
      <alignment horizontal="right"/>
    </xf>
    <xf numFmtId="0" fontId="9" fillId="0" borderId="0" xfId="972" applyFont="1" applyFill="1" applyBorder="1" applyAlignment="1">
      <alignment horizontal="right"/>
    </xf>
    <xf numFmtId="2" fontId="9" fillId="0" borderId="0" xfId="972" applyNumberFormat="1" applyFont="1" applyFill="1" applyBorder="1" applyAlignment="1">
      <alignment horizontal="right"/>
    </xf>
    <xf numFmtId="0" fontId="9" fillId="0" borderId="0" xfId="972" applyFont="1" applyFill="1" applyBorder="1" applyAlignment="1">
      <alignment horizontal="center"/>
    </xf>
    <xf numFmtId="0" fontId="8" fillId="0" borderId="0" xfId="0" applyFont="1" applyFill="1" applyAlignment="1">
      <alignment horizontal="center" vertical="center"/>
    </xf>
    <xf numFmtId="0" fontId="28" fillId="0" borderId="24" xfId="0" applyFont="1" applyFill="1" applyBorder="1"/>
    <xf numFmtId="0" fontId="9" fillId="0" borderId="24" xfId="0" applyFont="1" applyFill="1" applyBorder="1"/>
    <xf numFmtId="0" fontId="28" fillId="0" borderId="24" xfId="0" applyFont="1" applyFill="1" applyBorder="1" applyAlignment="1"/>
    <xf numFmtId="4" fontId="9" fillId="0" borderId="24" xfId="0" applyNumberFormat="1" applyFont="1" applyFill="1" applyBorder="1" applyAlignment="1"/>
    <xf numFmtId="4" fontId="8" fillId="0" borderId="24" xfId="0" applyNumberFormat="1" applyFont="1" applyFill="1" applyBorder="1" applyAlignment="1">
      <alignment horizontal="right"/>
    </xf>
    <xf numFmtId="181" fontId="8" fillId="0" borderId="24" xfId="0" applyNumberFormat="1" applyFont="1" applyFill="1" applyBorder="1"/>
    <xf numFmtId="0" fontId="8" fillId="0" borderId="24" xfId="0" applyFont="1" applyFill="1" applyBorder="1" applyAlignment="1"/>
    <xf numFmtId="4" fontId="8" fillId="0" borderId="24" xfId="0" applyNumberFormat="1" applyFont="1" applyFill="1" applyBorder="1" applyAlignment="1"/>
    <xf numFmtId="0" fontId="9" fillId="0" borderId="24" xfId="0" applyFont="1" applyFill="1" applyBorder="1" applyAlignment="1">
      <alignment horizontal="left"/>
    </xf>
    <xf numFmtId="169" fontId="8" fillId="0" borderId="24" xfId="1452" applyNumberFormat="1" applyFont="1" applyFill="1" applyBorder="1" applyAlignment="1">
      <alignment horizontal="center"/>
    </xf>
    <xf numFmtId="169" fontId="8" fillId="0" borderId="24" xfId="1452" applyNumberFormat="1" applyFont="1" applyFill="1" applyBorder="1"/>
    <xf numFmtId="0" fontId="26" fillId="0" borderId="40" xfId="1293" applyFont="1" applyFill="1" applyBorder="1" applyAlignment="1"/>
    <xf numFmtId="4" fontId="13" fillId="0" borderId="40" xfId="924" applyNumberFormat="1" applyFont="1" applyFill="1" applyBorder="1" applyAlignment="1"/>
    <xf numFmtId="4" fontId="26" fillId="0" borderId="41" xfId="924" applyNumberFormat="1" applyFont="1" applyFill="1" applyBorder="1" applyAlignment="1"/>
    <xf numFmtId="4" fontId="26" fillId="0" borderId="43" xfId="924" applyNumberFormat="1" applyFont="1" applyFill="1" applyBorder="1" applyAlignment="1"/>
    <xf numFmtId="10" fontId="13" fillId="0" borderId="0" xfId="1293" applyNumberFormat="1" applyFont="1" applyFill="1" applyBorder="1"/>
    <xf numFmtId="0" fontId="26" fillId="0" borderId="45" xfId="1293" applyFont="1" applyFill="1" applyBorder="1" applyAlignment="1"/>
    <xf numFmtId="4" fontId="13" fillId="0" borderId="45" xfId="924" applyNumberFormat="1" applyFont="1" applyFill="1" applyBorder="1" applyAlignment="1"/>
    <xf numFmtId="4" fontId="14" fillId="0" borderId="45" xfId="924" applyNumberFormat="1" applyFont="1" applyFill="1" applyBorder="1"/>
    <xf numFmtId="4" fontId="26" fillId="0" borderId="46" xfId="924" applyNumberFormat="1" applyFont="1" applyFill="1" applyBorder="1" applyAlignment="1"/>
    <xf numFmtId="43" fontId="13" fillId="0" borderId="0" xfId="924" applyFont="1" applyFill="1" applyBorder="1" applyAlignment="1"/>
    <xf numFmtId="0" fontId="13" fillId="0" borderId="73" xfId="1293" applyFont="1" applyFill="1" applyBorder="1" applyAlignment="1"/>
    <xf numFmtId="0" fontId="13" fillId="0" borderId="48" xfId="1293" applyFont="1" applyFill="1" applyBorder="1"/>
    <xf numFmtId="4" fontId="13" fillId="0" borderId="25" xfId="1293" applyNumberFormat="1" applyFont="1" applyFill="1" applyBorder="1" applyAlignment="1"/>
    <xf numFmtId="0" fontId="13" fillId="0" borderId="25" xfId="1293" applyFont="1" applyFill="1" applyBorder="1" applyAlignment="1">
      <alignment horizontal="center"/>
    </xf>
    <xf numFmtId="4" fontId="13" fillId="0" borderId="20" xfId="924" applyNumberFormat="1" applyFont="1" applyFill="1" applyBorder="1" applyAlignment="1"/>
    <xf numFmtId="4" fontId="13" fillId="0" borderId="52" xfId="924" applyNumberFormat="1" applyFont="1" applyFill="1" applyBorder="1" applyAlignment="1" applyProtection="1">
      <alignment horizontal="right" vertical="center"/>
      <protection locked="0"/>
    </xf>
    <xf numFmtId="0" fontId="26" fillId="0" borderId="73" xfId="1293" applyFont="1" applyFill="1" applyBorder="1"/>
    <xf numFmtId="43" fontId="26" fillId="0" borderId="41" xfId="924" applyFont="1" applyFill="1" applyBorder="1"/>
    <xf numFmtId="43" fontId="148" fillId="0" borderId="24" xfId="924" applyFont="1" applyFill="1" applyBorder="1"/>
    <xf numFmtId="43" fontId="14" fillId="0" borderId="25" xfId="924" applyFont="1" applyFill="1" applyBorder="1" applyAlignment="1">
      <alignment horizontal="right"/>
    </xf>
    <xf numFmtId="43" fontId="138" fillId="0" borderId="72" xfId="924" applyFont="1" applyFill="1" applyBorder="1"/>
    <xf numFmtId="0" fontId="26" fillId="0" borderId="20" xfId="1293" applyFont="1" applyFill="1" applyBorder="1"/>
    <xf numFmtId="43" fontId="14" fillId="0" borderId="20" xfId="924" applyFont="1" applyFill="1" applyBorder="1" applyAlignment="1">
      <alignment horizontal="right"/>
    </xf>
    <xf numFmtId="43" fontId="26" fillId="0" borderId="52" xfId="924" applyFont="1" applyFill="1" applyBorder="1"/>
    <xf numFmtId="43" fontId="148" fillId="0" borderId="45" xfId="924" applyFont="1" applyFill="1" applyBorder="1"/>
    <xf numFmtId="43" fontId="138" fillId="0" borderId="46" xfId="924" applyFont="1" applyFill="1" applyBorder="1"/>
    <xf numFmtId="43" fontId="14" fillId="0" borderId="46" xfId="924" applyFont="1" applyFill="1" applyBorder="1"/>
    <xf numFmtId="0" fontId="13" fillId="0" borderId="53" xfId="1293" applyFont="1" applyFill="1" applyBorder="1"/>
    <xf numFmtId="0" fontId="26" fillId="0" borderId="58" xfId="1293" applyFont="1" applyFill="1" applyBorder="1"/>
    <xf numFmtId="43" fontId="13" fillId="0" borderId="58" xfId="924" applyFont="1" applyFill="1" applyBorder="1"/>
    <xf numFmtId="0" fontId="13" fillId="0" borderId="58" xfId="1293" applyFont="1" applyFill="1" applyBorder="1" applyAlignment="1">
      <alignment horizontal="center"/>
    </xf>
    <xf numFmtId="43" fontId="14" fillId="0" borderId="58" xfId="924" applyFont="1" applyFill="1" applyBorder="1" applyAlignment="1">
      <alignment horizontal="right"/>
    </xf>
    <xf numFmtId="43" fontId="26" fillId="0" borderId="54" xfId="924" applyFont="1" applyFill="1" applyBorder="1"/>
    <xf numFmtId="0" fontId="8" fillId="0" borderId="55" xfId="0" applyFont="1" applyFill="1" applyBorder="1"/>
    <xf numFmtId="170" fontId="8" fillId="0" borderId="55" xfId="0" applyNumberFormat="1" applyFont="1" applyFill="1" applyBorder="1"/>
    <xf numFmtId="0" fontId="148" fillId="0" borderId="55" xfId="0" applyFont="1" applyFill="1" applyBorder="1" applyAlignment="1">
      <alignment horizontal="right"/>
    </xf>
    <xf numFmtId="170" fontId="9" fillId="0" borderId="55" xfId="0" applyNumberFormat="1" applyFont="1" applyFill="1" applyBorder="1" applyAlignment="1">
      <alignment horizontal="right"/>
    </xf>
    <xf numFmtId="0" fontId="26" fillId="0" borderId="40" xfId="1293" applyFont="1" applyFill="1" applyBorder="1"/>
    <xf numFmtId="4" fontId="13" fillId="0" borderId="45" xfId="924" applyNumberFormat="1" applyFont="1" applyFill="1" applyBorder="1"/>
    <xf numFmtId="0" fontId="13" fillId="0" borderId="63" xfId="1293" applyFont="1" applyFill="1" applyBorder="1" applyAlignment="1">
      <alignment horizontal="center"/>
    </xf>
    <xf numFmtId="43" fontId="14" fillId="0" borderId="63" xfId="924" applyFont="1" applyFill="1" applyBorder="1" applyAlignment="1">
      <alignment horizontal="right" vertical="center"/>
    </xf>
    <xf numFmtId="4" fontId="14" fillId="0" borderId="25" xfId="924" applyNumberFormat="1" applyFont="1" applyFill="1" applyBorder="1" applyAlignment="1">
      <alignment horizontal="right"/>
    </xf>
    <xf numFmtId="0" fontId="13" fillId="0" borderId="20" xfId="1293" applyFont="1" applyFill="1" applyBorder="1" applyAlignment="1"/>
    <xf numFmtId="43" fontId="13" fillId="0" borderId="20" xfId="924" applyFont="1" applyFill="1" applyBorder="1" applyAlignment="1"/>
    <xf numFmtId="43" fontId="14" fillId="0" borderId="20" xfId="924" applyFont="1" applyFill="1" applyBorder="1" applyAlignment="1">
      <alignment horizontal="right" vertical="center"/>
    </xf>
    <xf numFmtId="4" fontId="14" fillId="0" borderId="52" xfId="1293" applyNumberFormat="1" applyFont="1" applyFill="1" applyBorder="1" applyAlignment="1"/>
    <xf numFmtId="43" fontId="148" fillId="0" borderId="46" xfId="924" applyFont="1" applyFill="1" applyBorder="1"/>
    <xf numFmtId="0" fontId="26" fillId="0" borderId="55" xfId="1293" applyFont="1" applyFill="1" applyBorder="1"/>
    <xf numFmtId="43" fontId="13" fillId="0" borderId="55" xfId="924" applyFont="1" applyFill="1" applyBorder="1"/>
    <xf numFmtId="0" fontId="13" fillId="0" borderId="55" xfId="1293" applyFont="1" applyFill="1" applyBorder="1" applyAlignment="1">
      <alignment horizontal="center"/>
    </xf>
    <xf numFmtId="4" fontId="26" fillId="0" borderId="41" xfId="924" applyNumberFormat="1" applyFont="1" applyFill="1" applyBorder="1"/>
    <xf numFmtId="4" fontId="26" fillId="0" borderId="52" xfId="924" applyNumberFormat="1" applyFont="1" applyFill="1" applyBorder="1"/>
    <xf numFmtId="180" fontId="13" fillId="0" borderId="45" xfId="924" applyNumberFormat="1" applyFont="1" applyFill="1" applyBorder="1"/>
    <xf numFmtId="4" fontId="26" fillId="0" borderId="46" xfId="924" applyNumberFormat="1" applyFont="1" applyFill="1" applyBorder="1"/>
    <xf numFmtId="4" fontId="14" fillId="0" borderId="58" xfId="924" applyNumberFormat="1" applyFont="1" applyFill="1" applyBorder="1"/>
    <xf numFmtId="4" fontId="26" fillId="0" borderId="54" xfId="924" applyNumberFormat="1" applyFont="1" applyFill="1" applyBorder="1"/>
    <xf numFmtId="4" fontId="14" fillId="0" borderId="46" xfId="924" applyNumberFormat="1" applyFont="1" applyFill="1" applyBorder="1"/>
    <xf numFmtId="0" fontId="13" fillId="0" borderId="58" xfId="1293" applyFont="1" applyFill="1" applyBorder="1"/>
    <xf numFmtId="0" fontId="13" fillId="0" borderId="58" xfId="1293" applyFont="1" applyFill="1" applyBorder="1" applyAlignment="1"/>
    <xf numFmtId="4" fontId="26" fillId="0" borderId="54" xfId="924" applyNumberFormat="1" applyFont="1" applyFill="1" applyBorder="1" applyAlignment="1">
      <alignment vertical="top"/>
    </xf>
    <xf numFmtId="0" fontId="13" fillId="0" borderId="39" xfId="1293" applyFont="1" applyFill="1" applyBorder="1" applyAlignment="1">
      <alignment vertical="top"/>
    </xf>
    <xf numFmtId="0" fontId="9" fillId="0" borderId="40" xfId="1293" applyFont="1" applyFill="1" applyBorder="1" applyAlignment="1">
      <alignment vertical="top"/>
    </xf>
    <xf numFmtId="0" fontId="8" fillId="0" borderId="40" xfId="1293" applyFont="1" applyFill="1" applyBorder="1" applyAlignment="1">
      <alignment vertical="top"/>
    </xf>
    <xf numFmtId="0" fontId="8" fillId="0" borderId="40" xfId="1293" applyFont="1" applyFill="1" applyBorder="1" applyAlignment="1">
      <alignment horizontal="right" vertical="top"/>
    </xf>
    <xf numFmtId="39" fontId="8" fillId="0" borderId="41" xfId="1293" applyNumberFormat="1" applyFont="1" applyFill="1" applyBorder="1" applyAlignment="1">
      <alignment horizontal="right" vertical="top"/>
    </xf>
    <xf numFmtId="0" fontId="8" fillId="0" borderId="24" xfId="1293" applyFont="1" applyFill="1" applyBorder="1" applyAlignment="1">
      <alignment vertical="top" wrapText="1"/>
    </xf>
    <xf numFmtId="2" fontId="8" fillId="0" borderId="24" xfId="1293" applyNumberFormat="1" applyFont="1" applyFill="1" applyBorder="1" applyAlignment="1">
      <alignment vertical="top"/>
    </xf>
    <xf numFmtId="0" fontId="8" fillId="0" borderId="24" xfId="1293" applyFont="1" applyFill="1" applyBorder="1" applyAlignment="1">
      <alignment horizontal="centerContinuous" vertical="top"/>
    </xf>
    <xf numFmtId="39" fontId="8" fillId="0" borderId="24" xfId="1293" applyNumberFormat="1" applyFont="1" applyFill="1" applyBorder="1" applyAlignment="1">
      <alignment vertical="top"/>
    </xf>
    <xf numFmtId="39" fontId="8" fillId="0" borderId="43" xfId="1293" applyNumberFormat="1" applyFont="1" applyFill="1" applyBorder="1" applyAlignment="1">
      <alignment vertical="top"/>
    </xf>
    <xf numFmtId="39" fontId="8" fillId="0" borderId="43" xfId="1293" applyNumberFormat="1" applyFont="1" applyFill="1" applyBorder="1" applyAlignment="1">
      <alignment horizontal="right" vertical="top"/>
    </xf>
    <xf numFmtId="0" fontId="8" fillId="0" borderId="24" xfId="1293" applyFont="1" applyFill="1" applyBorder="1" applyAlignment="1">
      <alignment horizontal="right" vertical="top"/>
    </xf>
    <xf numFmtId="39" fontId="9" fillId="0" borderId="43" xfId="1293" applyNumberFormat="1" applyFont="1" applyFill="1" applyBorder="1" applyAlignment="1">
      <alignment horizontal="right" vertical="top"/>
    </xf>
    <xf numFmtId="0" fontId="8" fillId="0" borderId="24" xfId="1293" applyFont="1" applyFill="1" applyBorder="1" applyAlignment="1">
      <alignment horizontal="left" vertical="top"/>
    </xf>
    <xf numFmtId="2" fontId="9" fillId="0" borderId="24" xfId="1293" applyNumberFormat="1" applyFont="1" applyFill="1" applyBorder="1" applyAlignment="1">
      <alignment vertical="top"/>
    </xf>
    <xf numFmtId="39" fontId="9" fillId="0" borderId="43" xfId="1293" applyNumberFormat="1" applyFont="1" applyFill="1" applyBorder="1" applyAlignment="1">
      <alignment horizontal="left" vertical="top"/>
    </xf>
    <xf numFmtId="0" fontId="9" fillId="0" borderId="24" xfId="1293" applyFont="1" applyFill="1" applyBorder="1" applyAlignment="1">
      <alignment horizontal="left" vertical="top"/>
    </xf>
    <xf numFmtId="39" fontId="9" fillId="0" borderId="43" xfId="1293" applyNumberFormat="1" applyFont="1" applyFill="1" applyBorder="1" applyAlignment="1">
      <alignment vertical="top"/>
    </xf>
    <xf numFmtId="0" fontId="9" fillId="0" borderId="45" xfId="1293" applyFont="1" applyFill="1" applyBorder="1" applyAlignment="1">
      <alignment horizontal="left" vertical="top"/>
    </xf>
    <xf numFmtId="39" fontId="9" fillId="0" borderId="45" xfId="1293" applyNumberFormat="1" applyFont="1" applyFill="1" applyBorder="1" applyAlignment="1">
      <alignment vertical="top"/>
    </xf>
    <xf numFmtId="0" fontId="9" fillId="0" borderId="45" xfId="1293" applyFont="1" applyFill="1" applyBorder="1" applyAlignment="1">
      <alignment vertical="top"/>
    </xf>
    <xf numFmtId="0" fontId="9" fillId="0" borderId="45" xfId="1293" applyFont="1" applyFill="1" applyBorder="1" applyAlignment="1">
      <alignment horizontal="right" vertical="top"/>
    </xf>
    <xf numFmtId="170" fontId="9" fillId="0" borderId="46" xfId="0" applyNumberFormat="1" applyFont="1" applyFill="1" applyBorder="1" applyAlignment="1">
      <alignment horizontal="right" vertical="top"/>
    </xf>
    <xf numFmtId="43" fontId="13" fillId="0" borderId="0" xfId="924" applyFont="1" applyFill="1" applyAlignment="1">
      <alignment vertical="top"/>
    </xf>
    <xf numFmtId="0" fontId="13" fillId="0" borderId="0" xfId="1293" applyFont="1" applyFill="1" applyAlignment="1">
      <alignment horizontal="center" vertical="top"/>
    </xf>
    <xf numFmtId="3" fontId="13" fillId="0" borderId="0" xfId="1293" applyNumberFormat="1" applyFont="1" applyFill="1" applyBorder="1"/>
    <xf numFmtId="4" fontId="13" fillId="0" borderId="72" xfId="924" applyNumberFormat="1" applyFont="1" applyFill="1" applyBorder="1" applyAlignment="1" applyProtection="1">
      <alignment horizontal="right" vertical="center"/>
      <protection locked="0"/>
    </xf>
    <xf numFmtId="43" fontId="13" fillId="0" borderId="0" xfId="924" applyNumberFormat="1" applyFont="1" applyFill="1" applyAlignment="1">
      <alignment vertical="top"/>
    </xf>
    <xf numFmtId="0" fontId="14" fillId="0" borderId="40" xfId="1293" applyFont="1" applyFill="1" applyBorder="1" applyAlignment="1">
      <alignment vertical="top"/>
    </xf>
    <xf numFmtId="43" fontId="13" fillId="0" borderId="40" xfId="924" applyNumberFormat="1" applyFont="1" applyFill="1" applyBorder="1" applyAlignment="1">
      <alignment vertical="top"/>
    </xf>
    <xf numFmtId="0" fontId="13" fillId="0" borderId="40" xfId="1293" applyFont="1" applyFill="1" applyBorder="1" applyAlignment="1">
      <alignment horizontal="center" vertical="top"/>
    </xf>
    <xf numFmtId="43" fontId="13" fillId="0" borderId="41" xfId="924" applyNumberFormat="1" applyFont="1" applyFill="1" applyBorder="1" applyAlignment="1">
      <alignment vertical="top"/>
    </xf>
    <xf numFmtId="0" fontId="14" fillId="0" borderId="24" xfId="1293" applyFont="1" applyFill="1" applyBorder="1" applyAlignment="1">
      <alignment vertical="top"/>
    </xf>
    <xf numFmtId="43" fontId="13" fillId="0" borderId="24" xfId="924" applyNumberFormat="1" applyFont="1" applyFill="1" applyBorder="1" applyAlignment="1">
      <alignment vertical="top"/>
    </xf>
    <xf numFmtId="0" fontId="13" fillId="0" borderId="24" xfId="1293" applyFont="1" applyFill="1" applyBorder="1" applyAlignment="1">
      <alignment horizontal="center" vertical="top"/>
    </xf>
    <xf numFmtId="43" fontId="14" fillId="0" borderId="43" xfId="924" applyNumberFormat="1" applyFont="1" applyFill="1" applyBorder="1" applyAlignment="1">
      <alignment vertical="top"/>
    </xf>
    <xf numFmtId="0" fontId="13" fillId="0" borderId="24" xfId="1293" applyFont="1" applyFill="1" applyBorder="1" applyAlignment="1">
      <alignment horizontal="right" vertical="top"/>
    </xf>
    <xf numFmtId="4" fontId="26" fillId="0" borderId="43" xfId="924" applyNumberFormat="1" applyFont="1" applyFill="1" applyBorder="1" applyAlignment="1">
      <alignment vertical="top"/>
    </xf>
    <xf numFmtId="0" fontId="13" fillId="0" borderId="69" xfId="1293" applyFont="1" applyFill="1" applyBorder="1" applyAlignment="1">
      <alignment vertical="top"/>
    </xf>
    <xf numFmtId="43" fontId="13" fillId="0" borderId="69" xfId="924" applyNumberFormat="1" applyFont="1" applyFill="1" applyBorder="1" applyAlignment="1">
      <alignment vertical="top"/>
    </xf>
    <xf numFmtId="0" fontId="13" fillId="0" borderId="69" xfId="1293" applyFont="1" applyFill="1" applyBorder="1" applyAlignment="1">
      <alignment horizontal="center" vertical="top"/>
    </xf>
    <xf numFmtId="0" fontId="9" fillId="0" borderId="69" xfId="1293" applyFont="1" applyFill="1" applyBorder="1" applyAlignment="1">
      <alignment horizontal="right" vertical="top"/>
    </xf>
    <xf numFmtId="0" fontId="13" fillId="0" borderId="34" xfId="1293" applyFont="1" applyFill="1" applyBorder="1" applyAlignment="1">
      <alignment vertical="top"/>
    </xf>
    <xf numFmtId="0" fontId="14" fillId="0" borderId="34" xfId="1293" applyFont="1" applyFill="1" applyBorder="1" applyAlignment="1">
      <alignment vertical="top"/>
    </xf>
    <xf numFmtId="43" fontId="13" fillId="0" borderId="34" xfId="924" applyNumberFormat="1" applyFont="1" applyFill="1" applyBorder="1" applyAlignment="1">
      <alignment vertical="top"/>
    </xf>
    <xf numFmtId="0" fontId="13" fillId="0" borderId="34" xfId="1293" applyFont="1" applyFill="1" applyBorder="1" applyAlignment="1">
      <alignment horizontal="center" vertical="top"/>
    </xf>
    <xf numFmtId="43" fontId="13" fillId="0" borderId="43" xfId="924" applyNumberFormat="1" applyFont="1" applyFill="1" applyBorder="1" applyAlignment="1">
      <alignment vertical="top"/>
    </xf>
    <xf numFmtId="4" fontId="13" fillId="0" borderId="24" xfId="924" applyNumberFormat="1" applyFont="1" applyFill="1" applyBorder="1" applyAlignment="1">
      <alignment vertical="top"/>
    </xf>
    <xf numFmtId="4" fontId="8" fillId="0" borderId="43" xfId="1293" applyNumberFormat="1" applyFont="1" applyFill="1" applyBorder="1" applyAlignment="1">
      <alignment vertical="top"/>
    </xf>
    <xf numFmtId="196" fontId="13" fillId="0" borderId="24" xfId="924" applyNumberFormat="1" applyFont="1" applyFill="1" applyBorder="1" applyAlignment="1">
      <alignment vertical="top"/>
    </xf>
    <xf numFmtId="43" fontId="13" fillId="0" borderId="45" xfId="924" applyNumberFormat="1" applyFont="1" applyFill="1" applyBorder="1" applyAlignment="1">
      <alignment vertical="top"/>
    </xf>
    <xf numFmtId="4" fontId="26" fillId="0" borderId="46" xfId="924" applyNumberFormat="1" applyFont="1" applyFill="1" applyBorder="1" applyAlignment="1">
      <alignment vertical="top"/>
    </xf>
    <xf numFmtId="43" fontId="13" fillId="0" borderId="41" xfId="924" applyFont="1" applyFill="1" applyBorder="1" applyAlignment="1">
      <alignment vertical="top"/>
    </xf>
    <xf numFmtId="4" fontId="149" fillId="0" borderId="43" xfId="924" applyNumberFormat="1" applyFont="1" applyFill="1" applyBorder="1" applyAlignment="1">
      <alignment vertical="top" wrapText="1"/>
    </xf>
    <xf numFmtId="4" fontId="14" fillId="0" borderId="43" xfId="924" applyNumberFormat="1" applyFont="1" applyFill="1" applyBorder="1" applyAlignment="1">
      <alignment vertical="top"/>
    </xf>
    <xf numFmtId="4" fontId="149" fillId="0" borderId="43" xfId="924" applyNumberFormat="1" applyFont="1" applyFill="1" applyBorder="1" applyAlignment="1">
      <alignment vertical="top"/>
    </xf>
    <xf numFmtId="43" fontId="13" fillId="0" borderId="45" xfId="924" applyFont="1" applyFill="1" applyBorder="1" applyAlignment="1">
      <alignment vertical="top"/>
    </xf>
    <xf numFmtId="4" fontId="138" fillId="0" borderId="46" xfId="924" applyNumberFormat="1" applyFont="1" applyFill="1" applyBorder="1" applyAlignment="1">
      <alignment vertical="top"/>
    </xf>
    <xf numFmtId="43" fontId="147" fillId="0" borderId="0" xfId="924" applyFont="1" applyFill="1" applyAlignment="1">
      <alignment vertical="top"/>
    </xf>
    <xf numFmtId="4" fontId="9" fillId="0" borderId="24" xfId="1293" applyNumberFormat="1" applyFont="1" applyFill="1" applyBorder="1" applyAlignment="1">
      <alignment horizontal="right" vertical="top"/>
    </xf>
    <xf numFmtId="4" fontId="13" fillId="0" borderId="45" xfId="924" applyNumberFormat="1" applyFont="1" applyFill="1" applyBorder="1" applyAlignment="1">
      <alignment vertical="top"/>
    </xf>
    <xf numFmtId="4" fontId="9" fillId="0" borderId="45" xfId="1293" applyNumberFormat="1" applyFont="1" applyFill="1" applyBorder="1" applyAlignment="1">
      <alignment horizontal="right" vertical="top"/>
    </xf>
    <xf numFmtId="39" fontId="13" fillId="0" borderId="39" xfId="1301" applyFont="1" applyFill="1" applyBorder="1"/>
    <xf numFmtId="39" fontId="13" fillId="0" borderId="42" xfId="1301" applyFont="1" applyFill="1" applyBorder="1"/>
    <xf numFmtId="39" fontId="13" fillId="0" borderId="51" xfId="1301" applyFont="1" applyFill="1" applyBorder="1"/>
    <xf numFmtId="0" fontId="13" fillId="0" borderId="126" xfId="1293" applyFont="1" applyFill="1" applyBorder="1"/>
    <xf numFmtId="39" fontId="13" fillId="0" borderId="44" xfId="1301" applyFont="1" applyFill="1" applyBorder="1"/>
    <xf numFmtId="39" fontId="13" fillId="0" borderId="0" xfId="1301" applyFont="1" applyFill="1" applyBorder="1"/>
    <xf numFmtId="193" fontId="14" fillId="0" borderId="0" xfId="1293" applyNumberFormat="1" applyFont="1" applyFill="1"/>
    <xf numFmtId="169" fontId="14" fillId="0" borderId="24" xfId="1293" applyNumberFormat="1" applyFont="1" applyFill="1" applyBorder="1"/>
    <xf numFmtId="0" fontId="14" fillId="0" borderId="24" xfId="1293" applyFont="1" applyFill="1" applyBorder="1" applyAlignment="1">
      <alignment horizontal="right"/>
    </xf>
    <xf numFmtId="173" fontId="14" fillId="0" borderId="24" xfId="1452" applyFont="1" applyFill="1" applyBorder="1"/>
    <xf numFmtId="0" fontId="53" fillId="0" borderId="0" xfId="1293" applyFont="1" applyFill="1"/>
    <xf numFmtId="0" fontId="14" fillId="0" borderId="0" xfId="1293" applyFont="1" applyFill="1"/>
    <xf numFmtId="4" fontId="70" fillId="0" borderId="0" xfId="1293" applyNumberFormat="1" applyFont="1" applyFill="1"/>
    <xf numFmtId="0" fontId="53" fillId="0" borderId="0" xfId="1293" applyFont="1" applyFill="1" applyAlignment="1">
      <alignment horizontal="center"/>
    </xf>
    <xf numFmtId="4" fontId="53" fillId="0" borderId="0" xfId="1293" applyNumberFormat="1" applyFont="1" applyFill="1"/>
    <xf numFmtId="193" fontId="53" fillId="0" borderId="0" xfId="1293" applyNumberFormat="1" applyFont="1" applyFill="1"/>
    <xf numFmtId="4" fontId="13" fillId="0" borderId="40" xfId="1293" applyNumberFormat="1" applyFont="1" applyFill="1" applyBorder="1"/>
    <xf numFmtId="4" fontId="13" fillId="0" borderId="65" xfId="463" applyNumberFormat="1" applyFont="1" applyFill="1" applyBorder="1"/>
    <xf numFmtId="4" fontId="13" fillId="0" borderId="43" xfId="463" applyNumberFormat="1" applyFont="1" applyFill="1" applyBorder="1"/>
    <xf numFmtId="4" fontId="13" fillId="0" borderId="45" xfId="1293" applyNumberFormat="1" applyFont="1" applyFill="1" applyBorder="1"/>
    <xf numFmtId="4" fontId="9" fillId="0" borderId="45" xfId="1276" applyNumberFormat="1" applyFont="1" applyFill="1" applyBorder="1" applyAlignment="1">
      <alignment horizontal="right"/>
    </xf>
    <xf numFmtId="4" fontId="14" fillId="0" borderId="46" xfId="1293" applyNumberFormat="1" applyFont="1" applyFill="1" applyBorder="1"/>
    <xf numFmtId="4" fontId="26" fillId="0" borderId="40" xfId="1276" applyNumberFormat="1" applyFont="1" applyFill="1" applyBorder="1" applyAlignment="1">
      <alignment horizontal="right"/>
    </xf>
    <xf numFmtId="4" fontId="26" fillId="0" borderId="41" xfId="1293" applyNumberFormat="1" applyFont="1" applyFill="1" applyBorder="1"/>
    <xf numFmtId="0" fontId="8" fillId="0" borderId="24" xfId="1268" applyNumberFormat="1" applyFont="1" applyFill="1" applyBorder="1" applyAlignment="1">
      <alignment vertical="top" wrapText="1"/>
    </xf>
    <xf numFmtId="194" fontId="9" fillId="0" borderId="23" xfId="0" applyNumberFormat="1" applyFont="1" applyFill="1" applyBorder="1" applyAlignment="1" applyProtection="1">
      <alignment horizontal="right" vertical="center"/>
    </xf>
    <xf numFmtId="0" fontId="13" fillId="0" borderId="60" xfId="1293" applyFont="1" applyFill="1" applyBorder="1"/>
    <xf numFmtId="169" fontId="14" fillId="0" borderId="99" xfId="1269" applyNumberFormat="1" applyFont="1" applyFill="1" applyBorder="1"/>
    <xf numFmtId="0" fontId="9" fillId="0" borderId="0" xfId="1293" applyFont="1" applyFill="1" applyBorder="1" applyAlignment="1"/>
    <xf numFmtId="0" fontId="8" fillId="0" borderId="0" xfId="1293" applyFont="1" applyFill="1" applyBorder="1" applyAlignment="1"/>
    <xf numFmtId="0" fontId="45" fillId="0" borderId="0" xfId="1293" applyFont="1" applyFill="1" applyBorder="1"/>
    <xf numFmtId="0" fontId="45" fillId="0" borderId="0" xfId="1293" applyFont="1" applyFill="1"/>
    <xf numFmtId="4" fontId="45" fillId="0" borderId="0" xfId="1293" applyNumberFormat="1" applyFont="1" applyFill="1"/>
    <xf numFmtId="0" fontId="46" fillId="0" borderId="39" xfId="1293" applyFont="1" applyFill="1" applyBorder="1"/>
    <xf numFmtId="0" fontId="46" fillId="0" borderId="40" xfId="1293" applyFont="1" applyFill="1" applyBorder="1"/>
    <xf numFmtId="0" fontId="46" fillId="0" borderId="40" xfId="1293" applyFont="1" applyFill="1" applyBorder="1" applyAlignment="1">
      <alignment horizontal="centerContinuous"/>
    </xf>
    <xf numFmtId="4" fontId="46" fillId="0" borderId="40" xfId="1293" applyNumberFormat="1" applyFont="1" applyFill="1" applyBorder="1"/>
    <xf numFmtId="4" fontId="13" fillId="0" borderId="41" xfId="463" applyNumberFormat="1" applyFont="1" applyFill="1" applyBorder="1"/>
    <xf numFmtId="0" fontId="46" fillId="0" borderId="42" xfId="1293" applyFont="1" applyFill="1" applyBorder="1"/>
    <xf numFmtId="2" fontId="46" fillId="0" borderId="24" xfId="1293" applyNumberFormat="1" applyFont="1" applyFill="1" applyBorder="1"/>
    <xf numFmtId="0" fontId="46" fillId="0" borderId="24" xfId="1293" applyFont="1" applyFill="1" applyBorder="1" applyAlignment="1">
      <alignment horizontal="centerContinuous"/>
    </xf>
    <xf numFmtId="4" fontId="46" fillId="0" borderId="24" xfId="1293" applyNumberFormat="1" applyFont="1" applyFill="1" applyBorder="1"/>
    <xf numFmtId="0" fontId="46" fillId="0" borderId="51" xfId="1293" applyFont="1" applyFill="1" applyBorder="1"/>
    <xf numFmtId="2" fontId="46" fillId="0" borderId="20" xfId="1293" applyNumberFormat="1" applyFont="1" applyFill="1" applyBorder="1"/>
    <xf numFmtId="0" fontId="46" fillId="0" borderId="20" xfId="1293" applyFont="1" applyFill="1" applyBorder="1" applyAlignment="1">
      <alignment horizontal="centerContinuous"/>
    </xf>
    <xf numFmtId="4" fontId="46" fillId="0" borderId="20" xfId="1293" applyNumberFormat="1" applyFont="1" applyFill="1" applyBorder="1"/>
    <xf numFmtId="0" fontId="46" fillId="0" borderId="44" xfId="1293" applyFont="1" applyFill="1" applyBorder="1"/>
    <xf numFmtId="0" fontId="46" fillId="0" borderId="45" xfId="1293" applyFont="1" applyFill="1" applyBorder="1"/>
    <xf numFmtId="0" fontId="45" fillId="0" borderId="45" xfId="1293" applyFont="1" applyFill="1" applyBorder="1" applyAlignment="1">
      <alignment horizontal="right"/>
    </xf>
    <xf numFmtId="4" fontId="45" fillId="0" borderId="46" xfId="1293" applyNumberFormat="1" applyFont="1" applyFill="1" applyBorder="1" applyAlignment="1">
      <alignment horizontal="right"/>
    </xf>
    <xf numFmtId="0" fontId="46" fillId="0" borderId="0" xfId="1278" applyFont="1" applyFill="1" applyBorder="1"/>
    <xf numFmtId="4" fontId="46" fillId="0" borderId="0" xfId="1278" applyNumberFormat="1" applyFont="1" applyFill="1" applyBorder="1"/>
    <xf numFmtId="0" fontId="8" fillId="0" borderId="39" xfId="0" applyFont="1" applyFill="1" applyBorder="1"/>
    <xf numFmtId="2" fontId="8" fillId="0" borderId="40" xfId="0" applyNumberFormat="1" applyFont="1" applyFill="1" applyBorder="1" applyAlignment="1"/>
    <xf numFmtId="4" fontId="8" fillId="0" borderId="40" xfId="0" applyNumberFormat="1" applyFont="1" applyFill="1" applyBorder="1" applyAlignment="1">
      <alignment horizontal="right"/>
    </xf>
    <xf numFmtId="0" fontId="46" fillId="0" borderId="42" xfId="1278" quotePrefix="1" applyFont="1" applyFill="1" applyBorder="1" applyAlignment="1">
      <alignment horizontal="left"/>
    </xf>
    <xf numFmtId="2" fontId="46" fillId="0" borderId="24" xfId="1288" applyNumberFormat="1" applyFont="1" applyFill="1" applyBorder="1" applyAlignment="1"/>
    <xf numFmtId="0" fontId="46" fillId="0" borderId="24" xfId="1278" applyFont="1" applyFill="1" applyBorder="1" applyAlignment="1">
      <alignment horizontal="center"/>
    </xf>
    <xf numFmtId="4" fontId="46" fillId="0" borderId="24" xfId="1278" applyNumberFormat="1" applyFont="1" applyFill="1" applyBorder="1" applyAlignment="1">
      <alignment horizontal="right"/>
    </xf>
    <xf numFmtId="0" fontId="46" fillId="0" borderId="42" xfId="1278" applyFont="1" applyFill="1" applyBorder="1"/>
    <xf numFmtId="0" fontId="46" fillId="0" borderId="24" xfId="1288" applyFont="1" applyFill="1" applyBorder="1" applyAlignment="1"/>
    <xf numFmtId="4" fontId="46" fillId="0" borderId="24" xfId="1288" applyNumberFormat="1" applyFont="1" applyFill="1" applyBorder="1" applyAlignment="1"/>
    <xf numFmtId="4" fontId="46" fillId="0" borderId="24" xfId="1278" applyNumberFormat="1" applyFont="1" applyFill="1" applyBorder="1" applyAlignment="1"/>
    <xf numFmtId="2" fontId="46" fillId="0" borderId="24" xfId="1278" applyNumberFormat="1" applyFont="1" applyFill="1" applyBorder="1" applyAlignment="1">
      <alignment horizontal="right"/>
    </xf>
    <xf numFmtId="0" fontId="45" fillId="0" borderId="42" xfId="1278" applyFont="1" applyFill="1" applyBorder="1" applyAlignment="1">
      <alignment horizontal="left"/>
    </xf>
    <xf numFmtId="0" fontId="45" fillId="0" borderId="24" xfId="1278" applyFont="1" applyFill="1" applyBorder="1" applyAlignment="1">
      <alignment horizontal="left"/>
    </xf>
    <xf numFmtId="0" fontId="45" fillId="0" borderId="24" xfId="1278" applyFont="1" applyFill="1" applyBorder="1" applyAlignment="1">
      <alignment horizontal="center"/>
    </xf>
    <xf numFmtId="4" fontId="45" fillId="0" borderId="43" xfId="1278" applyNumberFormat="1" applyFont="1" applyFill="1" applyBorder="1" applyAlignment="1"/>
    <xf numFmtId="0" fontId="45" fillId="0" borderId="44" xfId="1278" applyFont="1" applyFill="1" applyBorder="1" applyAlignment="1">
      <alignment horizontal="left"/>
    </xf>
    <xf numFmtId="0" fontId="45" fillId="0" borderId="45" xfId="1278" applyFont="1" applyFill="1" applyBorder="1"/>
    <xf numFmtId="0" fontId="45" fillId="0" borderId="45" xfId="1278" applyFont="1" applyFill="1" applyBorder="1" applyAlignment="1">
      <alignment horizontal="center"/>
    </xf>
    <xf numFmtId="4" fontId="45" fillId="0" borderId="46" xfId="1278" applyNumberFormat="1" applyFont="1" applyFill="1" applyBorder="1" applyAlignment="1"/>
    <xf numFmtId="4" fontId="20" fillId="0" borderId="43" xfId="1293" applyNumberFormat="1" applyFont="1" applyFill="1" applyBorder="1"/>
    <xf numFmtId="4" fontId="14" fillId="0" borderId="45" xfId="1293" applyNumberFormat="1" applyFont="1" applyFill="1" applyBorder="1" applyAlignment="1">
      <alignment horizontal="right" vertical="top"/>
    </xf>
    <xf numFmtId="43" fontId="14" fillId="0" borderId="46" xfId="924" applyFont="1" applyFill="1" applyBorder="1" applyAlignment="1">
      <alignment horizontal="right"/>
    </xf>
    <xf numFmtId="0" fontId="13" fillId="0" borderId="0" xfId="1293" applyFont="1" applyFill="1" applyBorder="1" applyAlignment="1">
      <alignment horizontal="right"/>
    </xf>
    <xf numFmtId="176" fontId="13" fillId="0" borderId="0" xfId="924" applyNumberFormat="1" applyFont="1" applyFill="1" applyBorder="1"/>
    <xf numFmtId="0" fontId="14" fillId="0" borderId="24" xfId="1278" applyFont="1" applyFill="1" applyBorder="1" applyAlignment="1">
      <alignment horizontal="center"/>
    </xf>
    <xf numFmtId="4" fontId="9" fillId="0" borderId="0" xfId="1293" applyNumberFormat="1" applyFont="1" applyFill="1" applyAlignment="1">
      <alignment horizontal="center"/>
    </xf>
    <xf numFmtId="4" fontId="8" fillId="0" borderId="73" xfId="1293" applyNumberFormat="1" applyFont="1" applyFill="1" applyBorder="1" applyAlignment="1">
      <alignment horizontal="center"/>
    </xf>
    <xf numFmtId="4" fontId="8" fillId="0" borderId="65" xfId="1293" applyNumberFormat="1" applyFont="1" applyFill="1" applyBorder="1"/>
    <xf numFmtId="0" fontId="8" fillId="0" borderId="60" xfId="1293" applyFont="1" applyFill="1" applyBorder="1"/>
    <xf numFmtId="4" fontId="8" fillId="0" borderId="19" xfId="1293" applyNumberFormat="1" applyFont="1" applyFill="1" applyBorder="1"/>
    <xf numFmtId="4" fontId="8" fillId="0" borderId="19" xfId="1293" applyNumberFormat="1" applyFont="1" applyFill="1" applyBorder="1" applyAlignment="1">
      <alignment horizontal="center"/>
    </xf>
    <xf numFmtId="4" fontId="8" fillId="0" borderId="61" xfId="1293" applyNumberFormat="1" applyFont="1" applyFill="1" applyBorder="1"/>
    <xf numFmtId="0" fontId="8" fillId="0" borderId="60" xfId="1293" quotePrefix="1" applyFont="1" applyFill="1" applyBorder="1"/>
    <xf numFmtId="4" fontId="136" fillId="0" borderId="61" xfId="1293" applyNumberFormat="1" applyFont="1" applyFill="1" applyBorder="1"/>
    <xf numFmtId="0" fontId="8" fillId="0" borderId="62" xfId="1293" applyFont="1" applyFill="1" applyBorder="1"/>
    <xf numFmtId="4" fontId="8" fillId="0" borderId="63" xfId="1293" applyNumberFormat="1" applyFont="1" applyFill="1" applyBorder="1"/>
    <xf numFmtId="4" fontId="8" fillId="0" borderId="63" xfId="1293" applyNumberFormat="1" applyFont="1" applyFill="1" applyBorder="1" applyAlignment="1">
      <alignment horizontal="center"/>
    </xf>
    <xf numFmtId="4" fontId="9" fillId="0" borderId="63" xfId="1293" applyNumberFormat="1" applyFont="1" applyFill="1" applyBorder="1" applyAlignment="1">
      <alignment horizontal="right"/>
    </xf>
    <xf numFmtId="4" fontId="9" fillId="0" borderId="64" xfId="1293" applyNumberFormat="1" applyFont="1" applyFill="1" applyBorder="1" applyAlignment="1">
      <alignment horizontal="right"/>
    </xf>
    <xf numFmtId="4" fontId="8" fillId="0" borderId="20" xfId="1293" applyNumberFormat="1" applyFont="1" applyFill="1" applyBorder="1"/>
    <xf numFmtId="4" fontId="8" fillId="0" borderId="20" xfId="1293" applyNumberFormat="1" applyFont="1" applyFill="1" applyBorder="1" applyAlignment="1">
      <alignment horizontal="centerContinuous"/>
    </xf>
    <xf numFmtId="2" fontId="8" fillId="0" borderId="43" xfId="1293" applyNumberFormat="1" applyFont="1" applyFill="1" applyBorder="1" applyAlignment="1">
      <alignment horizontal="right"/>
    </xf>
    <xf numFmtId="43" fontId="8" fillId="0" borderId="24" xfId="1488" applyNumberFormat="1" applyFont="1" applyFill="1" applyBorder="1"/>
    <xf numFmtId="2" fontId="8" fillId="0" borderId="43" xfId="1293" applyNumberFormat="1" applyFont="1" applyFill="1" applyBorder="1"/>
    <xf numFmtId="39" fontId="8" fillId="0" borderId="45" xfId="1293" applyNumberFormat="1" applyFont="1" applyFill="1" applyBorder="1" applyAlignment="1">
      <alignment horizontal="center"/>
    </xf>
    <xf numFmtId="43" fontId="9" fillId="0" borderId="46" xfId="1490" applyNumberFormat="1" applyFont="1" applyFill="1" applyBorder="1" applyAlignment="1" applyProtection="1">
      <alignment horizontal="right" vertical="center"/>
    </xf>
    <xf numFmtId="169" fontId="8" fillId="0" borderId="40" xfId="1485" applyFont="1" applyFill="1" applyBorder="1"/>
    <xf numFmtId="39" fontId="8" fillId="0" borderId="40" xfId="1293" applyNumberFormat="1" applyFont="1" applyFill="1" applyBorder="1" applyAlignment="1">
      <alignment horizontal="center"/>
    </xf>
    <xf numFmtId="43" fontId="8" fillId="0" borderId="40" xfId="1488" applyNumberFormat="1" applyFont="1" applyFill="1" applyBorder="1" applyAlignment="1">
      <alignment horizontal="right"/>
    </xf>
    <xf numFmtId="4" fontId="8" fillId="0" borderId="41" xfId="1293" applyNumberFormat="1" applyFont="1" applyFill="1" applyBorder="1" applyAlignment="1">
      <alignment horizontal="right"/>
    </xf>
    <xf numFmtId="4" fontId="8" fillId="0" borderId="43" xfId="1293" applyNumberFormat="1" applyFont="1" applyFill="1" applyBorder="1" applyAlignment="1">
      <alignment horizontal="right"/>
    </xf>
    <xf numFmtId="169" fontId="8" fillId="0" borderId="0" xfId="1485" applyFont="1" applyFill="1" applyBorder="1" applyAlignment="1">
      <alignment horizontal="right" vertical="center"/>
    </xf>
    <xf numFmtId="0" fontId="8" fillId="0" borderId="0" xfId="1297" applyFont="1" applyFill="1" applyBorder="1" applyAlignment="1" applyProtection="1">
      <alignment horizontal="center" vertical="center"/>
    </xf>
    <xf numFmtId="4" fontId="9" fillId="0" borderId="0" xfId="1297" applyNumberFormat="1" applyFont="1" applyFill="1" applyBorder="1" applyAlignment="1" applyProtection="1">
      <alignment horizontal="right" vertical="center"/>
    </xf>
    <xf numFmtId="194" fontId="9" fillId="0" borderId="0" xfId="1297" applyNumberFormat="1" applyFont="1" applyFill="1" applyBorder="1" applyAlignment="1" applyProtection="1">
      <alignment horizontal="right" vertical="center"/>
    </xf>
    <xf numFmtId="0" fontId="8" fillId="0" borderId="42" xfId="1297" applyFont="1" applyFill="1" applyBorder="1" applyAlignment="1" applyProtection="1">
      <alignment horizontal="left" vertical="center"/>
    </xf>
    <xf numFmtId="169" fontId="8" fillId="0" borderId="24" xfId="1485" applyFont="1" applyFill="1" applyBorder="1" applyAlignment="1">
      <alignment horizontal="right" vertical="center"/>
    </xf>
    <xf numFmtId="0" fontId="8" fillId="0" borderId="24" xfId="1297" applyFont="1" applyFill="1" applyBorder="1" applyAlignment="1" applyProtection="1">
      <alignment horizontal="center" vertical="center"/>
    </xf>
    <xf numFmtId="4" fontId="8" fillId="0" borderId="24" xfId="1297" applyNumberFormat="1" applyFont="1" applyFill="1" applyBorder="1" applyAlignment="1" applyProtection="1">
      <alignment horizontal="right" vertical="center"/>
    </xf>
    <xf numFmtId="4" fontId="8" fillId="0" borderId="43" xfId="1297" applyNumberFormat="1" applyFont="1" applyFill="1" applyBorder="1" applyAlignment="1" applyProtection="1">
      <alignment horizontal="right" vertical="center"/>
    </xf>
    <xf numFmtId="0" fontId="8" fillId="0" borderId="0" xfId="1292" applyFont="1" applyFill="1" applyBorder="1"/>
    <xf numFmtId="0" fontId="8" fillId="0" borderId="0" xfId="1292" applyFont="1" applyFill="1" applyBorder="1" applyAlignment="1">
      <alignment horizontal="right"/>
    </xf>
    <xf numFmtId="4" fontId="9" fillId="0" borderId="0" xfId="1292" applyNumberFormat="1" applyFont="1" applyFill="1" applyBorder="1" applyAlignment="1" applyProtection="1">
      <alignment horizontal="right"/>
    </xf>
    <xf numFmtId="0" fontId="9" fillId="0" borderId="0" xfId="1297" applyFont="1" applyFill="1" applyBorder="1" applyAlignment="1" applyProtection="1">
      <alignment vertical="center"/>
    </xf>
    <xf numFmtId="4" fontId="9" fillId="0" borderId="0" xfId="1297" applyNumberFormat="1" applyFont="1" applyFill="1" applyBorder="1" applyAlignment="1" applyProtection="1">
      <alignment vertical="center"/>
    </xf>
    <xf numFmtId="0" fontId="8" fillId="0" borderId="42" xfId="1297" quotePrefix="1" applyFont="1" applyFill="1" applyBorder="1" applyAlignment="1" applyProtection="1">
      <alignment horizontal="left" vertical="center"/>
    </xf>
    <xf numFmtId="169" fontId="8" fillId="0" borderId="24" xfId="1485" applyFont="1" applyFill="1" applyBorder="1" applyAlignment="1" applyProtection="1">
      <alignment horizontal="right" vertical="center"/>
    </xf>
    <xf numFmtId="181" fontId="8" fillId="0" borderId="24" xfId="1297" applyNumberFormat="1" applyFont="1" applyFill="1" applyBorder="1" applyAlignment="1" applyProtection="1">
      <alignment horizontal="right" vertical="center"/>
    </xf>
    <xf numFmtId="181" fontId="8" fillId="0" borderId="43" xfId="1297" applyNumberFormat="1" applyFont="1" applyFill="1" applyBorder="1" applyAlignment="1" applyProtection="1">
      <alignment horizontal="right" vertical="center"/>
    </xf>
    <xf numFmtId="181" fontId="9" fillId="0" borderId="0" xfId="1297" applyNumberFormat="1" applyFont="1" applyFill="1" applyBorder="1" applyAlignment="1" applyProtection="1">
      <alignment vertical="center"/>
    </xf>
    <xf numFmtId="0" fontId="8" fillId="0" borderId="0" xfId="1293" applyFont="1" applyFill="1" applyAlignment="1">
      <alignment vertical="top"/>
    </xf>
    <xf numFmtId="173" fontId="8" fillId="0" borderId="0" xfId="712" applyFont="1" applyFill="1" applyAlignment="1">
      <alignment vertical="top"/>
    </xf>
    <xf numFmtId="4" fontId="14" fillId="0" borderId="43" xfId="924" applyNumberFormat="1" applyFont="1" applyFill="1" applyBorder="1" applyAlignment="1" applyProtection="1">
      <alignment horizontal="right" vertical="center"/>
      <protection locked="0"/>
    </xf>
    <xf numFmtId="0" fontId="13" fillId="0" borderId="40" xfId="1297" applyFont="1" applyFill="1" applyBorder="1" applyAlignment="1" applyProtection="1">
      <alignment horizontal="left" vertical="center"/>
    </xf>
    <xf numFmtId="4" fontId="14" fillId="0" borderId="25" xfId="924" applyNumberFormat="1" applyFont="1" applyFill="1" applyBorder="1" applyAlignment="1">
      <alignment horizontal="right" vertical="center"/>
    </xf>
    <xf numFmtId="0" fontId="8" fillId="0" borderId="66" xfId="0" applyFont="1" applyFill="1" applyBorder="1"/>
    <xf numFmtId="2" fontId="146" fillId="0" borderId="24" xfId="0" applyNumberFormat="1" applyFont="1" applyFill="1" applyBorder="1"/>
    <xf numFmtId="0" fontId="8" fillId="0" borderId="69" xfId="1293" applyFont="1" applyFill="1" applyBorder="1"/>
    <xf numFmtId="169" fontId="8" fillId="0" borderId="69" xfId="1485" applyFont="1" applyFill="1" applyBorder="1"/>
    <xf numFmtId="39" fontId="8" fillId="0" borderId="69" xfId="1293" applyNumberFormat="1" applyFont="1" applyFill="1" applyBorder="1" applyAlignment="1">
      <alignment horizontal="center"/>
    </xf>
    <xf numFmtId="39" fontId="9" fillId="0" borderId="69" xfId="1293" quotePrefix="1" applyNumberFormat="1" applyFont="1" applyFill="1" applyBorder="1" applyAlignment="1">
      <alignment horizontal="right"/>
    </xf>
    <xf numFmtId="4" fontId="9" fillId="0" borderId="69" xfId="1293" applyNumberFormat="1" applyFont="1" applyFill="1" applyBorder="1" applyAlignment="1">
      <alignment horizontal="right"/>
    </xf>
    <xf numFmtId="39" fontId="9" fillId="0" borderId="24" xfId="1293" quotePrefix="1" applyNumberFormat="1" applyFont="1" applyFill="1" applyBorder="1" applyAlignment="1">
      <alignment horizontal="right"/>
    </xf>
    <xf numFmtId="169" fontId="8" fillId="0" borderId="20" xfId="1485" applyFont="1" applyFill="1" applyBorder="1"/>
    <xf numFmtId="0" fontId="14" fillId="0" borderId="99" xfId="1293" applyFont="1" applyFill="1" applyBorder="1" applyAlignment="1">
      <alignment horizontal="center"/>
    </xf>
    <xf numFmtId="43" fontId="14" fillId="0" borderId="50" xfId="924" applyFont="1" applyFill="1" applyBorder="1"/>
    <xf numFmtId="173" fontId="146" fillId="0" borderId="0" xfId="1452" applyFont="1" applyFill="1"/>
    <xf numFmtId="173" fontId="140" fillId="0" borderId="0" xfId="1452" applyFont="1" applyFill="1"/>
    <xf numFmtId="173" fontId="140" fillId="0" borderId="0" xfId="1452" applyFont="1" applyFill="1" applyAlignment="1">
      <alignment horizontal="center"/>
    </xf>
    <xf numFmtId="173" fontId="140" fillId="0" borderId="0" xfId="1452" applyFont="1" applyFill="1" applyAlignment="1">
      <alignment horizontal="right"/>
    </xf>
    <xf numFmtId="173" fontId="140" fillId="0" borderId="24" xfId="1452" applyFont="1" applyFill="1" applyBorder="1"/>
    <xf numFmtId="173" fontId="140" fillId="0" borderId="24" xfId="1452" applyFont="1" applyFill="1" applyBorder="1" applyAlignment="1">
      <alignment horizontal="center"/>
    </xf>
    <xf numFmtId="173" fontId="140" fillId="0" borderId="24" xfId="1452" applyFont="1" applyFill="1" applyBorder="1" applyAlignment="1">
      <alignment horizontal="right"/>
    </xf>
    <xf numFmtId="173" fontId="140" fillId="0" borderId="24" xfId="1452" applyFont="1" applyFill="1" applyBorder="1" applyAlignment="1">
      <alignment wrapText="1"/>
    </xf>
    <xf numFmtId="173" fontId="140" fillId="0" borderId="24" xfId="1452" applyFont="1" applyFill="1" applyBorder="1" applyAlignment="1"/>
    <xf numFmtId="173" fontId="146" fillId="0" borderId="24" xfId="1452" applyFont="1" applyFill="1" applyBorder="1" applyAlignment="1"/>
    <xf numFmtId="173" fontId="146" fillId="0" borderId="24" xfId="1452" applyFont="1" applyFill="1" applyBorder="1" applyAlignment="1">
      <alignment horizontal="right"/>
    </xf>
    <xf numFmtId="173" fontId="146" fillId="0" borderId="0" xfId="1452" applyFont="1" applyFill="1" applyBorder="1" applyAlignment="1">
      <alignment horizontal="center"/>
    </xf>
    <xf numFmtId="173" fontId="146" fillId="0" borderId="0" xfId="1452" applyFont="1" applyFill="1" applyBorder="1" applyAlignment="1">
      <alignment horizontal="right"/>
    </xf>
    <xf numFmtId="4" fontId="8" fillId="0" borderId="19" xfId="865" applyNumberFormat="1" applyFont="1" applyFill="1" applyBorder="1" applyAlignment="1">
      <alignment horizontal="right"/>
    </xf>
    <xf numFmtId="4" fontId="8" fillId="0" borderId="19" xfId="1482" applyNumberFormat="1" applyFont="1" applyFill="1" applyBorder="1"/>
    <xf numFmtId="4" fontId="8" fillId="0" borderId="33" xfId="865" applyNumberFormat="1" applyFont="1" applyFill="1" applyBorder="1"/>
    <xf numFmtId="4" fontId="8" fillId="0" borderId="19" xfId="865" applyNumberFormat="1" applyFont="1" applyFill="1" applyBorder="1" applyAlignment="1">
      <alignment horizontal="right" vertical="center"/>
    </xf>
    <xf numFmtId="4" fontId="8" fillId="0" borderId="19" xfId="1482" applyNumberFormat="1" applyFont="1" applyFill="1" applyBorder="1" applyAlignment="1">
      <alignment vertical="center"/>
    </xf>
    <xf numFmtId="4" fontId="8" fillId="0" borderId="33" xfId="0" applyNumberFormat="1" applyFont="1" applyFill="1" applyBorder="1"/>
    <xf numFmtId="4" fontId="8" fillId="0" borderId="102" xfId="865" applyNumberFormat="1" applyFont="1" applyFill="1" applyBorder="1" applyAlignment="1">
      <alignment horizontal="right"/>
    </xf>
    <xf numFmtId="4" fontId="8" fillId="0" borderId="102" xfId="1482" applyNumberFormat="1" applyFont="1" applyFill="1" applyBorder="1"/>
    <xf numFmtId="4" fontId="8" fillId="0" borderId="37" xfId="865" applyNumberFormat="1" applyFont="1" applyFill="1" applyBorder="1"/>
    <xf numFmtId="4" fontId="9" fillId="0" borderId="19" xfId="865" applyNumberFormat="1" applyFont="1" applyFill="1" applyBorder="1" applyAlignment="1">
      <alignment horizontal="right"/>
    </xf>
    <xf numFmtId="4" fontId="9" fillId="0" borderId="33" xfId="865" applyNumberFormat="1" applyFont="1" applyFill="1" applyBorder="1"/>
    <xf numFmtId="0" fontId="8" fillId="48" borderId="0" xfId="970" applyFont="1" applyFill="1"/>
    <xf numFmtId="0" fontId="8" fillId="48" borderId="40" xfId="970" applyFont="1" applyFill="1" applyBorder="1" applyAlignment="1">
      <alignment horizontal="center"/>
    </xf>
    <xf numFmtId="4" fontId="8" fillId="48" borderId="40" xfId="970" applyNumberFormat="1" applyFont="1" applyFill="1" applyBorder="1"/>
    <xf numFmtId="0" fontId="8" fillId="0" borderId="0" xfId="970" applyFont="1" applyFill="1"/>
    <xf numFmtId="0" fontId="9" fillId="70" borderId="0" xfId="970" applyFont="1" applyFill="1" applyBorder="1"/>
    <xf numFmtId="0" fontId="8" fillId="48" borderId="39" xfId="970" applyFont="1" applyFill="1" applyBorder="1"/>
    <xf numFmtId="4" fontId="8" fillId="0" borderId="0" xfId="0" applyNumberFormat="1" applyFont="1"/>
    <xf numFmtId="0" fontId="0" fillId="0" borderId="0" xfId="0"/>
    <xf numFmtId="2" fontId="33" fillId="0" borderId="0" xfId="0" applyNumberFormat="1" applyFont="1" applyFill="1" applyAlignment="1">
      <alignment horizontal="right" vertical="top"/>
    </xf>
    <xf numFmtId="2" fontId="33" fillId="0" borderId="0" xfId="0" applyNumberFormat="1" applyFont="1" applyAlignment="1">
      <alignment vertical="top"/>
    </xf>
    <xf numFmtId="4" fontId="0" fillId="69" borderId="0" xfId="0" applyNumberFormat="1" applyFill="1"/>
    <xf numFmtId="0" fontId="0" fillId="69" borderId="0" xfId="0" applyFill="1"/>
    <xf numFmtId="4" fontId="9" fillId="69" borderId="0" xfId="0" applyNumberFormat="1" applyFont="1" applyFill="1"/>
    <xf numFmtId="4" fontId="0" fillId="0" borderId="143" xfId="0" applyNumberFormat="1" applyBorder="1"/>
    <xf numFmtId="4" fontId="0" fillId="0" borderId="141" xfId="0" applyNumberFormat="1" applyBorder="1"/>
    <xf numFmtId="4" fontId="0" fillId="0" borderId="144" xfId="0" applyNumberFormat="1" applyBorder="1"/>
    <xf numFmtId="0" fontId="0" fillId="0" borderId="0" xfId="0"/>
    <xf numFmtId="0" fontId="0" fillId="0" borderId="0" xfId="0" applyFill="1"/>
    <xf numFmtId="0" fontId="0" fillId="0" borderId="0" xfId="0" applyBorder="1" applyAlignment="1">
      <alignment horizontal="center"/>
    </xf>
    <xf numFmtId="0" fontId="0" fillId="0" borderId="0" xfId="0"/>
    <xf numFmtId="0" fontId="0" fillId="0" borderId="0" xfId="0"/>
    <xf numFmtId="0" fontId="0" fillId="0" borderId="0" xfId="0"/>
    <xf numFmtId="4" fontId="0" fillId="0" borderId="0" xfId="0" applyNumberFormat="1" applyAlignment="1">
      <alignment horizontal="center"/>
    </xf>
    <xf numFmtId="4" fontId="9" fillId="0" borderId="145" xfId="0" applyNumberFormat="1" applyFont="1" applyBorder="1"/>
    <xf numFmtId="4" fontId="0" fillId="0" borderId="146" xfId="0" applyNumberFormat="1" applyBorder="1" applyAlignment="1">
      <alignment horizontal="center"/>
    </xf>
    <xf numFmtId="4" fontId="0" fillId="0" borderId="146" xfId="0" applyNumberFormat="1" applyBorder="1"/>
    <xf numFmtId="4" fontId="0" fillId="0" borderId="147" xfId="0" applyNumberFormat="1" applyBorder="1"/>
    <xf numFmtId="4" fontId="0" fillId="0" borderId="74" xfId="0" applyNumberFormat="1" applyBorder="1"/>
    <xf numFmtId="4" fontId="0" fillId="0" borderId="0" xfId="0" applyNumberFormat="1" applyBorder="1" applyAlignment="1">
      <alignment horizontal="center"/>
    </xf>
    <xf numFmtId="4" fontId="0" fillId="0" borderId="0" xfId="0" applyNumberFormat="1" applyBorder="1"/>
    <xf numFmtId="4" fontId="0" fillId="0" borderId="78" xfId="0" applyNumberFormat="1" applyBorder="1"/>
    <xf numFmtId="4" fontId="0" fillId="0" borderId="67" xfId="0" applyNumberFormat="1" applyBorder="1"/>
    <xf numFmtId="4" fontId="0" fillId="0" borderId="34" xfId="0" applyNumberFormat="1" applyBorder="1" applyAlignment="1">
      <alignment horizontal="center"/>
    </xf>
    <xf numFmtId="4" fontId="0" fillId="0" borderId="34" xfId="0" applyNumberFormat="1" applyBorder="1"/>
    <xf numFmtId="4" fontId="0" fillId="0" borderId="128" xfId="0" applyNumberFormat="1" applyBorder="1"/>
    <xf numFmtId="4" fontId="9" fillId="0" borderId="0" xfId="0" applyNumberFormat="1" applyFont="1" applyAlignment="1">
      <alignment horizontal="center"/>
    </xf>
    <xf numFmtId="0" fontId="9" fillId="0" borderId="0" xfId="970" applyFont="1"/>
    <xf numFmtId="4" fontId="153" fillId="0" borderId="0" xfId="0" applyNumberFormat="1" applyFont="1"/>
    <xf numFmtId="0" fontId="30" fillId="66" borderId="25" xfId="1293" applyFont="1" applyFill="1" applyBorder="1"/>
    <xf numFmtId="0" fontId="29" fillId="48" borderId="67" xfId="1293" applyFont="1" applyFill="1" applyBorder="1"/>
    <xf numFmtId="0" fontId="29" fillId="48" borderId="148" xfId="1293" applyFont="1" applyFill="1" applyBorder="1"/>
    <xf numFmtId="4" fontId="30" fillId="66" borderId="148" xfId="1293" applyNumberFormat="1" applyFont="1" applyFill="1" applyBorder="1" applyAlignment="1">
      <alignment horizontal="right"/>
    </xf>
    <xf numFmtId="4" fontId="35" fillId="79" borderId="0" xfId="1293" applyNumberFormat="1" applyFont="1" applyFill="1" applyBorder="1"/>
    <xf numFmtId="0" fontId="29" fillId="70" borderId="0" xfId="1293" applyFont="1" applyFill="1" applyBorder="1"/>
    <xf numFmtId="4" fontId="35" fillId="48" borderId="0" xfId="1443" applyNumberFormat="1" applyFont="1" applyFill="1" applyBorder="1"/>
    <xf numFmtId="0" fontId="30" fillId="66" borderId="67" xfId="1293" applyFont="1" applyFill="1" applyBorder="1"/>
    <xf numFmtId="0" fontId="29" fillId="70" borderId="34" xfId="1293" applyFont="1" applyFill="1" applyBorder="1"/>
    <xf numFmtId="0" fontId="29" fillId="70" borderId="74" xfId="1060" applyFont="1" applyFill="1" applyBorder="1" applyAlignment="1" applyProtection="1">
      <alignment horizontal="left" vertical="center"/>
    </xf>
    <xf numFmtId="2" fontId="29" fillId="70" borderId="74" xfId="1060" applyNumberFormat="1" applyFont="1" applyFill="1" applyBorder="1" applyAlignment="1" applyProtection="1">
      <alignment horizontal="right" vertical="center"/>
    </xf>
    <xf numFmtId="0" fontId="29" fillId="70" borderId="0"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xf>
    <xf numFmtId="4" fontId="29" fillId="70" borderId="0" xfId="1060" applyNumberFormat="1" applyFont="1" applyFill="1" applyBorder="1" applyAlignment="1" applyProtection="1">
      <alignment horizontal="right" vertical="center"/>
      <protection locked="0"/>
    </xf>
    <xf numFmtId="4" fontId="29" fillId="70" borderId="0" xfId="1060" applyNumberFormat="1" applyFont="1" applyFill="1" applyBorder="1" applyAlignment="1" applyProtection="1">
      <alignment horizontal="right" vertical="center"/>
    </xf>
    <xf numFmtId="0" fontId="29" fillId="72" borderId="74" xfId="1060" applyFont="1" applyFill="1" applyBorder="1" applyAlignment="1" applyProtection="1">
      <alignment horizontal="left" vertical="center"/>
    </xf>
    <xf numFmtId="0" fontId="29" fillId="70" borderId="74" xfId="1060" applyFont="1" applyFill="1" applyBorder="1" applyAlignment="1" applyProtection="1">
      <alignment horizontal="left" vertical="center" wrapText="1"/>
    </xf>
    <xf numFmtId="0" fontId="29" fillId="70" borderId="74" xfId="1293" applyFont="1" applyFill="1" applyBorder="1"/>
    <xf numFmtId="0" fontId="30" fillId="66" borderId="150" xfId="1060" applyFont="1" applyFill="1" applyBorder="1" applyAlignment="1" applyProtection="1">
      <alignment horizontal="left" vertical="center"/>
    </xf>
    <xf numFmtId="0" fontId="30" fillId="70" borderId="0" xfId="1060" quotePrefix="1" applyFont="1" applyFill="1" applyBorder="1" applyAlignment="1" applyProtection="1">
      <alignment horizontal="left" vertical="center"/>
    </xf>
    <xf numFmtId="0" fontId="29" fillId="70" borderId="0" xfId="1060" quotePrefix="1" applyFont="1" applyFill="1" applyBorder="1" applyAlignment="1" applyProtection="1">
      <alignment horizontal="left" vertical="center"/>
    </xf>
    <xf numFmtId="0" fontId="29" fillId="70" borderId="149" xfId="1060" applyFont="1" applyFill="1" applyBorder="1" applyAlignment="1" applyProtection="1">
      <alignment horizontal="left" vertical="center"/>
    </xf>
    <xf numFmtId="2" fontId="29" fillId="70" borderId="149" xfId="1060" applyNumberFormat="1" applyFont="1" applyFill="1" applyBorder="1" applyAlignment="1" applyProtection="1">
      <alignment horizontal="right" vertical="center"/>
    </xf>
    <xf numFmtId="0" fontId="29" fillId="70" borderId="149"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protection locked="0"/>
    </xf>
    <xf numFmtId="0" fontId="29" fillId="70" borderId="149" xfId="1060" applyFont="1" applyFill="1" applyBorder="1" applyAlignment="1" applyProtection="1">
      <alignment horizontal="left" vertical="center" wrapText="1"/>
    </xf>
    <xf numFmtId="0" fontId="29" fillId="72" borderId="149" xfId="1060" applyFont="1" applyFill="1" applyBorder="1" applyAlignment="1" applyProtection="1">
      <alignment horizontal="left" vertical="center"/>
    </xf>
    <xf numFmtId="0" fontId="29" fillId="70" borderId="151" xfId="1060" applyFont="1" applyFill="1" applyBorder="1" applyAlignment="1" applyProtection="1">
      <alignment horizontal="left" vertical="center"/>
    </xf>
    <xf numFmtId="0" fontId="29" fillId="70" borderId="151" xfId="1060" applyFont="1" applyFill="1" applyBorder="1" applyAlignment="1">
      <alignment vertical="center"/>
    </xf>
    <xf numFmtId="194" fontId="30" fillId="66" borderId="149" xfId="1060" applyNumberFormat="1" applyFont="1" applyFill="1" applyBorder="1" applyAlignment="1" applyProtection="1">
      <alignment horizontal="right" vertical="center"/>
    </xf>
    <xf numFmtId="0" fontId="29" fillId="70" borderId="148" xfId="1293" applyFont="1" applyFill="1" applyBorder="1"/>
    <xf numFmtId="4" fontId="29" fillId="66" borderId="0" xfId="1060" applyNumberFormat="1" applyFont="1" applyFill="1" applyBorder="1" applyAlignment="1" applyProtection="1">
      <alignment horizontal="right" vertical="center"/>
    </xf>
    <xf numFmtId="0" fontId="29" fillId="70" borderId="152" xfId="1293" applyFont="1" applyFill="1" applyBorder="1"/>
    <xf numFmtId="0" fontId="29" fillId="70" borderId="153" xfId="1293" applyFont="1" applyFill="1" applyBorder="1"/>
    <xf numFmtId="0" fontId="30" fillId="66" borderId="34" xfId="1293" applyFont="1" applyFill="1" applyBorder="1"/>
    <xf numFmtId="0" fontId="29" fillId="48" borderId="19" xfId="1293" applyFont="1" applyFill="1" applyBorder="1"/>
    <xf numFmtId="0" fontId="9" fillId="70" borderId="19" xfId="970" applyFont="1" applyFill="1" applyBorder="1" applyAlignment="1">
      <alignment vertical="top"/>
    </xf>
    <xf numFmtId="193" fontId="9" fillId="70" borderId="0" xfId="970" applyNumberFormat="1" applyFont="1" applyFill="1"/>
    <xf numFmtId="0" fontId="9" fillId="76" borderId="0" xfId="970" applyFont="1" applyFill="1" applyAlignment="1">
      <alignment wrapText="1"/>
    </xf>
    <xf numFmtId="0" fontId="8" fillId="70" borderId="0" xfId="970" applyFont="1" applyFill="1" applyAlignment="1">
      <alignment wrapText="1"/>
    </xf>
    <xf numFmtId="0" fontId="8" fillId="70" borderId="40" xfId="970" applyFont="1" applyFill="1" applyBorder="1"/>
    <xf numFmtId="10" fontId="8" fillId="70" borderId="149" xfId="970" applyNumberFormat="1" applyFont="1" applyFill="1" applyBorder="1"/>
    <xf numFmtId="0" fontId="8" fillId="70" borderId="149" xfId="970" applyFont="1" applyFill="1" applyBorder="1" applyAlignment="1">
      <alignment horizontal="center" vertical="center"/>
    </xf>
    <xf numFmtId="4" fontId="8" fillId="70" borderId="149" xfId="970" applyNumberFormat="1" applyFont="1" applyFill="1" applyBorder="1" applyAlignment="1">
      <alignment vertical="center"/>
    </xf>
    <xf numFmtId="4" fontId="8" fillId="70" borderId="155" xfId="970" applyNumberFormat="1" applyFont="1" applyFill="1" applyBorder="1"/>
    <xf numFmtId="0" fontId="8" fillId="70" borderId="149" xfId="970" applyFont="1" applyFill="1" applyBorder="1"/>
    <xf numFmtId="4" fontId="8" fillId="70" borderId="149" xfId="970" applyNumberFormat="1" applyFont="1" applyFill="1" applyBorder="1"/>
    <xf numFmtId="0" fontId="8" fillId="70" borderId="156" xfId="970" applyFont="1" applyFill="1" applyBorder="1"/>
    <xf numFmtId="0" fontId="8" fillId="70" borderId="157" xfId="970" applyFont="1" applyFill="1" applyBorder="1"/>
    <xf numFmtId="0" fontId="9" fillId="70" borderId="157" xfId="970" applyFont="1" applyFill="1" applyBorder="1" applyAlignment="1">
      <alignment horizontal="right"/>
    </xf>
    <xf numFmtId="4" fontId="9" fillId="76" borderId="158" xfId="970" applyNumberFormat="1" applyFont="1" applyFill="1" applyBorder="1"/>
    <xf numFmtId="0" fontId="8" fillId="66" borderId="0" xfId="970" applyFont="1" applyFill="1" applyBorder="1"/>
    <xf numFmtId="0" fontId="9" fillId="68" borderId="0" xfId="970" applyFont="1" applyFill="1" applyAlignment="1">
      <alignment wrapText="1"/>
    </xf>
    <xf numFmtId="4" fontId="8" fillId="70" borderId="111" xfId="970" applyNumberFormat="1" applyFont="1" applyFill="1" applyBorder="1"/>
    <xf numFmtId="4" fontId="9" fillId="68" borderId="158" xfId="970" applyNumberFormat="1" applyFont="1" applyFill="1" applyBorder="1"/>
    <xf numFmtId="0" fontId="8" fillId="70" borderId="159" xfId="970" applyFont="1" applyFill="1" applyBorder="1"/>
    <xf numFmtId="0" fontId="8" fillId="70" borderId="0" xfId="970" applyFill="1"/>
    <xf numFmtId="0" fontId="9" fillId="74" borderId="0" xfId="970" applyFont="1" applyFill="1" applyAlignment="1">
      <alignment wrapText="1"/>
    </xf>
    <xf numFmtId="4" fontId="9" fillId="74" borderId="158" xfId="970" applyNumberFormat="1" applyFont="1" applyFill="1" applyBorder="1"/>
    <xf numFmtId="0" fontId="9" fillId="66" borderId="0" xfId="970" applyFont="1" applyFill="1" applyAlignment="1">
      <alignment wrapText="1"/>
    </xf>
    <xf numFmtId="4" fontId="9" fillId="66" borderId="158" xfId="970" applyNumberFormat="1" applyFont="1" applyFill="1" applyBorder="1"/>
    <xf numFmtId="4" fontId="138" fillId="70" borderId="0" xfId="970" applyNumberFormat="1" applyFont="1" applyFill="1" applyBorder="1"/>
    <xf numFmtId="0" fontId="9" fillId="80" borderId="0" xfId="970" applyFont="1" applyFill="1" applyAlignment="1">
      <alignment wrapText="1"/>
    </xf>
    <xf numFmtId="4" fontId="9" fillId="80" borderId="158" xfId="970" applyNumberFormat="1" applyFont="1" applyFill="1" applyBorder="1"/>
    <xf numFmtId="0" fontId="9" fillId="75" borderId="0" xfId="970" applyFont="1" applyFill="1" applyAlignment="1">
      <alignment wrapText="1"/>
    </xf>
    <xf numFmtId="4" fontId="9" fillId="75" borderId="158" xfId="970" applyNumberFormat="1" applyFont="1" applyFill="1" applyBorder="1"/>
    <xf numFmtId="0" fontId="10" fillId="48" borderId="149" xfId="1295" applyFont="1" applyFill="1" applyBorder="1" applyAlignment="1">
      <alignment horizontal="left" wrapText="1"/>
    </xf>
    <xf numFmtId="43" fontId="10" fillId="48" borderId="149" xfId="462" applyFont="1" applyFill="1" applyBorder="1" applyAlignment="1">
      <alignment horizontal="centerContinuous" vertical="center"/>
    </xf>
    <xf numFmtId="4" fontId="50" fillId="48" borderId="149" xfId="924" applyNumberFormat="1" applyFont="1" applyFill="1" applyBorder="1" applyAlignment="1">
      <alignment horizontal="right"/>
    </xf>
    <xf numFmtId="4" fontId="50" fillId="48" borderId="149" xfId="924" applyNumberFormat="1" applyFont="1" applyFill="1" applyBorder="1"/>
    <xf numFmtId="43" fontId="10" fillId="48" borderId="149" xfId="462" applyFont="1" applyFill="1" applyBorder="1"/>
    <xf numFmtId="0" fontId="10" fillId="48" borderId="149" xfId="1295" applyFont="1" applyFill="1" applyBorder="1" applyAlignment="1">
      <alignment vertical="center" wrapText="1"/>
    </xf>
    <xf numFmtId="43" fontId="10" fillId="48" borderId="149" xfId="462" applyFont="1" applyFill="1" applyBorder="1" applyAlignment="1">
      <alignment horizontal="center" vertical="center"/>
    </xf>
    <xf numFmtId="43" fontId="10" fillId="48" borderId="149" xfId="462" applyFont="1" applyFill="1" applyBorder="1" applyAlignment="1">
      <alignment vertical="center"/>
    </xf>
    <xf numFmtId="4" fontId="50" fillId="48" borderId="149" xfId="924" applyNumberFormat="1" applyFont="1" applyFill="1" applyBorder="1" applyAlignment="1">
      <alignment vertical="center"/>
    </xf>
    <xf numFmtId="0" fontId="8" fillId="0" borderId="0" xfId="970" applyAlignment="1">
      <alignment vertical="center"/>
    </xf>
    <xf numFmtId="43" fontId="10" fillId="58" borderId="149" xfId="462" applyFont="1" applyFill="1" applyBorder="1"/>
    <xf numFmtId="0" fontId="10" fillId="48" borderId="149" xfId="1295" applyFont="1" applyFill="1" applyBorder="1"/>
    <xf numFmtId="39" fontId="10" fillId="48" borderId="149" xfId="1295" applyNumberFormat="1" applyFont="1" applyFill="1" applyBorder="1" applyAlignment="1">
      <alignment horizontal="center" vertical="center"/>
    </xf>
    <xf numFmtId="39" fontId="10" fillId="48" borderId="149" xfId="1295" applyNumberFormat="1" applyFont="1" applyFill="1" applyBorder="1"/>
    <xf numFmtId="0" fontId="10" fillId="48" borderId="149" xfId="1295" applyFont="1" applyFill="1" applyBorder="1" applyAlignment="1">
      <alignment horizontal="centerContinuous" vertical="center"/>
    </xf>
    <xf numFmtId="39" fontId="44" fillId="48" borderId="149" xfId="1295" quotePrefix="1" applyNumberFormat="1" applyFont="1" applyFill="1" applyBorder="1" applyAlignment="1">
      <alignment horizontal="left"/>
    </xf>
    <xf numFmtId="39" fontId="44" fillId="48" borderId="149" xfId="1295" quotePrefix="1" applyNumberFormat="1" applyFont="1" applyFill="1" applyBorder="1" applyAlignment="1">
      <alignment horizontal="left" vertical="center"/>
    </xf>
    <xf numFmtId="39" fontId="44" fillId="48" borderId="149" xfId="1295" applyNumberFormat="1" applyFont="1" applyFill="1" applyBorder="1"/>
    <xf numFmtId="0" fontId="44" fillId="48" borderId="149" xfId="1295" quotePrefix="1" applyFont="1" applyFill="1" applyBorder="1" applyAlignment="1">
      <alignment horizontal="left"/>
    </xf>
    <xf numFmtId="0" fontId="10" fillId="48" borderId="149" xfId="1295" applyFont="1" applyFill="1" applyBorder="1" applyAlignment="1">
      <alignment vertical="center"/>
    </xf>
    <xf numFmtId="39" fontId="10" fillId="48" borderId="149" xfId="1295" applyNumberFormat="1" applyFont="1" applyFill="1" applyBorder="1" applyAlignment="1">
      <alignment vertical="center"/>
    </xf>
    <xf numFmtId="0" fontId="44" fillId="48" borderId="149" xfId="1295" applyFont="1" applyFill="1" applyBorder="1" applyAlignment="1">
      <alignment horizontal="right"/>
    </xf>
    <xf numFmtId="39" fontId="44" fillId="48" borderId="149" xfId="1295" applyNumberFormat="1" applyFont="1" applyFill="1" applyBorder="1" applyAlignment="1">
      <alignment horizontal="right"/>
    </xf>
    <xf numFmtId="2" fontId="10" fillId="48" borderId="149" xfId="1295" applyNumberFormat="1" applyFont="1" applyFill="1" applyBorder="1"/>
    <xf numFmtId="39" fontId="89" fillId="61" borderId="149" xfId="1295" applyNumberFormat="1" applyFont="1" applyFill="1" applyBorder="1" applyAlignment="1">
      <alignment horizontal="right"/>
    </xf>
    <xf numFmtId="0" fontId="10" fillId="0" borderId="160" xfId="1295" applyFont="1" applyFill="1" applyBorder="1"/>
    <xf numFmtId="0" fontId="10" fillId="0" borderId="160" xfId="1295" applyFont="1" applyFill="1" applyBorder="1" applyAlignment="1">
      <alignment vertical="center"/>
    </xf>
    <xf numFmtId="0" fontId="44" fillId="0" borderId="160" xfId="1295" applyFont="1" applyFill="1" applyBorder="1" applyAlignment="1">
      <alignment horizontal="right"/>
    </xf>
    <xf numFmtId="39" fontId="89" fillId="0" borderId="160" xfId="1295" applyNumberFormat="1" applyFont="1" applyFill="1" applyBorder="1" applyAlignment="1">
      <alignment horizontal="right"/>
    </xf>
    <xf numFmtId="39" fontId="10" fillId="48" borderId="149" xfId="1295" applyNumberFormat="1" applyFont="1" applyFill="1" applyBorder="1" applyAlignment="1">
      <alignment horizontal="centerContinuous" vertical="center"/>
    </xf>
    <xf numFmtId="0" fontId="10" fillId="48" borderId="149" xfId="1295" quotePrefix="1" applyFont="1" applyFill="1" applyBorder="1" applyAlignment="1">
      <alignment horizontal="left"/>
    </xf>
    <xf numFmtId="43" fontId="10" fillId="48" borderId="149" xfId="462" applyFont="1" applyFill="1" applyBorder="1" applyAlignment="1">
      <alignment horizontal="centerContinuous"/>
    </xf>
    <xf numFmtId="2" fontId="44" fillId="48" borderId="149" xfId="1295" applyNumberFormat="1" applyFont="1" applyFill="1" applyBorder="1" applyAlignment="1">
      <alignment horizontal="right"/>
    </xf>
    <xf numFmtId="0" fontId="10" fillId="48" borderId="159" xfId="1295" applyFont="1" applyFill="1" applyBorder="1"/>
    <xf numFmtId="43" fontId="10" fillId="48" borderId="155" xfId="462" applyFont="1" applyFill="1" applyBorder="1"/>
    <xf numFmtId="2" fontId="10" fillId="48" borderId="155" xfId="1295" applyNumberFormat="1" applyFont="1" applyFill="1" applyBorder="1"/>
    <xf numFmtId="0" fontId="10" fillId="48" borderId="156" xfId="1295" applyFont="1" applyFill="1" applyBorder="1"/>
    <xf numFmtId="0" fontId="10" fillId="48" borderId="157" xfId="1295" applyFont="1" applyFill="1" applyBorder="1" applyAlignment="1">
      <alignment vertical="center"/>
    </xf>
    <xf numFmtId="0" fontId="10" fillId="48" borderId="157" xfId="1295" applyFont="1" applyFill="1" applyBorder="1"/>
    <xf numFmtId="0" fontId="44" fillId="48" borderId="157" xfId="1295" applyFont="1" applyFill="1" applyBorder="1" applyAlignment="1">
      <alignment horizontal="right"/>
    </xf>
    <xf numFmtId="39" fontId="44" fillId="48" borderId="158" xfId="1295" applyNumberFormat="1" applyFont="1" applyFill="1" applyBorder="1" applyAlignment="1">
      <alignment horizontal="right"/>
    </xf>
    <xf numFmtId="0" fontId="17" fillId="0" borderId="0" xfId="970" quotePrefix="1" applyFont="1" applyFill="1" applyBorder="1" applyAlignment="1">
      <alignment horizontal="left"/>
    </xf>
    <xf numFmtId="0" fontId="8" fillId="48" borderId="150" xfId="1295" applyFont="1" applyFill="1" applyBorder="1"/>
    <xf numFmtId="0" fontId="8" fillId="48" borderId="150" xfId="1295" applyFont="1" applyFill="1" applyBorder="1" applyAlignment="1">
      <alignment vertical="center"/>
    </xf>
    <xf numFmtId="0" fontId="8" fillId="48" borderId="150" xfId="1295" applyFont="1" applyFill="1" applyBorder="1" applyAlignment="1">
      <alignment horizontal="centerContinuous"/>
    </xf>
    <xf numFmtId="39" fontId="8" fillId="48" borderId="150" xfId="1295" applyNumberFormat="1" applyFont="1" applyFill="1" applyBorder="1"/>
    <xf numFmtId="0" fontId="17" fillId="0" borderId="75" xfId="970" quotePrefix="1" applyFont="1" applyFill="1" applyBorder="1" applyAlignment="1">
      <alignment horizontal="left"/>
    </xf>
    <xf numFmtId="0" fontId="8" fillId="48" borderId="161" xfId="1295" applyFont="1" applyFill="1" applyBorder="1"/>
    <xf numFmtId="39" fontId="8" fillId="48" borderId="162" xfId="1295" applyNumberFormat="1" applyFont="1" applyFill="1" applyBorder="1"/>
    <xf numFmtId="0" fontId="17" fillId="0" borderId="75" xfId="970" applyFont="1" applyFill="1" applyBorder="1"/>
    <xf numFmtId="0" fontId="17" fillId="0" borderId="53" xfId="970" applyFont="1" applyFill="1" applyBorder="1"/>
    <xf numFmtId="0" fontId="17" fillId="0" borderId="53" xfId="970" quotePrefix="1" applyFont="1" applyFill="1" applyBorder="1" applyAlignment="1">
      <alignment horizontal="left"/>
    </xf>
    <xf numFmtId="39" fontId="10" fillId="48" borderId="157" xfId="1295" applyNumberFormat="1" applyFont="1" applyFill="1" applyBorder="1" applyAlignment="1">
      <alignment horizontal="centerContinuous" vertical="center"/>
    </xf>
    <xf numFmtId="39" fontId="10" fillId="48" borderId="157" xfId="1295" applyNumberFormat="1" applyFont="1" applyFill="1" applyBorder="1"/>
    <xf numFmtId="39" fontId="44" fillId="48" borderId="157" xfId="1295" quotePrefix="1" applyNumberFormat="1" applyFont="1" applyFill="1" applyBorder="1" applyAlignment="1">
      <alignment horizontal="right"/>
    </xf>
    <xf numFmtId="2" fontId="44" fillId="48" borderId="158" xfId="1295" applyNumberFormat="1" applyFont="1" applyFill="1" applyBorder="1" applyAlignment="1">
      <alignment horizontal="right"/>
    </xf>
    <xf numFmtId="0" fontId="8" fillId="0" borderId="0" xfId="970" applyFill="1"/>
    <xf numFmtId="0" fontId="10" fillId="0" borderId="159" xfId="1295" applyFont="1" applyFill="1" applyBorder="1"/>
    <xf numFmtId="39" fontId="10" fillId="0" borderId="149" xfId="1295" applyNumberFormat="1" applyFont="1" applyFill="1" applyBorder="1" applyAlignment="1">
      <alignment horizontal="centerContinuous" vertical="center"/>
    </xf>
    <xf numFmtId="0" fontId="10" fillId="0" borderId="149" xfId="1295" applyFont="1" applyFill="1" applyBorder="1"/>
    <xf numFmtId="43" fontId="10" fillId="0" borderId="149" xfId="462" applyFont="1" applyFill="1" applyBorder="1"/>
    <xf numFmtId="43" fontId="10" fillId="0" borderId="155" xfId="462" applyFont="1" applyFill="1" applyBorder="1"/>
    <xf numFmtId="39" fontId="10" fillId="0" borderId="149" xfId="1295" applyNumberFormat="1" applyFont="1" applyFill="1" applyBorder="1"/>
    <xf numFmtId="43" fontId="10" fillId="0" borderId="149" xfId="462" applyFont="1" applyFill="1" applyBorder="1" applyAlignment="1">
      <alignment horizontal="centerContinuous"/>
    </xf>
    <xf numFmtId="0" fontId="10" fillId="0" borderId="156" xfId="1295" applyFont="1" applyFill="1" applyBorder="1"/>
    <xf numFmtId="39" fontId="10" fillId="0" borderId="157" xfId="1295" applyNumberFormat="1" applyFont="1" applyFill="1" applyBorder="1" applyAlignment="1">
      <alignment horizontal="centerContinuous" vertical="center"/>
    </xf>
    <xf numFmtId="39" fontId="10" fillId="0" borderId="157" xfId="1295" applyNumberFormat="1" applyFont="1" applyFill="1" applyBorder="1"/>
    <xf numFmtId="39" fontId="44" fillId="0" borderId="157" xfId="1295" quotePrefix="1" applyNumberFormat="1" applyFont="1" applyFill="1" applyBorder="1" applyAlignment="1">
      <alignment horizontal="right"/>
    </xf>
    <xf numFmtId="2" fontId="44" fillId="0" borderId="158" xfId="1295" applyNumberFormat="1" applyFont="1" applyFill="1" applyBorder="1" applyAlignment="1">
      <alignment horizontal="right"/>
    </xf>
    <xf numFmtId="0" fontId="10" fillId="48" borderId="159" xfId="1295" applyFont="1" applyFill="1" applyBorder="1" applyAlignment="1">
      <alignment vertical="center" wrapText="1"/>
    </xf>
    <xf numFmtId="0" fontId="10" fillId="48" borderId="149" xfId="1295" applyFont="1" applyFill="1" applyBorder="1" applyAlignment="1">
      <alignment horizontal="center" vertical="center"/>
    </xf>
    <xf numFmtId="2" fontId="10" fillId="48" borderId="149" xfId="1295" applyNumberFormat="1" applyFont="1" applyFill="1" applyBorder="1" applyAlignment="1">
      <alignment vertical="center"/>
    </xf>
    <xf numFmtId="43" fontId="10" fillId="48" borderId="155" xfId="462" applyFont="1" applyFill="1" applyBorder="1" applyAlignment="1">
      <alignment vertical="center"/>
    </xf>
    <xf numFmtId="0" fontId="10" fillId="48" borderId="157" xfId="1295" applyFont="1" applyFill="1" applyBorder="1" applyAlignment="1">
      <alignment horizontal="centerContinuous" vertical="center"/>
    </xf>
    <xf numFmtId="2" fontId="10" fillId="48" borderId="157" xfId="1295" applyNumberFormat="1" applyFont="1" applyFill="1" applyBorder="1"/>
    <xf numFmtId="2" fontId="44" fillId="48" borderId="157" xfId="1295" applyNumberFormat="1" applyFont="1" applyFill="1" applyBorder="1" applyAlignment="1">
      <alignment horizontal="right"/>
    </xf>
    <xf numFmtId="39" fontId="44" fillId="48" borderId="157" xfId="1295" applyNumberFormat="1" applyFont="1" applyFill="1" applyBorder="1" applyAlignment="1">
      <alignment horizontal="right"/>
    </xf>
    <xf numFmtId="198" fontId="10" fillId="48" borderId="149" xfId="1295" applyNumberFormat="1" applyFont="1" applyFill="1" applyBorder="1"/>
    <xf numFmtId="43" fontId="93" fillId="48" borderId="149" xfId="462" applyFont="1" applyFill="1" applyBorder="1"/>
    <xf numFmtId="43" fontId="44" fillId="48" borderId="149" xfId="462" applyFont="1" applyFill="1" applyBorder="1" applyAlignment="1">
      <alignment horizontal="right"/>
    </xf>
    <xf numFmtId="0" fontId="29" fillId="48" borderId="149" xfId="1295" applyFont="1" applyFill="1" applyBorder="1"/>
    <xf numFmtId="0" fontId="29" fillId="48" borderId="149" xfId="1295" applyFont="1" applyFill="1" applyBorder="1" applyAlignment="1">
      <alignment horizontal="center" vertical="center"/>
    </xf>
    <xf numFmtId="176" fontId="29" fillId="48" borderId="149" xfId="1295" applyNumberFormat="1" applyFont="1" applyFill="1" applyBorder="1"/>
    <xf numFmtId="2" fontId="29" fillId="48" borderId="149" xfId="1295" applyNumberFormat="1" applyFont="1" applyFill="1" applyBorder="1"/>
    <xf numFmtId="0" fontId="8" fillId="48" borderId="149" xfId="1295" applyFont="1" applyFill="1" applyBorder="1"/>
    <xf numFmtId="0" fontId="8" fillId="48" borderId="149" xfId="1295" applyFont="1" applyFill="1" applyBorder="1" applyAlignment="1">
      <alignment horizontal="center" vertical="center"/>
    </xf>
    <xf numFmtId="0" fontId="9" fillId="48" borderId="149" xfId="1295" applyFont="1" applyFill="1" applyBorder="1" applyAlignment="1">
      <alignment horizontal="right"/>
    </xf>
    <xf numFmtId="175" fontId="10" fillId="48" borderId="149" xfId="1295" applyNumberFormat="1" applyFont="1" applyFill="1" applyBorder="1"/>
    <xf numFmtId="0" fontId="33" fillId="48" borderId="149" xfId="1290" applyFont="1" applyFill="1" applyBorder="1" applyProtection="1"/>
    <xf numFmtId="0" fontId="33" fillId="48" borderId="149" xfId="1295" applyFont="1" applyFill="1" applyBorder="1" applyAlignment="1">
      <alignment horizontal="centerContinuous" vertical="center"/>
    </xf>
    <xf numFmtId="2" fontId="33" fillId="48" borderId="149" xfId="1295" applyNumberFormat="1" applyFont="1" applyFill="1" applyBorder="1"/>
    <xf numFmtId="0" fontId="33" fillId="48" borderId="149" xfId="1295" applyFont="1" applyFill="1" applyBorder="1" applyAlignment="1">
      <alignment vertical="center"/>
    </xf>
    <xf numFmtId="0" fontId="33" fillId="48" borderId="149" xfId="1295" applyFont="1" applyFill="1" applyBorder="1"/>
    <xf numFmtId="39" fontId="32" fillId="48" borderId="149" xfId="1295" applyNumberFormat="1" applyFont="1" applyFill="1" applyBorder="1" applyAlignment="1">
      <alignment horizontal="right"/>
    </xf>
    <xf numFmtId="0" fontId="34" fillId="48" borderId="159" xfId="1295" applyFont="1" applyFill="1" applyBorder="1"/>
    <xf numFmtId="2" fontId="34" fillId="48" borderId="149" xfId="1295" applyNumberFormat="1" applyFont="1" applyFill="1" applyBorder="1" applyAlignment="1">
      <alignment vertical="center"/>
    </xf>
    <xf numFmtId="0" fontId="34" fillId="48" borderId="149" xfId="1295" applyFont="1" applyFill="1" applyBorder="1" applyAlignment="1">
      <alignment horizontal="centerContinuous"/>
    </xf>
    <xf numFmtId="43" fontId="34" fillId="48" borderId="149" xfId="462" applyFont="1" applyFill="1" applyBorder="1"/>
    <xf numFmtId="0" fontId="34" fillId="48" borderId="161" xfId="1295" applyFont="1" applyFill="1" applyBorder="1"/>
    <xf numFmtId="0" fontId="34" fillId="48" borderId="150" xfId="1295" applyFont="1" applyFill="1" applyBorder="1" applyAlignment="1">
      <alignment vertical="center"/>
    </xf>
    <xf numFmtId="0" fontId="34" fillId="48" borderId="150" xfId="1295" applyFont="1" applyFill="1" applyBorder="1" applyAlignment="1">
      <alignment horizontal="centerContinuous"/>
    </xf>
    <xf numFmtId="43" fontId="34" fillId="48" borderId="150" xfId="462" applyFont="1" applyFill="1" applyBorder="1"/>
    <xf numFmtId="0" fontId="34" fillId="48" borderId="156" xfId="1295" applyFont="1" applyFill="1" applyBorder="1"/>
    <xf numFmtId="0" fontId="34" fillId="48" borderId="157" xfId="1295" applyFont="1" applyFill="1" applyBorder="1" applyAlignment="1">
      <alignment vertical="center"/>
    </xf>
    <xf numFmtId="0" fontId="34" fillId="48" borderId="157" xfId="1295" applyFont="1" applyFill="1" applyBorder="1"/>
    <xf numFmtId="0" fontId="37" fillId="48" borderId="157" xfId="1295" applyFont="1" applyFill="1" applyBorder="1" applyAlignment="1">
      <alignment horizontal="right"/>
    </xf>
    <xf numFmtId="39" fontId="37" fillId="48" borderId="158" xfId="1295" applyNumberFormat="1" applyFont="1" applyFill="1" applyBorder="1" applyAlignment="1">
      <alignment horizontal="right"/>
    </xf>
    <xf numFmtId="39" fontId="8" fillId="0" borderId="0" xfId="970" applyNumberFormat="1"/>
    <xf numFmtId="0" fontId="13" fillId="42" borderId="0" xfId="970" applyFont="1" applyFill="1" applyBorder="1"/>
    <xf numFmtId="0" fontId="14" fillId="42" borderId="0" xfId="970" applyFont="1" applyFill="1" applyBorder="1" applyAlignment="1">
      <alignment horizontal="center"/>
    </xf>
    <xf numFmtId="0" fontId="9" fillId="48" borderId="0" xfId="970" applyFont="1" applyFill="1" applyBorder="1"/>
    <xf numFmtId="0" fontId="8" fillId="48" borderId="0" xfId="970" applyFont="1" applyFill="1" applyBorder="1" applyAlignment="1">
      <alignment horizontal="center"/>
    </xf>
    <xf numFmtId="4" fontId="8" fillId="48" borderId="0" xfId="970" applyNumberFormat="1" applyFont="1" applyFill="1" applyBorder="1"/>
    <xf numFmtId="0" fontId="8" fillId="48" borderId="159" xfId="970" applyFont="1" applyFill="1" applyBorder="1"/>
    <xf numFmtId="2" fontId="8" fillId="48" borderId="149" xfId="970" applyNumberFormat="1" applyFont="1" applyFill="1" applyBorder="1"/>
    <xf numFmtId="0" fontId="8" fillId="48" borderId="149" xfId="970" applyFont="1" applyFill="1" applyBorder="1" applyAlignment="1">
      <alignment horizontal="center"/>
    </xf>
    <xf numFmtId="4" fontId="8" fillId="48" borderId="149" xfId="970" applyNumberFormat="1" applyFont="1" applyFill="1" applyBorder="1"/>
    <xf numFmtId="0" fontId="8" fillId="48" borderId="156" xfId="970" applyFont="1" applyFill="1" applyBorder="1"/>
    <xf numFmtId="0" fontId="13" fillId="42" borderId="39" xfId="970" applyFont="1" applyFill="1" applyBorder="1"/>
    <xf numFmtId="0" fontId="13" fillId="42" borderId="40" xfId="970" applyFont="1" applyFill="1" applyBorder="1"/>
    <xf numFmtId="0" fontId="13" fillId="42" borderId="40" xfId="970" applyFont="1" applyFill="1" applyBorder="1" applyAlignment="1">
      <alignment horizontal="center"/>
    </xf>
    <xf numFmtId="0" fontId="13" fillId="42" borderId="159" xfId="970" applyFont="1" applyFill="1" applyBorder="1"/>
    <xf numFmtId="0" fontId="13" fillId="42" borderId="149" xfId="970" applyFont="1" applyFill="1" applyBorder="1" applyAlignment="1">
      <alignment horizontal="center"/>
    </xf>
    <xf numFmtId="2" fontId="13" fillId="42" borderId="149" xfId="970" applyNumberFormat="1" applyFont="1" applyFill="1" applyBorder="1"/>
    <xf numFmtId="0" fontId="13" fillId="42" borderId="156" xfId="970" applyFont="1" applyFill="1" applyBorder="1"/>
    <xf numFmtId="0" fontId="13" fillId="42" borderId="157" xfId="970" applyFont="1" applyFill="1" applyBorder="1"/>
    <xf numFmtId="192" fontId="8" fillId="48" borderId="0" xfId="970" applyNumberFormat="1" applyFont="1" applyFill="1"/>
    <xf numFmtId="0" fontId="8" fillId="66" borderId="0" xfId="970" applyFill="1"/>
    <xf numFmtId="0" fontId="8" fillId="71" borderId="0" xfId="970" applyFill="1"/>
    <xf numFmtId="4" fontId="8" fillId="70" borderId="0" xfId="970" applyNumberFormat="1" applyFill="1"/>
    <xf numFmtId="4" fontId="8" fillId="66" borderId="0" xfId="970" applyNumberFormat="1" applyFill="1"/>
    <xf numFmtId="0" fontId="8" fillId="72" borderId="0" xfId="970" applyFill="1"/>
    <xf numFmtId="4" fontId="8" fillId="73" borderId="0" xfId="970" applyNumberFormat="1" applyFill="1"/>
    <xf numFmtId="4" fontId="8" fillId="71" borderId="0" xfId="970" applyNumberFormat="1" applyFill="1"/>
    <xf numFmtId="0" fontId="8" fillId="71" borderId="0" xfId="970" applyFont="1" applyFill="1"/>
    <xf numFmtId="4" fontId="137" fillId="72" borderId="110" xfId="970" applyNumberFormat="1" applyFont="1" applyFill="1" applyBorder="1" applyAlignment="1" applyProtection="1">
      <alignment horizontal="right" vertical="center"/>
    </xf>
    <xf numFmtId="0" fontId="10" fillId="48" borderId="159" xfId="1293" applyFont="1" applyFill="1" applyBorder="1"/>
    <xf numFmtId="0" fontId="10" fillId="48" borderId="156" xfId="1293" applyFont="1" applyFill="1" applyBorder="1"/>
    <xf numFmtId="2" fontId="10" fillId="48" borderId="155" xfId="1293" applyNumberFormat="1" applyFont="1" applyFill="1" applyBorder="1"/>
    <xf numFmtId="4" fontId="44" fillId="48" borderId="158" xfId="1293" applyNumberFormat="1" applyFont="1" applyFill="1" applyBorder="1" applyAlignment="1">
      <alignment horizontal="right"/>
    </xf>
    <xf numFmtId="0" fontId="8" fillId="0" borderId="0" xfId="970" applyFont="1" applyFill="1" applyBorder="1"/>
    <xf numFmtId="0" fontId="13" fillId="48" borderId="159" xfId="1293" applyFont="1" applyFill="1" applyBorder="1"/>
    <xf numFmtId="43" fontId="13" fillId="48" borderId="149" xfId="924" applyFont="1" applyFill="1" applyBorder="1"/>
    <xf numFmtId="0" fontId="13" fillId="48" borderId="149" xfId="1293" applyFont="1" applyFill="1" applyBorder="1" applyAlignment="1">
      <alignment horizontal="center"/>
    </xf>
    <xf numFmtId="4" fontId="13" fillId="48" borderId="155" xfId="463" applyNumberFormat="1" applyFont="1" applyFill="1" applyBorder="1" applyAlignment="1">
      <alignment vertical="center"/>
    </xf>
    <xf numFmtId="0" fontId="8" fillId="0" borderId="0" xfId="970" applyAlignment="1">
      <alignment horizontal="center"/>
    </xf>
    <xf numFmtId="0" fontId="33" fillId="48" borderId="159" xfId="972" applyFont="1" applyFill="1" applyBorder="1"/>
    <xf numFmtId="2" fontId="33" fillId="48" borderId="149" xfId="972" applyNumberFormat="1" applyFont="1" applyFill="1" applyBorder="1" applyAlignment="1">
      <alignment vertical="center"/>
    </xf>
    <xf numFmtId="0" fontId="33" fillId="48" borderId="149" xfId="972" applyFont="1" applyFill="1" applyBorder="1" applyAlignment="1">
      <alignment horizontal="centerContinuous"/>
    </xf>
    <xf numFmtId="39" fontId="33" fillId="48" borderId="155" xfId="972" applyNumberFormat="1" applyFont="1" applyFill="1" applyBorder="1"/>
    <xf numFmtId="0" fontId="33" fillId="48" borderId="156" xfId="972" applyFont="1" applyFill="1" applyBorder="1"/>
    <xf numFmtId="0" fontId="33" fillId="48" borderId="157" xfId="972" applyFont="1" applyFill="1" applyBorder="1" applyAlignment="1">
      <alignment vertical="center"/>
    </xf>
    <xf numFmtId="0" fontId="33" fillId="48" borderId="157" xfId="972" applyFont="1" applyFill="1" applyBorder="1"/>
    <xf numFmtId="0" fontId="32" fillId="48" borderId="157" xfId="972" applyFont="1" applyFill="1" applyBorder="1" applyAlignment="1">
      <alignment horizontal="right"/>
    </xf>
    <xf numFmtId="39" fontId="32" fillId="48" borderId="158" xfId="972" applyNumberFormat="1" applyFont="1" applyFill="1" applyBorder="1" applyAlignment="1">
      <alignment horizontal="right"/>
    </xf>
    <xf numFmtId="0" fontId="33" fillId="48" borderId="161" xfId="972" applyFont="1" applyFill="1" applyBorder="1"/>
    <xf numFmtId="2" fontId="10" fillId="48" borderId="150" xfId="1295" applyNumberFormat="1" applyFont="1" applyFill="1" applyBorder="1" applyAlignment="1">
      <alignment vertical="center"/>
    </xf>
    <xf numFmtId="0" fontId="33" fillId="48" borderId="150" xfId="972" applyFont="1" applyFill="1" applyBorder="1" applyAlignment="1">
      <alignment horizontal="center"/>
    </xf>
    <xf numFmtId="39" fontId="33" fillId="48" borderId="149" xfId="972" applyNumberFormat="1" applyFont="1" applyFill="1" applyBorder="1"/>
    <xf numFmtId="39" fontId="33" fillId="48" borderId="162" xfId="972" applyNumberFormat="1" applyFont="1" applyFill="1" applyBorder="1"/>
    <xf numFmtId="39" fontId="10" fillId="48" borderId="149" xfId="972" applyNumberFormat="1" applyFont="1" applyFill="1" applyBorder="1" applyAlignment="1">
      <alignment horizontal="right" vertical="center"/>
    </xf>
    <xf numFmtId="39" fontId="8" fillId="48" borderId="41" xfId="970" applyNumberFormat="1" applyFont="1" applyFill="1" applyBorder="1"/>
    <xf numFmtId="0" fontId="8" fillId="48" borderId="156" xfId="1293" applyFont="1" applyFill="1" applyBorder="1"/>
    <xf numFmtId="0" fontId="8" fillId="48" borderId="157" xfId="1293" applyFont="1" applyFill="1" applyBorder="1" applyAlignment="1">
      <alignment vertical="center"/>
    </xf>
    <xf numFmtId="0" fontId="8" fillId="48" borderId="157" xfId="1293" applyFont="1" applyFill="1" applyBorder="1"/>
    <xf numFmtId="39" fontId="9" fillId="48" borderId="158" xfId="1293" applyNumberFormat="1" applyFont="1" applyFill="1" applyBorder="1"/>
    <xf numFmtId="0" fontId="8" fillId="48" borderId="0" xfId="970" applyFill="1"/>
    <xf numFmtId="0" fontId="33" fillId="50" borderId="149" xfId="1050" applyFont="1" applyFill="1" applyBorder="1" applyAlignment="1">
      <alignment vertical="center"/>
    </xf>
    <xf numFmtId="0" fontId="33" fillId="50" borderId="149" xfId="1050" applyFont="1" applyFill="1" applyBorder="1"/>
    <xf numFmtId="0" fontId="33" fillId="50" borderId="149" xfId="1050" applyFont="1" applyFill="1" applyBorder="1" applyAlignment="1">
      <alignment horizontal="centerContinuous"/>
    </xf>
    <xf numFmtId="39" fontId="10" fillId="50" borderId="149" xfId="1294" applyNumberFormat="1" applyFont="1" applyFill="1" applyBorder="1"/>
    <xf numFmtId="39" fontId="33" fillId="50" borderId="149" xfId="1050" applyNumberFormat="1" applyFont="1" applyFill="1" applyBorder="1"/>
    <xf numFmtId="2" fontId="33" fillId="50" borderId="149" xfId="1050" applyNumberFormat="1" applyFont="1" applyFill="1" applyBorder="1"/>
    <xf numFmtId="0" fontId="32" fillId="50" borderId="149" xfId="1050" applyFont="1" applyFill="1" applyBorder="1" applyAlignment="1">
      <alignment horizontal="right"/>
    </xf>
    <xf numFmtId="39" fontId="32" fillId="50" borderId="149" xfId="1050" applyNumberFormat="1" applyFont="1" applyFill="1" applyBorder="1" applyAlignment="1">
      <alignment horizontal="right"/>
    </xf>
    <xf numFmtId="0" fontId="32" fillId="50" borderId="149" xfId="1050" applyFont="1" applyFill="1" applyBorder="1" applyAlignment="1">
      <alignment horizontal="left" vertical="center"/>
    </xf>
    <xf numFmtId="2" fontId="32" fillId="50" borderId="149" xfId="1050" applyNumberFormat="1" applyFont="1" applyFill="1" applyBorder="1" applyAlignment="1">
      <alignment horizontal="center"/>
    </xf>
    <xf numFmtId="0" fontId="32" fillId="50" borderId="149" xfId="1050" applyFont="1" applyFill="1" applyBorder="1"/>
    <xf numFmtId="0" fontId="33" fillId="50" borderId="149" xfId="1050" applyNumberFormat="1" applyFont="1" applyFill="1" applyBorder="1"/>
    <xf numFmtId="4" fontId="34" fillId="50" borderId="149" xfId="1050" applyNumberFormat="1" applyFont="1" applyFill="1" applyBorder="1" applyAlignment="1" applyProtection="1">
      <alignment horizontal="right" vertical="center"/>
    </xf>
    <xf numFmtId="2" fontId="10" fillId="50" borderId="149" xfId="1294" applyNumberFormat="1" applyFont="1" applyFill="1" applyBorder="1"/>
    <xf numFmtId="0" fontId="33" fillId="50" borderId="149" xfId="1050" applyFont="1" applyFill="1" applyBorder="1" applyAlignment="1">
      <alignment horizontal="center"/>
    </xf>
    <xf numFmtId="0" fontId="32" fillId="50" borderId="149" xfId="1050" applyFont="1" applyFill="1" applyBorder="1" applyAlignment="1"/>
    <xf numFmtId="0" fontId="9" fillId="50" borderId="149" xfId="1285" applyFont="1" applyFill="1" applyBorder="1" applyAlignment="1">
      <alignment horizontal="left" vertical="center" wrapText="1"/>
    </xf>
    <xf numFmtId="4" fontId="8" fillId="50" borderId="149" xfId="1277" applyNumberFormat="1" applyFont="1" applyFill="1" applyBorder="1" applyAlignment="1" applyProtection="1">
      <alignment vertical="top" wrapText="1"/>
    </xf>
    <xf numFmtId="4" fontId="8" fillId="50" borderId="149" xfId="1285" applyNumberFormat="1" applyFont="1" applyFill="1" applyBorder="1" applyAlignment="1">
      <alignment horizontal="center" vertical="top"/>
    </xf>
    <xf numFmtId="4" fontId="8" fillId="50" borderId="149" xfId="741" applyNumberFormat="1" applyFont="1" applyFill="1" applyBorder="1" applyAlignment="1">
      <alignment horizontal="right" vertical="top"/>
    </xf>
    <xf numFmtId="4" fontId="8" fillId="50" borderId="149" xfId="759" applyNumberFormat="1" applyFont="1" applyFill="1" applyBorder="1" applyAlignment="1"/>
    <xf numFmtId="0" fontId="8" fillId="50" borderId="149" xfId="1285" applyFont="1" applyFill="1" applyBorder="1" applyAlignment="1">
      <alignment horizontal="left" vertical="center"/>
    </xf>
    <xf numFmtId="4" fontId="8" fillId="0" borderId="41" xfId="970" applyNumberFormat="1" applyFont="1" applyFill="1" applyBorder="1" applyAlignment="1" applyProtection="1">
      <alignment horizontal="right" vertical="center"/>
      <protection locked="0"/>
    </xf>
    <xf numFmtId="4" fontId="8" fillId="0" borderId="155" xfId="970" applyNumberFormat="1" applyFont="1" applyFill="1" applyBorder="1" applyAlignment="1" applyProtection="1">
      <alignment horizontal="right" vertical="center"/>
      <protection locked="0"/>
    </xf>
    <xf numFmtId="0" fontId="71" fillId="0" borderId="19" xfId="0" applyFont="1" applyFill="1" applyBorder="1" applyAlignment="1">
      <alignment horizontal="left" vertical="top" wrapText="1"/>
    </xf>
    <xf numFmtId="39" fontId="71" fillId="0" borderId="19" xfId="1047" applyNumberFormat="1" applyFont="1" applyFill="1" applyBorder="1" applyAlignment="1">
      <alignment vertical="top" wrapText="1"/>
    </xf>
    <xf numFmtId="39" fontId="71" fillId="0" borderId="19" xfId="0" applyNumberFormat="1" applyFont="1" applyFill="1" applyBorder="1" applyAlignment="1">
      <alignment horizontal="left" vertical="top" wrapText="1"/>
    </xf>
    <xf numFmtId="0" fontId="61" fillId="0" borderId="19" xfId="0" applyFont="1" applyFill="1" applyBorder="1" applyAlignment="1">
      <alignment vertical="top" wrapText="1"/>
    </xf>
    <xf numFmtId="2" fontId="71" fillId="0" borderId="0" xfId="0" applyNumberFormat="1" applyFont="1" applyFill="1" applyAlignment="1">
      <alignment horizontal="right" vertical="top"/>
    </xf>
    <xf numFmtId="0" fontId="71" fillId="0" borderId="0" xfId="0" applyFont="1" applyFill="1" applyAlignment="1">
      <alignment vertical="top" wrapText="1"/>
    </xf>
    <xf numFmtId="2" fontId="71" fillId="0" borderId="0" xfId="0" applyNumberFormat="1" applyFont="1" applyAlignment="1">
      <alignment vertical="top"/>
    </xf>
    <xf numFmtId="0" fontId="4" fillId="0" borderId="0" xfId="1497"/>
    <xf numFmtId="0" fontId="156" fillId="0" borderId="0" xfId="1497" applyFont="1" applyAlignment="1">
      <alignment horizontal="center"/>
    </xf>
    <xf numFmtId="0" fontId="158" fillId="0" borderId="105" xfId="1497" applyFont="1" applyFill="1" applyBorder="1" applyAlignment="1">
      <alignment horizontal="center"/>
    </xf>
    <xf numFmtId="0" fontId="158" fillId="0" borderId="106" xfId="1497" applyFont="1" applyFill="1" applyBorder="1"/>
    <xf numFmtId="0" fontId="158" fillId="0" borderId="164" xfId="1497" applyFont="1" applyFill="1" applyBorder="1"/>
    <xf numFmtId="0" fontId="158" fillId="0" borderId="100" xfId="1497" applyFont="1" applyFill="1" applyBorder="1" applyAlignment="1">
      <alignment horizontal="center"/>
    </xf>
    <xf numFmtId="0" fontId="158" fillId="0" borderId="19" xfId="1497" applyFont="1" applyFill="1" applyBorder="1"/>
    <xf numFmtId="0" fontId="158" fillId="0" borderId="74" xfId="1497" applyFont="1" applyFill="1" applyBorder="1" applyAlignment="1">
      <alignment horizontal="center"/>
    </xf>
    <xf numFmtId="0" fontId="137" fillId="0" borderId="19" xfId="1497" applyFont="1" applyFill="1" applyBorder="1" applyAlignment="1">
      <alignment horizontal="left" wrapText="1"/>
    </xf>
    <xf numFmtId="0" fontId="158" fillId="0" borderId="74" xfId="1497" applyFont="1" applyFill="1" applyBorder="1"/>
    <xf numFmtId="0" fontId="158" fillId="0" borderId="105" xfId="1497" applyFont="1" applyFill="1" applyBorder="1"/>
    <xf numFmtId="0" fontId="158" fillId="0" borderId="107" xfId="1497" applyFont="1" applyFill="1" applyBorder="1" applyAlignment="1">
      <alignment vertical="center"/>
    </xf>
    <xf numFmtId="0" fontId="158" fillId="0" borderId="100" xfId="1497" applyFont="1" applyFill="1" applyBorder="1"/>
    <xf numFmtId="0" fontId="158" fillId="0" borderId="101" xfId="1497" applyFont="1" applyFill="1" applyBorder="1" applyAlignment="1">
      <alignment vertical="center"/>
    </xf>
    <xf numFmtId="0" fontId="82" fillId="0" borderId="19" xfId="1497" applyFont="1" applyFill="1" applyBorder="1" applyAlignment="1">
      <alignment horizontal="left" wrapText="1"/>
    </xf>
    <xf numFmtId="0" fontId="158" fillId="0" borderId="100" xfId="1497" applyFont="1" applyFill="1" applyBorder="1" applyAlignment="1">
      <alignment horizontal="center" vertical="center"/>
    </xf>
    <xf numFmtId="0" fontId="159" fillId="0" borderId="19" xfId="1497" applyFont="1" applyFill="1" applyBorder="1"/>
    <xf numFmtId="0" fontId="158" fillId="0" borderId="103" xfId="1497" applyFont="1" applyFill="1" applyBorder="1"/>
    <xf numFmtId="0" fontId="158" fillId="0" borderId="102" xfId="1497" applyFont="1" applyFill="1" applyBorder="1"/>
    <xf numFmtId="0" fontId="158" fillId="0" borderId="104" xfId="1497" applyFont="1" applyFill="1" applyBorder="1" applyAlignment="1">
      <alignment vertical="center"/>
    </xf>
    <xf numFmtId="0" fontId="158" fillId="0" borderId="103" xfId="1497" applyFont="1" applyFill="1" applyBorder="1" applyAlignment="1">
      <alignment horizontal="center" vertical="center"/>
    </xf>
    <xf numFmtId="0" fontId="4" fillId="0" borderId="102" xfId="1497" applyFill="1" applyBorder="1"/>
    <xf numFmtId="0" fontId="158" fillId="0" borderId="19" xfId="1497" applyFont="1" applyFill="1" applyBorder="1" applyAlignment="1">
      <alignment horizontal="center"/>
    </xf>
    <xf numFmtId="0" fontId="158" fillId="0" borderId="103" xfId="1497" applyFont="1" applyFill="1" applyBorder="1" applyAlignment="1">
      <alignment horizontal="center"/>
    </xf>
    <xf numFmtId="0" fontId="158" fillId="0" borderId="0" xfId="1497" applyFont="1" applyFill="1" applyBorder="1" applyAlignment="1">
      <alignment horizontal="center"/>
    </xf>
    <xf numFmtId="0" fontId="158" fillId="0" borderId="0" xfId="1497" applyFont="1" applyFill="1" applyBorder="1"/>
    <xf numFmtId="0" fontId="158" fillId="0" borderId="0" xfId="1497" applyFont="1" applyFill="1" applyBorder="1" applyAlignment="1">
      <alignment horizontal="center" vertical="center"/>
    </xf>
    <xf numFmtId="0" fontId="158" fillId="0" borderId="0" xfId="1497" applyFont="1" applyFill="1" applyBorder="1" applyAlignment="1">
      <alignment horizontal="right" vertical="center"/>
    </xf>
    <xf numFmtId="0" fontId="4" fillId="0" borderId="105" xfId="1497" applyBorder="1"/>
    <xf numFmtId="0" fontId="158" fillId="0" borderId="170" xfId="1497" applyFont="1" applyBorder="1"/>
    <xf numFmtId="0" fontId="158" fillId="0" borderId="164" xfId="1497" applyFont="1" applyBorder="1"/>
    <xf numFmtId="0" fontId="4" fillId="0" borderId="100" xfId="1497" applyBorder="1"/>
    <xf numFmtId="0" fontId="158" fillId="0" borderId="78" xfId="1497" applyFont="1" applyBorder="1"/>
    <xf numFmtId="0" fontId="158" fillId="0" borderId="74" xfId="1497" applyFont="1" applyBorder="1" applyAlignment="1">
      <alignment horizontal="center"/>
    </xf>
    <xf numFmtId="0" fontId="158" fillId="0" borderId="100" xfId="1497" applyFont="1" applyBorder="1" applyAlignment="1">
      <alignment horizontal="center" vertical="center"/>
    </xf>
    <xf numFmtId="0" fontId="158" fillId="0" borderId="0" xfId="1497" applyFont="1" applyBorder="1" applyAlignment="1">
      <alignment horizontal="center"/>
    </xf>
    <xf numFmtId="0" fontId="158" fillId="0" borderId="103" xfId="1497" applyFont="1" applyBorder="1" applyAlignment="1">
      <alignment vertical="center"/>
    </xf>
    <xf numFmtId="0" fontId="158" fillId="0" borderId="138" xfId="1497" applyFont="1" applyBorder="1"/>
    <xf numFmtId="0" fontId="158" fillId="0" borderId="74" xfId="1497" applyFont="1" applyBorder="1"/>
    <xf numFmtId="0" fontId="158" fillId="0" borderId="105" xfId="1497" applyFont="1" applyFill="1" applyBorder="1" applyAlignment="1">
      <alignment horizontal="center" vertical="center"/>
    </xf>
    <xf numFmtId="0" fontId="158" fillId="0" borderId="168" xfId="1497" applyFont="1" applyFill="1" applyBorder="1"/>
    <xf numFmtId="0" fontId="158" fillId="81" borderId="74" xfId="1497" applyFont="1" applyFill="1" applyBorder="1"/>
    <xf numFmtId="0" fontId="158" fillId="81" borderId="168" xfId="1497" applyFont="1" applyFill="1" applyBorder="1"/>
    <xf numFmtId="0" fontId="4" fillId="0" borderId="100" xfId="1497" applyFill="1" applyBorder="1" applyAlignment="1">
      <alignment horizontal="center"/>
    </xf>
    <xf numFmtId="0" fontId="158" fillId="0" borderId="19" xfId="1497" applyFont="1" applyFill="1" applyBorder="1" applyAlignment="1">
      <alignment vertical="center"/>
    </xf>
    <xf numFmtId="0" fontId="158" fillId="0" borderId="19" xfId="1497" applyFont="1" applyFill="1" applyBorder="1" applyAlignment="1">
      <alignment horizontal="center" vertical="center"/>
    </xf>
    <xf numFmtId="0" fontId="4" fillId="0" borderId="103" xfId="1497" applyFill="1" applyBorder="1" applyAlignment="1">
      <alignment horizontal="center"/>
    </xf>
    <xf numFmtId="0" fontId="158" fillId="0" borderId="102" xfId="1497" applyFont="1" applyFill="1" applyBorder="1" applyAlignment="1">
      <alignment vertical="center"/>
    </xf>
    <xf numFmtId="0" fontId="158" fillId="0" borderId="25" xfId="1497" applyFont="1" applyBorder="1"/>
    <xf numFmtId="0" fontId="158" fillId="0" borderId="25" xfId="1497" applyFont="1" applyBorder="1" applyAlignment="1">
      <alignment horizontal="center" vertical="center"/>
    </xf>
    <xf numFmtId="0" fontId="158" fillId="0" borderId="101" xfId="1497" applyFont="1" applyBorder="1" applyAlignment="1">
      <alignment horizontal="center" vertical="center"/>
    </xf>
    <xf numFmtId="0" fontId="158" fillId="0" borderId="150" xfId="1497" applyFont="1" applyBorder="1"/>
    <xf numFmtId="0" fontId="158" fillId="0" borderId="19" xfId="1497" applyFont="1" applyBorder="1"/>
    <xf numFmtId="0" fontId="158" fillId="0" borderId="19" xfId="1497" applyFont="1" applyBorder="1" applyAlignment="1">
      <alignment horizontal="center" vertical="center"/>
    </xf>
    <xf numFmtId="0" fontId="158" fillId="0" borderId="0" xfId="1497" applyFont="1" applyFill="1" applyBorder="1" applyAlignment="1">
      <alignment vertical="center"/>
    </xf>
    <xf numFmtId="0" fontId="162" fillId="0" borderId="0" xfId="1497" applyFont="1" applyFill="1" applyBorder="1" applyAlignment="1">
      <alignment horizontal="center" vertical="center"/>
    </xf>
    <xf numFmtId="0" fontId="158" fillId="0" borderId="0" xfId="1497" applyFont="1" applyBorder="1" applyAlignment="1">
      <alignment horizontal="center" vertical="center"/>
    </xf>
    <xf numFmtId="0" fontId="158" fillId="0" borderId="0" xfId="1497" applyFont="1" applyBorder="1"/>
    <xf numFmtId="0" fontId="82" fillId="0" borderId="19" xfId="1497" applyFont="1" applyFill="1" applyBorder="1"/>
    <xf numFmtId="0" fontId="4" fillId="0" borderId="100" xfId="1497" applyFill="1" applyBorder="1"/>
    <xf numFmtId="0" fontId="4" fillId="0" borderId="0" xfId="1497" applyAlignment="1">
      <alignment vertical="center"/>
    </xf>
    <xf numFmtId="0" fontId="4" fillId="0" borderId="25" xfId="1497" applyFill="1" applyBorder="1"/>
    <xf numFmtId="0" fontId="4" fillId="0" borderId="19" xfId="1497" applyFill="1" applyBorder="1" applyAlignment="1">
      <alignment vertical="top"/>
    </xf>
    <xf numFmtId="0" fontId="158" fillId="0" borderId="19" xfId="1497" applyFont="1" applyFill="1" applyBorder="1" applyAlignment="1">
      <alignment horizontal="center" vertical="top"/>
    </xf>
    <xf numFmtId="0" fontId="158" fillId="0" borderId="19" xfId="1497" applyFont="1" applyFill="1" applyBorder="1" applyAlignment="1">
      <alignment horizontal="left" vertical="top"/>
    </xf>
    <xf numFmtId="0" fontId="158" fillId="0" borderId="150" xfId="1497" applyFont="1" applyFill="1" applyBorder="1" applyAlignment="1">
      <alignment vertical="center"/>
    </xf>
    <xf numFmtId="0" fontId="4" fillId="0" borderId="25" xfId="1497" applyBorder="1"/>
    <xf numFmtId="4" fontId="158" fillId="0" borderId="0" xfId="1497" applyNumberFormat="1" applyFont="1" applyFill="1" applyBorder="1" applyAlignment="1">
      <alignment horizontal="center" vertical="center"/>
    </xf>
    <xf numFmtId="0" fontId="156" fillId="0" borderId="106" xfId="1497" applyFont="1" applyFill="1" applyBorder="1"/>
    <xf numFmtId="0" fontId="158" fillId="0" borderId="107" xfId="1497" applyFont="1" applyFill="1" applyBorder="1"/>
    <xf numFmtId="0" fontId="158" fillId="0" borderId="101" xfId="1497" applyFont="1" applyFill="1" applyBorder="1"/>
    <xf numFmtId="0" fontId="162" fillId="0" borderId="19" xfId="1497" applyFont="1" applyFill="1" applyBorder="1"/>
    <xf numFmtId="0" fontId="156" fillId="0" borderId="19" xfId="1497" applyFont="1" applyFill="1" applyBorder="1"/>
    <xf numFmtId="0" fontId="158" fillId="0" borderId="106" xfId="1497" applyFont="1" applyFill="1" applyBorder="1" applyAlignment="1">
      <alignment horizontal="justify"/>
    </xf>
    <xf numFmtId="0" fontId="158" fillId="0" borderId="19" xfId="1497" applyFont="1" applyFill="1" applyBorder="1" applyAlignment="1">
      <alignment horizontal="justify"/>
    </xf>
    <xf numFmtId="0" fontId="158" fillId="0" borderId="104" xfId="1497" applyFont="1" applyFill="1" applyBorder="1"/>
    <xf numFmtId="0" fontId="158" fillId="0" borderId="105" xfId="1497" applyFont="1" applyBorder="1"/>
    <xf numFmtId="0" fontId="158" fillId="0" borderId="106" xfId="1497" applyFont="1" applyBorder="1"/>
    <xf numFmtId="0" fontId="158" fillId="0" borderId="100" xfId="1497" applyFont="1" applyBorder="1"/>
    <xf numFmtId="0" fontId="158" fillId="0" borderId="103" xfId="1497" applyFont="1" applyBorder="1"/>
    <xf numFmtId="0" fontId="158" fillId="0" borderId="102" xfId="1497" applyFont="1" applyBorder="1"/>
    <xf numFmtId="0" fontId="4" fillId="0" borderId="0" xfId="1497" applyAlignment="1">
      <alignment horizontal="right"/>
    </xf>
    <xf numFmtId="0" fontId="158" fillId="66" borderId="105" xfId="1497" applyFont="1" applyFill="1" applyBorder="1" applyAlignment="1">
      <alignment horizontal="center"/>
    </xf>
    <xf numFmtId="0" fontId="158" fillId="66" borderId="164" xfId="1497" applyFont="1" applyFill="1" applyBorder="1"/>
    <xf numFmtId="0" fontId="158" fillId="66" borderId="100" xfId="1497" applyFont="1" applyFill="1" applyBorder="1" applyAlignment="1">
      <alignment horizontal="center"/>
    </xf>
    <xf numFmtId="0" fontId="158" fillId="66" borderId="74" xfId="1497" applyFont="1" applyFill="1" applyBorder="1"/>
    <xf numFmtId="0" fontId="158" fillId="66" borderId="103" xfId="1497" applyFont="1" applyFill="1" applyBorder="1" applyAlignment="1">
      <alignment horizontal="center"/>
    </xf>
    <xf numFmtId="0" fontId="158" fillId="66" borderId="168" xfId="1497" applyFont="1" applyFill="1" applyBorder="1"/>
    <xf numFmtId="0" fontId="158" fillId="66" borderId="102" xfId="1497" applyFont="1" applyFill="1" applyBorder="1" applyAlignment="1">
      <alignment vertical="center"/>
    </xf>
    <xf numFmtId="0" fontId="158" fillId="66" borderId="102" xfId="1497" applyFont="1" applyFill="1" applyBorder="1" applyAlignment="1">
      <alignment horizontal="center" vertical="center"/>
    </xf>
    <xf numFmtId="0" fontId="158" fillId="66" borderId="104" xfId="1497" applyFont="1" applyFill="1" applyBorder="1" applyAlignment="1">
      <alignment vertical="center"/>
    </xf>
    <xf numFmtId="0" fontId="0" fillId="0" borderId="0" xfId="0"/>
    <xf numFmtId="0" fontId="8" fillId="70" borderId="0" xfId="0" applyFont="1" applyFill="1" applyBorder="1" applyAlignment="1">
      <alignment vertical="top"/>
    </xf>
    <xf numFmtId="0" fontId="137" fillId="70" borderId="0" xfId="0" applyFont="1" applyFill="1" applyBorder="1" applyAlignment="1">
      <alignment vertical="top"/>
    </xf>
    <xf numFmtId="174" fontId="8" fillId="70" borderId="78" xfId="1061" applyNumberFormat="1" applyFont="1" applyFill="1" applyBorder="1" applyAlignment="1">
      <alignment vertical="top"/>
    </xf>
    <xf numFmtId="174" fontId="8" fillId="70" borderId="19" xfId="1061" applyNumberFormat="1" applyFont="1" applyFill="1" applyBorder="1" applyAlignment="1">
      <alignment horizontal="center" vertical="top"/>
    </xf>
    <xf numFmtId="174" fontId="8" fillId="70" borderId="19" xfId="1061" applyNumberFormat="1" applyFont="1" applyFill="1" applyBorder="1" applyAlignment="1">
      <alignment vertical="top"/>
    </xf>
    <xf numFmtId="0" fontId="0" fillId="0" borderId="0" xfId="0"/>
    <xf numFmtId="0" fontId="0" fillId="0" borderId="0" xfId="0"/>
    <xf numFmtId="0" fontId="61" fillId="0" borderId="19" xfId="0" applyFont="1" applyFill="1" applyBorder="1" applyAlignment="1">
      <alignment vertical="top"/>
    </xf>
    <xf numFmtId="0" fontId="71" fillId="0" borderId="19" xfId="0" applyFont="1" applyFill="1" applyBorder="1" applyAlignment="1">
      <alignment horizontal="right" vertical="top"/>
    </xf>
    <xf numFmtId="0" fontId="71" fillId="0" borderId="19" xfId="0" applyFont="1" applyFill="1" applyBorder="1" applyAlignment="1">
      <alignment vertical="top"/>
    </xf>
    <xf numFmtId="0" fontId="9" fillId="48" borderId="171" xfId="1306" applyFont="1" applyFill="1" applyBorder="1" applyAlignment="1">
      <alignment horizontal="center"/>
    </xf>
    <xf numFmtId="174" fontId="8" fillId="48" borderId="149" xfId="1306" applyNumberFormat="1" applyFill="1" applyBorder="1"/>
    <xf numFmtId="169" fontId="8" fillId="48" borderId="149" xfId="1306" applyNumberFormat="1" applyFill="1" applyBorder="1"/>
    <xf numFmtId="178" fontId="10" fillId="48" borderId="149" xfId="1306" applyNumberFormat="1" applyFont="1" applyFill="1" applyBorder="1" applyAlignment="1">
      <alignment horizontal="center"/>
    </xf>
    <xf numFmtId="179" fontId="10" fillId="48" borderId="149" xfId="1306" applyNumberFormat="1" applyFont="1" applyFill="1" applyBorder="1"/>
    <xf numFmtId="182" fontId="10" fillId="48" borderId="149" xfId="1306" applyNumberFormat="1" applyFont="1" applyFill="1" applyBorder="1"/>
    <xf numFmtId="4" fontId="8" fillId="0" borderId="149" xfId="1306" applyNumberFormat="1" applyFill="1" applyBorder="1"/>
    <xf numFmtId="174" fontId="8" fillId="48" borderId="150" xfId="1306" applyNumberFormat="1" applyFill="1" applyBorder="1"/>
    <xf numFmtId="169" fontId="22" fillId="71" borderId="21" xfId="1306" applyNumberFormat="1" applyFont="1" applyFill="1" applyBorder="1"/>
    <xf numFmtId="9" fontId="8" fillId="0" borderId="149" xfId="1334" applyFont="1" applyFill="1" applyBorder="1" applyAlignment="1">
      <alignment horizontal="center"/>
    </xf>
    <xf numFmtId="169" fontId="8" fillId="50" borderId="149" xfId="1306" applyNumberFormat="1" applyFill="1" applyBorder="1"/>
    <xf numFmtId="0" fontId="0" fillId="0" borderId="0" xfId="0"/>
    <xf numFmtId="0" fontId="9" fillId="48" borderId="19" xfId="1269" applyNumberFormat="1" applyFont="1" applyFill="1" applyBorder="1" applyAlignment="1">
      <alignment horizontal="center" vertical="top" wrapText="1"/>
    </xf>
    <xf numFmtId="0" fontId="9" fillId="48" borderId="19" xfId="1269" applyNumberFormat="1" applyFont="1" applyFill="1" applyBorder="1" applyAlignment="1">
      <alignment horizontal="left" vertical="top" wrapText="1"/>
    </xf>
    <xf numFmtId="39" fontId="8" fillId="48" borderId="19" xfId="1269" applyNumberFormat="1" applyFont="1" applyFill="1" applyBorder="1" applyAlignment="1" applyProtection="1">
      <alignment horizontal="right" vertical="top"/>
      <protection locked="0"/>
    </xf>
    <xf numFmtId="4" fontId="8" fillId="48" borderId="19" xfId="1269" applyNumberFormat="1" applyFont="1" applyFill="1" applyBorder="1" applyAlignment="1" applyProtection="1">
      <alignment vertical="top"/>
      <protection locked="0"/>
    </xf>
    <xf numFmtId="0" fontId="0" fillId="0" borderId="0" xfId="0" applyAlignment="1">
      <alignment vertical="top"/>
    </xf>
    <xf numFmtId="0" fontId="9" fillId="48" borderId="74" xfId="1269" applyNumberFormat="1" applyFont="1" applyFill="1" applyBorder="1" applyAlignment="1">
      <alignment horizontal="center" vertical="top" wrapText="1"/>
    </xf>
    <xf numFmtId="39" fontId="8" fillId="48" borderId="78" xfId="1269" applyNumberFormat="1" applyFont="1" applyFill="1" applyBorder="1" applyAlignment="1" applyProtection="1">
      <alignment horizontal="right" vertical="top"/>
      <protection locked="0"/>
    </xf>
    <xf numFmtId="0" fontId="9" fillId="48" borderId="19" xfId="1269" applyNumberFormat="1" applyFont="1" applyFill="1" applyBorder="1" applyAlignment="1">
      <alignment horizontal="right" vertical="top" wrapText="1"/>
    </xf>
    <xf numFmtId="0" fontId="9" fillId="48" borderId="78" xfId="1269" applyNumberFormat="1" applyFont="1" applyFill="1" applyBorder="1" applyAlignment="1">
      <alignment horizontal="left" vertical="top" wrapText="1"/>
    </xf>
    <xf numFmtId="0" fontId="8" fillId="48" borderId="19" xfId="1269" applyNumberFormat="1" applyFont="1" applyFill="1" applyBorder="1" applyAlignment="1">
      <alignment horizontal="right" vertical="top" wrapText="1"/>
    </xf>
    <xf numFmtId="0" fontId="71" fillId="70" borderId="19" xfId="0" applyFont="1" applyFill="1" applyBorder="1" applyAlignment="1">
      <alignment vertical="top" wrapText="1"/>
    </xf>
    <xf numFmtId="4" fontId="8" fillId="48" borderId="19" xfId="1500" applyNumberFormat="1" applyFont="1" applyFill="1" applyBorder="1" applyAlignment="1" applyProtection="1">
      <alignment vertical="top"/>
    </xf>
    <xf numFmtId="0" fontId="9" fillId="48" borderId="78" xfId="0" applyFont="1" applyFill="1" applyBorder="1" applyAlignment="1">
      <alignment vertical="top" wrapText="1"/>
    </xf>
    <xf numFmtId="4" fontId="13" fillId="48" borderId="78" xfId="0" applyNumberFormat="1" applyFont="1" applyFill="1" applyBorder="1" applyAlignment="1">
      <alignment vertical="top"/>
    </xf>
    <xf numFmtId="0" fontId="8" fillId="48" borderId="78" xfId="0" applyFont="1" applyFill="1" applyBorder="1" applyAlignment="1">
      <alignment vertical="top" wrapText="1"/>
    </xf>
    <xf numFmtId="4" fontId="8" fillId="48" borderId="78" xfId="0" applyNumberFormat="1" applyFont="1" applyFill="1" applyBorder="1" applyAlignment="1">
      <alignment vertical="top"/>
    </xf>
    <xf numFmtId="0" fontId="0" fillId="0" borderId="0" xfId="0"/>
    <xf numFmtId="4" fontId="9" fillId="66" borderId="0" xfId="0" applyNumberFormat="1" applyFont="1" applyFill="1"/>
    <xf numFmtId="0" fontId="9" fillId="66" borderId="0" xfId="0" applyFont="1" applyFill="1" applyAlignment="1">
      <alignment horizontal="center"/>
    </xf>
    <xf numFmtId="4" fontId="9" fillId="66" borderId="0" xfId="0" applyNumberFormat="1" applyFont="1" applyFill="1" applyAlignment="1">
      <alignment horizontal="center"/>
    </xf>
    <xf numFmtId="0" fontId="0" fillId="0" borderId="0" xfId="0"/>
    <xf numFmtId="4" fontId="0" fillId="0" borderId="0" xfId="0" applyNumberFormat="1" applyAlignment="1">
      <alignment horizontal="center"/>
    </xf>
    <xf numFmtId="4" fontId="0" fillId="0" borderId="149" xfId="0" applyNumberFormat="1" applyBorder="1" applyAlignment="1">
      <alignment horizontal="center"/>
    </xf>
    <xf numFmtId="4" fontId="0" fillId="0" borderId="0" xfId="0" applyNumberFormat="1" applyAlignment="1">
      <alignment horizontal="left"/>
    </xf>
    <xf numFmtId="4" fontId="9" fillId="0" borderId="149" xfId="0" applyNumberFormat="1" applyFont="1" applyBorder="1" applyAlignment="1">
      <alignment horizontal="left"/>
    </xf>
    <xf numFmtId="4" fontId="0" fillId="66" borderId="149" xfId="0" applyNumberFormat="1" applyFill="1" applyBorder="1" applyAlignment="1">
      <alignment horizontal="center" vertical="center"/>
    </xf>
    <xf numFmtId="4" fontId="0" fillId="0" borderId="149" xfId="0" applyNumberFormat="1" applyBorder="1" applyAlignment="1">
      <alignment horizontal="center" vertical="center"/>
    </xf>
    <xf numFmtId="4" fontId="0" fillId="0" borderId="0" xfId="0" applyNumberFormat="1" applyAlignment="1">
      <alignment horizontal="left" wrapText="1"/>
    </xf>
    <xf numFmtId="0" fontId="8" fillId="0" borderId="0" xfId="1110"/>
    <xf numFmtId="4" fontId="33" fillId="0" borderId="0" xfId="1110" applyNumberFormat="1" applyFont="1" applyBorder="1"/>
    <xf numFmtId="3" fontId="61" fillId="51" borderId="21" xfId="1110" applyNumberFormat="1" applyFont="1" applyFill="1" applyBorder="1" applyAlignment="1">
      <alignment horizontal="center" vertical="center" wrapText="1"/>
    </xf>
    <xf numFmtId="181" fontId="61" fillId="51" borderId="21" xfId="702" applyNumberFormat="1" applyFont="1" applyFill="1" applyBorder="1" applyAlignment="1">
      <alignment horizontal="center" vertical="center" wrapText="1"/>
    </xf>
    <xf numFmtId="4" fontId="61" fillId="51" borderId="21" xfId="1110" applyNumberFormat="1" applyFont="1" applyFill="1" applyBorder="1" applyAlignment="1">
      <alignment horizontal="center" vertical="center" wrapText="1"/>
    </xf>
    <xf numFmtId="4" fontId="166" fillId="49" borderId="21" xfId="1110" applyNumberFormat="1" applyFont="1" applyFill="1" applyBorder="1" applyAlignment="1">
      <alignment horizontal="center" vertical="center" wrapText="1"/>
    </xf>
    <xf numFmtId="181" fontId="166" fillId="49" borderId="21" xfId="1110" applyNumberFormat="1" applyFont="1" applyFill="1" applyBorder="1" applyAlignment="1">
      <alignment horizontal="center" vertical="center" wrapText="1"/>
    </xf>
    <xf numFmtId="181" fontId="167" fillId="52" borderId="21" xfId="1110" applyNumberFormat="1" applyFont="1" applyFill="1" applyBorder="1" applyAlignment="1">
      <alignment horizontal="center" vertical="center" wrapText="1"/>
    </xf>
    <xf numFmtId="181" fontId="61" fillId="52" borderId="21" xfId="1110" applyNumberFormat="1" applyFont="1" applyFill="1" applyBorder="1" applyAlignment="1">
      <alignment horizontal="center" vertical="center" wrapText="1"/>
    </xf>
    <xf numFmtId="3" fontId="61" fillId="48" borderId="0" xfId="1110" applyNumberFormat="1" applyFont="1" applyFill="1" applyBorder="1" applyAlignment="1">
      <alignment horizontal="center" vertical="center" wrapText="1"/>
    </xf>
    <xf numFmtId="4" fontId="71" fillId="48" borderId="0" xfId="1110" applyNumberFormat="1" applyFont="1" applyFill="1" applyBorder="1" applyAlignment="1">
      <alignment horizontal="center" vertical="center" wrapText="1"/>
    </xf>
    <xf numFmtId="0" fontId="8" fillId="0" borderId="0" xfId="1110" applyAlignment="1">
      <alignment horizontal="center" wrapText="1"/>
    </xf>
    <xf numFmtId="3" fontId="165" fillId="66" borderId="0" xfId="1110" applyNumberFormat="1" applyFont="1" applyFill="1"/>
    <xf numFmtId="181" fontId="61" fillId="66" borderId="0" xfId="702" applyNumberFormat="1" applyFont="1" applyFill="1" applyBorder="1" applyAlignment="1">
      <alignment horizontal="center" vertical="center" wrapText="1"/>
    </xf>
    <xf numFmtId="4" fontId="61" fillId="66" borderId="0" xfId="1110" applyNumberFormat="1" applyFont="1" applyFill="1" applyBorder="1" applyAlignment="1">
      <alignment horizontal="center" vertical="center" wrapText="1"/>
    </xf>
    <xf numFmtId="181" fontId="61" fillId="66" borderId="0" xfId="1110" applyNumberFormat="1" applyFont="1" applyFill="1" applyBorder="1" applyAlignment="1">
      <alignment horizontal="center" vertical="center" wrapText="1"/>
    </xf>
    <xf numFmtId="4" fontId="61" fillId="48" borderId="0" xfId="1110" applyNumberFormat="1" applyFont="1" applyFill="1" applyBorder="1" applyAlignment="1">
      <alignment horizontal="center" vertical="center" wrapText="1"/>
    </xf>
    <xf numFmtId="181" fontId="61" fillId="48" borderId="0" xfId="1110" applyNumberFormat="1" applyFont="1" applyFill="1" applyBorder="1" applyAlignment="1">
      <alignment horizontal="center" vertical="center" wrapText="1"/>
    </xf>
    <xf numFmtId="181" fontId="61" fillId="48" borderId="33" xfId="1110" applyNumberFormat="1" applyFont="1" applyFill="1" applyBorder="1" applyAlignment="1">
      <alignment horizontal="center" vertical="center" wrapText="1"/>
    </xf>
    <xf numFmtId="3" fontId="71" fillId="48" borderId="0" xfId="1110" applyNumberFormat="1" applyFont="1" applyFill="1" applyBorder="1" applyAlignment="1">
      <alignment horizontal="center" vertical="center" wrapText="1"/>
    </xf>
    <xf numFmtId="1" fontId="71" fillId="48" borderId="0" xfId="1110" applyNumberFormat="1" applyFont="1" applyFill="1" applyBorder="1" applyAlignment="1">
      <alignment vertical="center" wrapText="1"/>
    </xf>
    <xf numFmtId="4" fontId="8" fillId="48" borderId="0" xfId="1110" applyNumberFormat="1" applyFill="1"/>
    <xf numFmtId="175" fontId="8" fillId="48" borderId="0" xfId="1110" applyNumberFormat="1" applyFill="1"/>
    <xf numFmtId="0" fontId="8" fillId="48" borderId="0" xfId="1110" applyFill="1"/>
    <xf numFmtId="4" fontId="8" fillId="48" borderId="106" xfId="1110" applyNumberFormat="1" applyFont="1" applyFill="1" applyBorder="1" applyAlignment="1">
      <alignment horizontal="center"/>
    </xf>
    <xf numFmtId="181" fontId="71" fillId="48" borderId="106" xfId="702" applyNumberFormat="1" applyFont="1" applyFill="1" applyBorder="1" applyAlignment="1">
      <alignment horizontal="center" vertical="center" wrapText="1"/>
    </xf>
    <xf numFmtId="4" fontId="8" fillId="48" borderId="106" xfId="702" applyNumberFormat="1" applyFont="1" applyFill="1" applyBorder="1" applyAlignment="1">
      <alignment horizontal="center"/>
    </xf>
    <xf numFmtId="1" fontId="8" fillId="48" borderId="106" xfId="1110" applyNumberFormat="1" applyFont="1" applyFill="1" applyBorder="1" applyAlignment="1">
      <alignment horizontal="center"/>
    </xf>
    <xf numFmtId="4" fontId="8" fillId="48" borderId="106" xfId="1110" applyNumberFormat="1" applyFont="1" applyFill="1" applyBorder="1" applyAlignment="1">
      <alignment horizontal="right" vertical="center" wrapText="1"/>
    </xf>
    <xf numFmtId="181" fontId="8" fillId="48" borderId="106" xfId="1110" applyNumberFormat="1" applyFont="1" applyFill="1" applyBorder="1" applyAlignment="1">
      <alignment horizontal="center"/>
    </xf>
    <xf numFmtId="4" fontId="8" fillId="48" borderId="106" xfId="1110" applyNumberFormat="1" applyFont="1" applyFill="1" applyBorder="1"/>
    <xf numFmtId="4" fontId="8" fillId="48" borderId="182" xfId="1110" applyNumberFormat="1" applyFont="1" applyFill="1" applyBorder="1" applyAlignment="1"/>
    <xf numFmtId="174" fontId="8" fillId="48" borderId="106" xfId="1110" applyNumberFormat="1" applyFont="1" applyFill="1" applyBorder="1"/>
    <xf numFmtId="174" fontId="8" fillId="48" borderId="183" xfId="1110" applyNumberFormat="1" applyFont="1" applyFill="1" applyBorder="1"/>
    <xf numFmtId="4" fontId="8" fillId="48" borderId="182" xfId="1110" applyNumberFormat="1" applyFont="1" applyFill="1" applyBorder="1" applyAlignment="1">
      <alignment horizontal="center"/>
    </xf>
    <xf numFmtId="4" fontId="8" fillId="48" borderId="107" xfId="1110" applyNumberFormat="1" applyFont="1" applyFill="1" applyBorder="1" applyAlignment="1">
      <alignment horizontal="center"/>
    </xf>
    <xf numFmtId="4" fontId="8" fillId="48" borderId="106" xfId="1110" applyNumberFormat="1" applyFont="1" applyFill="1" applyBorder="1" applyAlignment="1"/>
    <xf numFmtId="180" fontId="71" fillId="48" borderId="0" xfId="1110" applyNumberFormat="1" applyFont="1" applyFill="1" applyBorder="1"/>
    <xf numFmtId="181" fontId="71" fillId="48" borderId="0" xfId="1110" applyNumberFormat="1" applyFont="1" applyFill="1" applyBorder="1"/>
    <xf numFmtId="1" fontId="71" fillId="48" borderId="0" xfId="1110" applyNumberFormat="1" applyFont="1" applyFill="1" applyBorder="1" applyAlignment="1"/>
    <xf numFmtId="4" fontId="8" fillId="0" borderId="0" xfId="1110" applyNumberFormat="1"/>
    <xf numFmtId="4" fontId="8" fillId="48" borderId="19" xfId="1110" applyNumberFormat="1" applyFont="1" applyFill="1" applyBorder="1" applyAlignment="1">
      <alignment horizontal="center"/>
    </xf>
    <xf numFmtId="4" fontId="8" fillId="48" borderId="19" xfId="702" applyNumberFormat="1" applyFont="1" applyFill="1" applyBorder="1" applyAlignment="1">
      <alignment horizontal="center"/>
    </xf>
    <xf numFmtId="1" fontId="8" fillId="48" borderId="19" xfId="1110" applyNumberFormat="1" applyFont="1" applyFill="1" applyBorder="1" applyAlignment="1">
      <alignment horizontal="center"/>
    </xf>
    <xf numFmtId="4" fontId="8" fillId="48" borderId="19" xfId="1110" applyNumberFormat="1" applyFont="1" applyFill="1" applyBorder="1" applyAlignment="1">
      <alignment horizontal="right" vertical="center" wrapText="1"/>
    </xf>
    <xf numFmtId="181" fontId="8" fillId="48" borderId="19" xfId="1110" applyNumberFormat="1" applyFont="1" applyFill="1" applyBorder="1" applyAlignment="1">
      <alignment horizontal="center"/>
    </xf>
    <xf numFmtId="4" fontId="8" fillId="48" borderId="19" xfId="1110" applyNumberFormat="1" applyFont="1" applyFill="1" applyBorder="1"/>
    <xf numFmtId="4" fontId="8" fillId="48" borderId="61" xfId="1110" applyNumberFormat="1" applyFont="1" applyFill="1" applyBorder="1"/>
    <xf numFmtId="4" fontId="8" fillId="48" borderId="60" xfId="1110" applyNumberFormat="1" applyFont="1" applyFill="1" applyBorder="1" applyAlignment="1"/>
    <xf numFmtId="174" fontId="8" fillId="48" borderId="19" xfId="1110" applyNumberFormat="1" applyFont="1" applyFill="1" applyBorder="1"/>
    <xf numFmtId="174" fontId="8" fillId="48" borderId="61" xfId="1110" applyNumberFormat="1" applyFont="1" applyFill="1" applyBorder="1"/>
    <xf numFmtId="4" fontId="8" fillId="48" borderId="60" xfId="1110" applyNumberFormat="1" applyFont="1" applyFill="1" applyBorder="1" applyAlignment="1">
      <alignment horizontal="center"/>
    </xf>
    <xf numFmtId="4" fontId="8" fillId="48" borderId="78" xfId="1110" applyNumberFormat="1" applyFont="1" applyFill="1" applyBorder="1" applyAlignment="1">
      <alignment horizontal="center"/>
    </xf>
    <xf numFmtId="4" fontId="8" fillId="48" borderId="101" xfId="1110" applyNumberFormat="1" applyFont="1" applyFill="1" applyBorder="1" applyAlignment="1">
      <alignment horizontal="center"/>
    </xf>
    <xf numFmtId="3" fontId="71" fillId="48" borderId="19" xfId="1110" applyNumberFormat="1" applyFont="1" applyFill="1" applyBorder="1" applyAlignment="1"/>
    <xf numFmtId="4" fontId="71" fillId="48" borderId="0" xfId="1110" applyNumberFormat="1" applyFont="1" applyFill="1" applyBorder="1"/>
    <xf numFmtId="4" fontId="9" fillId="65" borderId="53" xfId="1110" applyNumberFormat="1" applyFont="1" applyFill="1" applyBorder="1" applyAlignment="1">
      <alignment horizontal="center"/>
    </xf>
    <xf numFmtId="4" fontId="8" fillId="65" borderId="58" xfId="1110" applyNumberFormat="1" applyFont="1" applyFill="1" applyBorder="1" applyAlignment="1">
      <alignment horizontal="center"/>
    </xf>
    <xf numFmtId="4" fontId="9" fillId="65" borderId="58" xfId="702" applyNumberFormat="1" applyFont="1" applyFill="1" applyBorder="1" applyAlignment="1">
      <alignment horizontal="center"/>
    </xf>
    <xf numFmtId="1" fontId="8" fillId="65" borderId="58" xfId="1110" applyNumberFormat="1" applyFont="1" applyFill="1" applyBorder="1" applyAlignment="1">
      <alignment horizontal="center"/>
    </xf>
    <xf numFmtId="4" fontId="8" fillId="65" borderId="58" xfId="1110" applyNumberFormat="1" applyFont="1" applyFill="1" applyBorder="1" applyAlignment="1">
      <alignment horizontal="right" vertical="center" wrapText="1"/>
    </xf>
    <xf numFmtId="181" fontId="8" fillId="65" borderId="58" xfId="1110" applyNumberFormat="1" applyFont="1" applyFill="1" applyBorder="1" applyAlignment="1">
      <alignment horizontal="center"/>
    </xf>
    <xf numFmtId="4" fontId="8" fillId="65" borderId="58" xfId="1110" applyNumberFormat="1" applyFont="1" applyFill="1" applyBorder="1"/>
    <xf numFmtId="4" fontId="8" fillId="65" borderId="54" xfId="1110" applyNumberFormat="1" applyFont="1" applyFill="1" applyBorder="1"/>
    <xf numFmtId="4" fontId="8" fillId="65" borderId="53" xfId="1110" applyNumberFormat="1" applyFont="1" applyFill="1" applyBorder="1" applyAlignment="1"/>
    <xf numFmtId="4" fontId="8" fillId="65" borderId="184" xfId="1110" applyNumberFormat="1" applyFont="1" applyFill="1" applyBorder="1" applyAlignment="1">
      <alignment horizontal="right" vertical="center" wrapText="1"/>
    </xf>
    <xf numFmtId="4" fontId="151" fillId="66" borderId="185" xfId="702" applyNumberFormat="1" applyFont="1" applyFill="1" applyBorder="1" applyAlignment="1">
      <alignment horizontal="center"/>
    </xf>
    <xf numFmtId="4" fontId="151" fillId="66" borderId="186" xfId="702" applyNumberFormat="1" applyFont="1" applyFill="1" applyBorder="1" applyAlignment="1">
      <alignment horizontal="center"/>
    </xf>
    <xf numFmtId="4" fontId="151" fillId="66" borderId="187" xfId="702" applyNumberFormat="1" applyFont="1" applyFill="1" applyBorder="1" applyAlignment="1">
      <alignment horizontal="center"/>
    </xf>
    <xf numFmtId="4" fontId="8" fillId="65" borderId="188" xfId="1110" applyNumberFormat="1" applyFont="1" applyFill="1" applyBorder="1" applyAlignment="1">
      <alignment horizontal="center"/>
    </xf>
    <xf numFmtId="4" fontId="8" fillId="65" borderId="189" xfId="1110" applyNumberFormat="1" applyFont="1" applyFill="1" applyBorder="1" applyAlignment="1">
      <alignment horizontal="center"/>
    </xf>
    <xf numFmtId="4" fontId="9" fillId="65" borderId="54" xfId="702" applyNumberFormat="1" applyFont="1" applyFill="1" applyBorder="1" applyAlignment="1">
      <alignment vertical="center"/>
    </xf>
    <xf numFmtId="4" fontId="8" fillId="48" borderId="19" xfId="1110" quotePrefix="1" applyNumberFormat="1" applyFont="1" applyFill="1" applyBorder="1" applyAlignment="1">
      <alignment horizontal="center"/>
    </xf>
    <xf numFmtId="4" fontId="8" fillId="48" borderId="74" xfId="1110" applyNumberFormat="1" applyFont="1" applyFill="1" applyBorder="1" applyAlignment="1">
      <alignment horizontal="center"/>
    </xf>
    <xf numFmtId="4" fontId="151" fillId="66" borderId="142" xfId="702" applyNumberFormat="1" applyFont="1" applyFill="1" applyBorder="1" applyAlignment="1">
      <alignment horizontal="center"/>
    </xf>
    <xf numFmtId="1" fontId="8" fillId="48" borderId="78" xfId="1110" applyNumberFormat="1" applyFont="1" applyFill="1" applyBorder="1" applyAlignment="1">
      <alignment horizontal="center"/>
    </xf>
    <xf numFmtId="4" fontId="8" fillId="48" borderId="19" xfId="1110" applyNumberFormat="1" applyFont="1" applyFill="1" applyBorder="1" applyAlignment="1">
      <alignment horizontal="left" vertical="center"/>
    </xf>
    <xf numFmtId="4" fontId="8" fillId="48" borderId="19" xfId="1110" applyNumberFormat="1" applyFont="1" applyFill="1" applyBorder="1" applyAlignment="1"/>
    <xf numFmtId="4" fontId="150" fillId="66" borderId="61" xfId="1110" applyNumberFormat="1" applyFont="1" applyFill="1" applyBorder="1"/>
    <xf numFmtId="4" fontId="71" fillId="48" borderId="0" xfId="1110" applyNumberFormat="1" applyFont="1" applyFill="1" applyBorder="1" applyAlignment="1">
      <alignment horizontal="center"/>
    </xf>
    <xf numFmtId="4" fontId="8" fillId="66" borderId="19" xfId="1110" applyNumberFormat="1" applyFont="1" applyFill="1" applyBorder="1" applyAlignment="1">
      <alignment horizontal="center"/>
    </xf>
    <xf numFmtId="4" fontId="8" fillId="66" borderId="19" xfId="702" applyNumberFormat="1" applyFont="1" applyFill="1" applyBorder="1" applyAlignment="1">
      <alignment horizontal="center"/>
    </xf>
    <xf numFmtId="1" fontId="8" fillId="66" borderId="19" xfId="1110" applyNumberFormat="1" applyFont="1" applyFill="1" applyBorder="1" applyAlignment="1">
      <alignment horizontal="center"/>
    </xf>
    <xf numFmtId="4" fontId="8" fillId="66" borderId="19" xfId="1110" applyNumberFormat="1" applyFont="1" applyFill="1" applyBorder="1" applyAlignment="1">
      <alignment horizontal="right" vertical="center" wrapText="1"/>
    </xf>
    <xf numFmtId="181" fontId="8" fillId="66" borderId="19" xfId="1110" applyNumberFormat="1" applyFont="1" applyFill="1" applyBorder="1" applyAlignment="1">
      <alignment horizontal="center"/>
    </xf>
    <xf numFmtId="4" fontId="8" fillId="66" borderId="19" xfId="1110" applyNumberFormat="1" applyFont="1" applyFill="1" applyBorder="1"/>
    <xf numFmtId="174" fontId="150" fillId="66" borderId="185" xfId="1110" applyNumberFormat="1" applyFont="1" applyFill="1" applyBorder="1"/>
    <xf numFmtId="174" fontId="150" fillId="66" borderId="186" xfId="1110" applyNumberFormat="1" applyFont="1" applyFill="1" applyBorder="1"/>
    <xf numFmtId="174" fontId="150" fillId="66" borderId="187" xfId="1110" applyNumberFormat="1" applyFont="1" applyFill="1" applyBorder="1"/>
    <xf numFmtId="3" fontId="71" fillId="65" borderId="54" xfId="1110" applyNumberFormat="1" applyFont="1" applyFill="1" applyBorder="1" applyAlignment="1"/>
    <xf numFmtId="4" fontId="150" fillId="66" borderId="142" xfId="702" applyNumberFormat="1" applyFont="1" applyFill="1" applyBorder="1" applyAlignment="1">
      <alignment horizontal="center"/>
    </xf>
    <xf numFmtId="174" fontId="8" fillId="48" borderId="74" xfId="1110" applyNumberFormat="1" applyFont="1" applyFill="1" applyBorder="1"/>
    <xf numFmtId="4" fontId="8" fillId="48" borderId="61" xfId="1110" applyNumberFormat="1" applyFont="1" applyFill="1" applyBorder="1" applyAlignment="1">
      <alignment horizontal="center"/>
    </xf>
    <xf numFmtId="4" fontId="9" fillId="48" borderId="19" xfId="702" applyNumberFormat="1" applyFont="1" applyFill="1" applyBorder="1" applyAlignment="1">
      <alignment horizontal="center"/>
    </xf>
    <xf numFmtId="4" fontId="8" fillId="48" borderId="74" xfId="1110" applyNumberFormat="1" applyFont="1" applyFill="1" applyBorder="1"/>
    <xf numFmtId="4" fontId="9" fillId="48" borderId="74" xfId="702" applyNumberFormat="1" applyFont="1" applyFill="1" applyBorder="1" applyAlignment="1">
      <alignment horizontal="center"/>
    </xf>
    <xf numFmtId="4" fontId="9" fillId="48" borderId="60" xfId="702" applyNumberFormat="1" applyFont="1" applyFill="1" applyBorder="1" applyAlignment="1">
      <alignment horizontal="center"/>
    </xf>
    <xf numFmtId="4" fontId="168" fillId="70" borderId="19" xfId="1110" applyNumberFormat="1" applyFont="1" applyFill="1" applyBorder="1" applyAlignment="1">
      <alignment horizontal="center"/>
    </xf>
    <xf numFmtId="4" fontId="168" fillId="70" borderId="19" xfId="702" applyNumberFormat="1" applyFont="1" applyFill="1" applyBorder="1" applyAlignment="1">
      <alignment horizontal="center"/>
    </xf>
    <xf numFmtId="1" fontId="168" fillId="70" borderId="19" xfId="1110" applyNumberFormat="1" applyFont="1" applyFill="1" applyBorder="1" applyAlignment="1">
      <alignment horizontal="center"/>
    </xf>
    <xf numFmtId="181" fontId="168" fillId="70" borderId="19" xfId="1110" applyNumberFormat="1" applyFont="1" applyFill="1" applyBorder="1" applyAlignment="1">
      <alignment horizontal="center"/>
    </xf>
    <xf numFmtId="4" fontId="168" fillId="70" borderId="19" xfId="1110" applyNumberFormat="1" applyFont="1" applyFill="1" applyBorder="1"/>
    <xf numFmtId="4" fontId="168" fillId="70" borderId="74" xfId="1110" applyNumberFormat="1" applyFont="1" applyFill="1" applyBorder="1"/>
    <xf numFmtId="4" fontId="168" fillId="70" borderId="60" xfId="1110" applyNumberFormat="1" applyFont="1" applyFill="1" applyBorder="1" applyAlignment="1">
      <alignment horizontal="center"/>
    </xf>
    <xf numFmtId="174" fontId="168" fillId="70" borderId="19" xfId="1110" applyNumberFormat="1" applyFont="1" applyFill="1" applyBorder="1"/>
    <xf numFmtId="174" fontId="169" fillId="70" borderId="19" xfId="1110" applyNumberFormat="1" applyFont="1" applyFill="1" applyBorder="1"/>
    <xf numFmtId="174" fontId="168" fillId="70" borderId="74" xfId="1110" applyNumberFormat="1" applyFont="1" applyFill="1" applyBorder="1"/>
    <xf numFmtId="4" fontId="168" fillId="70" borderId="61" xfId="1110" applyNumberFormat="1" applyFont="1" applyFill="1" applyBorder="1" applyAlignment="1">
      <alignment horizontal="center"/>
    </xf>
    <xf numFmtId="0" fontId="168" fillId="66" borderId="19" xfId="1110" applyFont="1" applyFill="1" applyBorder="1"/>
    <xf numFmtId="0" fontId="168" fillId="66" borderId="96" xfId="1110" applyFont="1" applyFill="1" applyBorder="1"/>
    <xf numFmtId="0" fontId="168" fillId="66" borderId="80" xfId="1110" applyFont="1" applyFill="1" applyBorder="1"/>
    <xf numFmtId="174" fontId="8" fillId="66" borderId="19" xfId="1110" applyNumberFormat="1" applyFont="1" applyFill="1" applyBorder="1"/>
    <xf numFmtId="0" fontId="168" fillId="70" borderId="80" xfId="1110" applyFont="1" applyFill="1" applyBorder="1"/>
    <xf numFmtId="0" fontId="168" fillId="70" borderId="19" xfId="1110" applyFont="1" applyFill="1" applyBorder="1"/>
    <xf numFmtId="0" fontId="168" fillId="70" borderId="96" xfId="1110" applyFont="1" applyFill="1" applyBorder="1"/>
    <xf numFmtId="0" fontId="8" fillId="70" borderId="19" xfId="1110" applyFont="1" applyFill="1" applyBorder="1"/>
    <xf numFmtId="0" fontId="8" fillId="70" borderId="96" xfId="1110" applyFont="1" applyFill="1" applyBorder="1"/>
    <xf numFmtId="0" fontId="8" fillId="70" borderId="80" xfId="1110" applyFont="1" applyFill="1" applyBorder="1"/>
    <xf numFmtId="3" fontId="8" fillId="48" borderId="19" xfId="1110" applyNumberFormat="1" applyFont="1" applyFill="1" applyBorder="1" applyAlignment="1"/>
    <xf numFmtId="4" fontId="8" fillId="70" borderId="19" xfId="1110" applyNumberFormat="1" applyFont="1" applyFill="1" applyBorder="1"/>
    <xf numFmtId="0" fontId="8" fillId="70" borderId="19" xfId="1110" applyFont="1" applyFill="1" applyBorder="1" applyAlignment="1">
      <alignment horizontal="center" vertical="top"/>
    </xf>
    <xf numFmtId="4" fontId="8" fillId="70" borderId="96" xfId="1110" applyNumberFormat="1" applyFont="1" applyFill="1" applyBorder="1"/>
    <xf numFmtId="4" fontId="8" fillId="70" borderId="80" xfId="1110" applyNumberFormat="1" applyFont="1" applyFill="1" applyBorder="1"/>
    <xf numFmtId="176" fontId="8" fillId="48" borderId="19" xfId="1110" applyNumberFormat="1" applyFont="1" applyFill="1" applyBorder="1" applyAlignment="1">
      <alignment horizontal="center"/>
    </xf>
    <xf numFmtId="0" fontId="8" fillId="70" borderId="25" xfId="1110" applyFont="1" applyFill="1" applyBorder="1"/>
    <xf numFmtId="4" fontId="9" fillId="66" borderId="58" xfId="702" applyNumberFormat="1" applyFont="1" applyFill="1" applyBorder="1" applyAlignment="1">
      <alignment horizontal="center"/>
    </xf>
    <xf numFmtId="0" fontId="8" fillId="70" borderId="25" xfId="1110" applyFont="1" applyFill="1" applyBorder="1" applyAlignment="1">
      <alignment horizontal="center" vertical="top"/>
    </xf>
    <xf numFmtId="4" fontId="8" fillId="70" borderId="25" xfId="1110" applyNumberFormat="1" applyFont="1" applyFill="1" applyBorder="1"/>
    <xf numFmtId="4" fontId="8" fillId="70" borderId="130" xfId="1110" applyNumberFormat="1" applyFont="1" applyFill="1" applyBorder="1"/>
    <xf numFmtId="4" fontId="8" fillId="70" borderId="190" xfId="1110" applyNumberFormat="1" applyFont="1" applyFill="1" applyBorder="1"/>
    <xf numFmtId="4" fontId="9" fillId="66" borderId="53" xfId="1110" applyNumberFormat="1" applyFont="1" applyFill="1" applyBorder="1" applyAlignment="1">
      <alignment horizontal="center"/>
    </xf>
    <xf numFmtId="4" fontId="9" fillId="66" borderId="54" xfId="702" applyNumberFormat="1" applyFont="1" applyFill="1" applyBorder="1" applyAlignment="1">
      <alignment vertical="center"/>
    </xf>
    <xf numFmtId="0" fontId="8" fillId="70" borderId="0" xfId="1110" applyFont="1" applyFill="1"/>
    <xf numFmtId="0" fontId="8" fillId="70" borderId="0" xfId="1110" applyFont="1" applyFill="1" applyAlignment="1">
      <alignment horizontal="right" vertical="top"/>
    </xf>
    <xf numFmtId="4" fontId="8" fillId="66" borderId="0" xfId="1110" applyNumberFormat="1" applyFill="1" applyAlignment="1">
      <alignment vertical="top"/>
    </xf>
    <xf numFmtId="0" fontId="8" fillId="70" borderId="0" xfId="1110" applyFont="1" applyFill="1" applyAlignment="1">
      <alignment horizontal="center" vertical="top"/>
    </xf>
    <xf numFmtId="39" fontId="8" fillId="70" borderId="0" xfId="1110" applyNumberFormat="1" applyFont="1" applyFill="1" applyAlignment="1">
      <alignment vertical="top"/>
    </xf>
    <xf numFmtId="4" fontId="8" fillId="70" borderId="0" xfId="1110" applyNumberFormat="1" applyFont="1" applyFill="1" applyAlignment="1">
      <alignment vertical="top"/>
    </xf>
    <xf numFmtId="0" fontId="8" fillId="70" borderId="0" xfId="1110" applyFont="1" applyFill="1" applyAlignment="1">
      <alignment vertical="top"/>
    </xf>
    <xf numFmtId="0" fontId="8" fillId="0" borderId="0" xfId="1110" applyAlignment="1">
      <alignment horizontal="right" vertical="top"/>
    </xf>
    <xf numFmtId="4" fontId="8" fillId="70" borderId="0" xfId="1110" applyNumberFormat="1" applyFont="1" applyFill="1"/>
    <xf numFmtId="174" fontId="8" fillId="66" borderId="0" xfId="1110" applyNumberFormat="1" applyFill="1" applyAlignment="1">
      <alignment vertical="top"/>
    </xf>
    <xf numFmtId="174" fontId="8" fillId="70" borderId="0" xfId="1110" applyNumberFormat="1" applyFont="1" applyFill="1" applyAlignment="1">
      <alignment vertical="top"/>
    </xf>
    <xf numFmtId="0" fontId="8" fillId="70" borderId="0" xfId="1110" applyFill="1"/>
    <xf numFmtId="0" fontId="8" fillId="70" borderId="0" xfId="1110" applyFill="1" applyAlignment="1">
      <alignment horizontal="right" vertical="top"/>
    </xf>
    <xf numFmtId="0" fontId="8" fillId="66" borderId="0" xfId="1110" applyFill="1" applyAlignment="1">
      <alignment vertical="top"/>
    </xf>
    <xf numFmtId="0" fontId="8" fillId="70" borderId="0" xfId="1110" applyFill="1" applyAlignment="1">
      <alignment horizontal="center" vertical="top"/>
    </xf>
    <xf numFmtId="39" fontId="8" fillId="70" borderId="0" xfId="1110" applyNumberFormat="1" applyFill="1" applyAlignment="1">
      <alignment vertical="top"/>
    </xf>
    <xf numFmtId="0" fontId="8" fillId="70" borderId="0" xfId="1110" applyFill="1" applyAlignment="1">
      <alignment vertical="top"/>
    </xf>
    <xf numFmtId="0" fontId="8" fillId="0" borderId="0" xfId="1110" applyAlignment="1">
      <alignment vertical="top"/>
    </xf>
    <xf numFmtId="4" fontId="9" fillId="70" borderId="149" xfId="1110" applyNumberFormat="1" applyFont="1" applyFill="1" applyBorder="1" applyAlignment="1">
      <alignment vertical="top"/>
    </xf>
    <xf numFmtId="4" fontId="8" fillId="70" borderId="0" xfId="1110" applyNumberFormat="1" applyFill="1" applyAlignment="1">
      <alignment vertical="top"/>
    </xf>
    <xf numFmtId="0" fontId="8" fillId="66" borderId="19" xfId="1110" applyFont="1" applyFill="1" applyBorder="1" applyAlignment="1">
      <alignment horizontal="center" vertical="top"/>
    </xf>
    <xf numFmtId="4" fontId="8" fillId="66" borderId="96" xfId="1110" applyNumberFormat="1" applyFont="1" applyFill="1" applyBorder="1"/>
    <xf numFmtId="4" fontId="8" fillId="66" borderId="60" xfId="1110" applyNumberFormat="1" applyFont="1" applyFill="1" applyBorder="1" applyAlignment="1"/>
    <xf numFmtId="174" fontId="8" fillId="66" borderId="61" xfId="1110" applyNumberFormat="1" applyFont="1" applyFill="1" applyBorder="1"/>
    <xf numFmtId="176" fontId="8" fillId="66" borderId="19" xfId="1110" applyNumberFormat="1" applyFont="1" applyFill="1" applyBorder="1" applyAlignment="1">
      <alignment horizontal="center"/>
    </xf>
    <xf numFmtId="0" fontId="8" fillId="68" borderId="19" xfId="1110" applyFont="1" applyFill="1" applyBorder="1" applyAlignment="1">
      <alignment horizontal="center" vertical="top"/>
    </xf>
    <xf numFmtId="4" fontId="8" fillId="68" borderId="19" xfId="1110" applyNumberFormat="1" applyFont="1" applyFill="1" applyBorder="1"/>
    <xf numFmtId="4" fontId="8" fillId="68" borderId="19" xfId="1110" applyNumberFormat="1" applyFont="1" applyFill="1" applyBorder="1" applyAlignment="1">
      <alignment horizontal="right" vertical="center" wrapText="1"/>
    </xf>
    <xf numFmtId="4" fontId="13" fillId="48" borderId="19" xfId="1269" applyNumberFormat="1" applyFont="1" applyFill="1" applyBorder="1" applyAlignment="1" applyProtection="1">
      <alignment vertical="top" wrapText="1"/>
    </xf>
    <xf numFmtId="0" fontId="0" fillId="0" borderId="0" xfId="0"/>
    <xf numFmtId="4" fontId="174" fillId="48" borderId="19" xfId="0" applyNumberFormat="1" applyFont="1" applyFill="1" applyBorder="1" applyAlignment="1">
      <alignment vertical="top"/>
    </xf>
    <xf numFmtId="4" fontId="71" fillId="48" borderId="19" xfId="1500" applyNumberFormat="1" applyFont="1" applyFill="1" applyBorder="1" applyAlignment="1" applyProtection="1">
      <alignment vertical="top"/>
    </xf>
    <xf numFmtId="0" fontId="9" fillId="0" borderId="29" xfId="0" applyFont="1" applyBorder="1" applyAlignment="1">
      <alignment horizontal="center"/>
    </xf>
    <xf numFmtId="0" fontId="0" fillId="0" borderId="30" xfId="0" applyBorder="1" applyAlignment="1">
      <alignment horizontal="center"/>
    </xf>
    <xf numFmtId="0" fontId="0" fillId="0" borderId="31" xfId="0" applyBorder="1"/>
    <xf numFmtId="0" fontId="9" fillId="0" borderId="32" xfId="0" applyFont="1" applyBorder="1" applyAlignment="1">
      <alignment horizontal="center"/>
    </xf>
    <xf numFmtId="0" fontId="0" fillId="0" borderId="32" xfId="0" applyBorder="1" applyAlignment="1">
      <alignment horizontal="center"/>
    </xf>
    <xf numFmtId="2" fontId="0" fillId="0" borderId="0" xfId="0" applyNumberFormat="1" applyBorder="1"/>
    <xf numFmtId="0" fontId="0" fillId="0" borderId="22" xfId="0" applyBorder="1" applyAlignment="1">
      <alignment horizontal="center"/>
    </xf>
    <xf numFmtId="0" fontId="0" fillId="0" borderId="36" xfId="0" applyBorder="1" applyAlignment="1">
      <alignment horizontal="center"/>
    </xf>
    <xf numFmtId="2" fontId="0" fillId="0" borderId="36" xfId="0" applyNumberFormat="1" applyBorder="1"/>
    <xf numFmtId="0" fontId="0" fillId="0" borderId="37" xfId="0" applyBorder="1"/>
    <xf numFmtId="0" fontId="0" fillId="0" borderId="31" xfId="0" applyBorder="1" applyAlignment="1">
      <alignment horizontal="center"/>
    </xf>
    <xf numFmtId="0" fontId="9" fillId="0" borderId="22" xfId="0" applyFon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2" fontId="0" fillId="0" borderId="30" xfId="0" applyNumberFormat="1" applyBorder="1"/>
    <xf numFmtId="0" fontId="9" fillId="0" borderId="26" xfId="0" applyFont="1" applyBorder="1" applyAlignment="1">
      <alignment horizontal="center"/>
    </xf>
    <xf numFmtId="0" fontId="0" fillId="0" borderId="28" xfId="0" applyBorder="1" applyAlignment="1">
      <alignment horizontal="center"/>
    </xf>
    <xf numFmtId="0" fontId="0" fillId="0" borderId="28" xfId="0" applyBorder="1"/>
    <xf numFmtId="0" fontId="0" fillId="0" borderId="27" xfId="0" applyBorder="1"/>
    <xf numFmtId="0" fontId="30" fillId="0" borderId="0" xfId="1051" applyFont="1" applyFill="1" applyBorder="1" applyAlignment="1">
      <alignment horizontal="left"/>
    </xf>
    <xf numFmtId="4" fontId="30" fillId="0" borderId="0" xfId="1051" applyNumberFormat="1" applyFont="1" applyFill="1" applyBorder="1" applyAlignment="1">
      <alignment horizontal="left"/>
    </xf>
    <xf numFmtId="0" fontId="29" fillId="0" borderId="0" xfId="1051" applyFont="1" applyFill="1" applyBorder="1" applyAlignment="1">
      <alignment horizontal="center"/>
    </xf>
    <xf numFmtId="4" fontId="29" fillId="0" borderId="0" xfId="1051" applyNumberFormat="1" applyFont="1" applyFill="1" applyBorder="1"/>
    <xf numFmtId="0" fontId="30" fillId="0" borderId="0" xfId="0" applyFont="1" applyFill="1" applyBorder="1"/>
    <xf numFmtId="4" fontId="29" fillId="0" borderId="0" xfId="0" applyNumberFormat="1" applyFont="1" applyFill="1" applyBorder="1"/>
    <xf numFmtId="0" fontId="29" fillId="0" borderId="0" xfId="0" applyFont="1" applyFill="1" applyBorder="1" applyAlignment="1">
      <alignment horizontal="center"/>
    </xf>
    <xf numFmtId="0" fontId="29" fillId="0" borderId="0" xfId="0" applyFont="1" applyFill="1" applyBorder="1" applyAlignment="1">
      <alignment horizontal="right"/>
    </xf>
    <xf numFmtId="4" fontId="30" fillId="0" borderId="0" xfId="0" applyNumberFormat="1" applyFont="1" applyFill="1" applyBorder="1"/>
    <xf numFmtId="0" fontId="29" fillId="0" borderId="0" xfId="0" applyFont="1" applyFill="1" applyBorder="1"/>
    <xf numFmtId="0" fontId="30" fillId="0" borderId="0" xfId="0" applyFont="1" applyFill="1" applyBorder="1" applyAlignment="1">
      <alignment horizontal="right"/>
    </xf>
    <xf numFmtId="0" fontId="30" fillId="0" borderId="0" xfId="0" applyFont="1" applyFill="1" applyBorder="1" applyAlignment="1">
      <alignment horizontal="center"/>
    </xf>
    <xf numFmtId="0" fontId="38" fillId="0" borderId="0" xfId="0" applyFont="1" applyFill="1" applyBorder="1" applyAlignment="1"/>
    <xf numFmtId="4" fontId="30" fillId="0" borderId="0" xfId="0" applyNumberFormat="1" applyFont="1" applyFill="1" applyBorder="1" applyAlignment="1"/>
    <xf numFmtId="4" fontId="29" fillId="0" borderId="0" xfId="0" applyNumberFormat="1" applyFont="1" applyFill="1" applyBorder="1" applyAlignment="1">
      <alignment horizontal="right"/>
    </xf>
    <xf numFmtId="4" fontId="30" fillId="0" borderId="0" xfId="0" applyNumberFormat="1" applyFont="1" applyFill="1" applyBorder="1" applyAlignment="1">
      <alignment horizontal="right"/>
    </xf>
    <xf numFmtId="0" fontId="42" fillId="0" borderId="0" xfId="0" applyFont="1" applyFill="1" applyBorder="1" applyAlignment="1"/>
    <xf numFmtId="4" fontId="42" fillId="0" borderId="0" xfId="0" applyNumberFormat="1" applyFont="1" applyFill="1" applyBorder="1" applyAlignment="1"/>
    <xf numFmtId="0" fontId="42" fillId="0" borderId="0" xfId="0" applyFont="1" applyFill="1" applyBorder="1" applyAlignment="1">
      <alignment horizontal="center"/>
    </xf>
    <xf numFmtId="0" fontId="42" fillId="0" borderId="0" xfId="0" applyFont="1" applyFill="1" applyBorder="1"/>
    <xf numFmtId="0" fontId="63" fillId="0" borderId="0" xfId="0" applyFont="1" applyFill="1" applyBorder="1"/>
    <xf numFmtId="4" fontId="63" fillId="0" borderId="0" xfId="0" applyNumberFormat="1" applyFont="1" applyFill="1" applyBorder="1" applyAlignment="1"/>
    <xf numFmtId="0" fontId="63" fillId="0" borderId="0" xfId="0" applyFont="1" applyFill="1" applyBorder="1" applyAlignment="1">
      <alignment horizontal="center"/>
    </xf>
    <xf numFmtId="4" fontId="29" fillId="0" borderId="0" xfId="0" applyNumberFormat="1" applyFont="1" applyFill="1" applyBorder="1" applyAlignment="1"/>
    <xf numFmtId="0" fontId="40" fillId="0" borderId="0" xfId="0" applyFont="1" applyFill="1" applyBorder="1" applyAlignment="1">
      <alignment horizontal="left"/>
    </xf>
    <xf numFmtId="4" fontId="40" fillId="0" borderId="0" xfId="0" applyNumberFormat="1" applyFont="1" applyFill="1" applyBorder="1"/>
    <xf numFmtId="0" fontId="40" fillId="0" borderId="0" xfId="0" applyFont="1" applyFill="1" applyBorder="1" applyAlignment="1">
      <alignment horizontal="center"/>
    </xf>
    <xf numFmtId="0" fontId="29" fillId="0" borderId="0" xfId="1051" applyFont="1" applyFill="1" applyBorder="1"/>
    <xf numFmtId="0" fontId="29" fillId="0" borderId="0" xfId="0" applyFont="1" applyFill="1"/>
    <xf numFmtId="0" fontId="65" fillId="0" borderId="81" xfId="1293" applyFont="1" applyFill="1" applyBorder="1" applyAlignment="1">
      <alignment horizontal="right"/>
    </xf>
    <xf numFmtId="39" fontId="65" fillId="0" borderId="57" xfId="1293" applyNumberFormat="1" applyFont="1" applyFill="1" applyBorder="1"/>
    <xf numFmtId="4" fontId="41" fillId="0" borderId="0" xfId="1051" applyNumberFormat="1" applyFont="1" applyFill="1" applyBorder="1"/>
    <xf numFmtId="0" fontId="30" fillId="0" borderId="0" xfId="1051" applyNumberFormat="1" applyFont="1" applyFill="1" applyBorder="1" applyAlignment="1" applyProtection="1">
      <alignment horizontal="left" wrapText="1"/>
    </xf>
    <xf numFmtId="0" fontId="29" fillId="0" borderId="0" xfId="1051" applyNumberFormat="1" applyFont="1" applyFill="1" applyBorder="1" applyAlignment="1"/>
    <xf numFmtId="0" fontId="30" fillId="0" borderId="0" xfId="1051" applyFont="1" applyFill="1" applyBorder="1" applyAlignment="1">
      <alignment horizontal="center"/>
    </xf>
    <xf numFmtId="0" fontId="29" fillId="0" borderId="0" xfId="1051" applyFont="1" applyFill="1" applyBorder="1" applyAlignment="1" applyProtection="1">
      <alignment horizontal="left"/>
    </xf>
    <xf numFmtId="184" fontId="29" fillId="0" borderId="0" xfId="1051" applyNumberFormat="1" applyFont="1" applyFill="1" applyBorder="1" applyAlignment="1" applyProtection="1">
      <alignment horizontal="right"/>
    </xf>
    <xf numFmtId="0" fontId="29" fillId="0" borderId="0" xfId="1051" applyFont="1" applyFill="1" applyBorder="1" applyAlignment="1" applyProtection="1">
      <alignment horizontal="center"/>
    </xf>
    <xf numFmtId="169" fontId="29" fillId="0" borderId="0" xfId="914" applyFont="1" applyFill="1" applyBorder="1" applyAlignment="1">
      <alignment horizontal="right"/>
    </xf>
    <xf numFmtId="0" fontId="29" fillId="0" borderId="0" xfId="1051" applyFont="1" applyFill="1" applyBorder="1" applyProtection="1"/>
    <xf numFmtId="184" fontId="29" fillId="0" borderId="0" xfId="1051" applyNumberFormat="1" applyFont="1" applyFill="1" applyBorder="1" applyProtection="1"/>
    <xf numFmtId="169" fontId="30" fillId="0" borderId="0" xfId="914" applyFont="1" applyFill="1" applyBorder="1" applyAlignment="1">
      <alignment horizontal="right"/>
    </xf>
    <xf numFmtId="169" fontId="30" fillId="0" borderId="0" xfId="914" applyFont="1" applyFill="1" applyBorder="1" applyAlignment="1"/>
    <xf numFmtId="0" fontId="30" fillId="0" borderId="0" xfId="1299" applyFont="1" applyFill="1" applyBorder="1"/>
    <xf numFmtId="169" fontId="30" fillId="0" borderId="0" xfId="914" applyFont="1" applyFill="1" applyBorder="1"/>
    <xf numFmtId="169" fontId="29" fillId="0" borderId="0" xfId="914" applyFont="1" applyFill="1" applyBorder="1"/>
    <xf numFmtId="0" fontId="29" fillId="0" borderId="0" xfId="1299" applyFont="1" applyFill="1" applyBorder="1"/>
    <xf numFmtId="170" fontId="30" fillId="0" borderId="0" xfId="1051" applyNumberFormat="1" applyFont="1" applyFill="1" applyBorder="1" applyAlignment="1">
      <alignment horizontal="right"/>
    </xf>
    <xf numFmtId="0" fontId="30" fillId="0" borderId="0" xfId="1051" applyFont="1" applyFill="1" applyBorder="1"/>
    <xf numFmtId="4" fontId="14" fillId="0" borderId="0" xfId="1293" applyNumberFormat="1" applyFont="1" applyFill="1"/>
    <xf numFmtId="3" fontId="14" fillId="0" borderId="0" xfId="1293" applyNumberFormat="1" applyFont="1" applyFill="1" applyAlignment="1">
      <alignment horizontal="left"/>
    </xf>
    <xf numFmtId="0" fontId="8" fillId="0" borderId="42" xfId="1276" applyFont="1" applyFill="1" applyBorder="1"/>
    <xf numFmtId="4" fontId="42" fillId="0" borderId="0" xfId="1051" applyNumberFormat="1" applyFont="1" applyFill="1" applyBorder="1" applyAlignment="1"/>
    <xf numFmtId="4" fontId="9" fillId="0" borderId="24" xfId="1276" applyNumberFormat="1" applyFont="1" applyFill="1" applyBorder="1" applyAlignment="1">
      <alignment horizontal="right"/>
    </xf>
    <xf numFmtId="4" fontId="14" fillId="0" borderId="43" xfId="1293" applyNumberFormat="1" applyFont="1" applyFill="1" applyBorder="1"/>
    <xf numFmtId="4" fontId="26" fillId="0" borderId="46" xfId="1293" applyNumberFormat="1" applyFont="1" applyFill="1" applyBorder="1"/>
    <xf numFmtId="4" fontId="29" fillId="0" borderId="0" xfId="1051" applyNumberFormat="1" applyFont="1" applyFill="1" applyBorder="1" applyAlignment="1">
      <alignment horizontal="right"/>
    </xf>
    <xf numFmtId="0" fontId="67" fillId="0" borderId="79" xfId="0" applyFont="1" applyFill="1" applyBorder="1"/>
    <xf numFmtId="2" fontId="68" fillId="0" borderId="55" xfId="1293" applyNumberFormat="1" applyFont="1" applyFill="1" applyBorder="1" applyAlignment="1">
      <alignment horizontal="right"/>
    </xf>
    <xf numFmtId="39" fontId="68" fillId="0" borderId="55" xfId="1293" applyNumberFormat="1" applyFont="1" applyFill="1" applyBorder="1" applyAlignment="1">
      <alignment horizontal="right"/>
    </xf>
    <xf numFmtId="0" fontId="34" fillId="0" borderId="0" xfId="1287" applyFont="1" applyFill="1" applyAlignment="1">
      <alignment horizontal="center" vertical="center"/>
    </xf>
    <xf numFmtId="0" fontId="37" fillId="0" borderId="0" xfId="1287" applyFont="1" applyFill="1" applyAlignment="1"/>
    <xf numFmtId="0" fontId="34" fillId="0" borderId="24" xfId="1287" applyFont="1" applyFill="1" applyBorder="1"/>
    <xf numFmtId="0" fontId="37" fillId="0" borderId="24" xfId="1287" applyFont="1" applyFill="1" applyBorder="1" applyAlignment="1">
      <alignment horizontal="center"/>
    </xf>
    <xf numFmtId="2" fontId="34" fillId="0" borderId="24" xfId="1287" applyNumberFormat="1" applyFont="1" applyFill="1" applyBorder="1" applyAlignment="1">
      <alignment horizontal="right"/>
    </xf>
    <xf numFmtId="0" fontId="34" fillId="0" borderId="24" xfId="1287" applyFont="1" applyFill="1" applyBorder="1" applyAlignment="1">
      <alignment horizontal="center"/>
    </xf>
    <xf numFmtId="0" fontId="34" fillId="0" borderId="24" xfId="1287" applyFont="1" applyFill="1" applyBorder="1" applyAlignment="1">
      <alignment horizontal="right"/>
    </xf>
    <xf numFmtId="0" fontId="34" fillId="0" borderId="0" xfId="1287" applyFont="1" applyFill="1"/>
    <xf numFmtId="0" fontId="34" fillId="0" borderId="0" xfId="1287" applyFont="1" applyFill="1" applyAlignment="1"/>
    <xf numFmtId="0" fontId="37" fillId="0" borderId="0" xfId="1287" applyFont="1" applyFill="1" applyAlignment="1">
      <alignment horizontal="right"/>
    </xf>
    <xf numFmtId="4" fontId="37" fillId="0" borderId="24" xfId="1287" applyNumberFormat="1" applyFont="1" applyFill="1" applyBorder="1" applyAlignment="1"/>
    <xf numFmtId="2" fontId="34" fillId="0" borderId="0" xfId="1287" applyNumberFormat="1" applyFont="1" applyFill="1"/>
    <xf numFmtId="0" fontId="37" fillId="0" borderId="0" xfId="1287" applyFont="1" applyFill="1" applyBorder="1" applyAlignment="1">
      <alignment horizontal="right"/>
    </xf>
    <xf numFmtId="170" fontId="37" fillId="0" borderId="82" xfId="1287" applyNumberFormat="1" applyFont="1" applyFill="1" applyBorder="1" applyAlignment="1">
      <alignment horizontal="right"/>
    </xf>
    <xf numFmtId="0" fontId="69" fillId="0" borderId="83" xfId="1291" applyFont="1" applyFill="1" applyBorder="1" applyAlignment="1"/>
    <xf numFmtId="0" fontId="29" fillId="0" borderId="34" xfId="1299" applyNumberFormat="1" applyFont="1" applyFill="1" applyBorder="1" applyAlignment="1"/>
    <xf numFmtId="0" fontId="29" fillId="0" borderId="24" xfId="1299" applyFont="1" applyFill="1" applyBorder="1"/>
    <xf numFmtId="0" fontId="30" fillId="0" borderId="24" xfId="1299" applyFont="1" applyFill="1" applyBorder="1" applyAlignment="1">
      <alignment horizontal="center"/>
    </xf>
    <xf numFmtId="0" fontId="34" fillId="0" borderId="24" xfId="1291" applyFont="1" applyFill="1" applyBorder="1"/>
    <xf numFmtId="43" fontId="34" fillId="0" borderId="24" xfId="916" applyFont="1" applyFill="1" applyBorder="1"/>
    <xf numFmtId="43" fontId="34" fillId="0" borderId="24" xfId="916" applyFont="1" applyFill="1" applyBorder="1" applyAlignment="1">
      <alignment horizontal="center"/>
    </xf>
    <xf numFmtId="165" fontId="29" fillId="0" borderId="24" xfId="1299" applyNumberFormat="1" applyFont="1" applyFill="1" applyBorder="1" applyProtection="1"/>
    <xf numFmtId="39" fontId="34" fillId="0" borderId="24" xfId="916" applyNumberFormat="1" applyFont="1" applyFill="1" applyBorder="1"/>
    <xf numFmtId="0" fontId="30" fillId="0" borderId="24" xfId="1299" applyFont="1" applyFill="1" applyBorder="1" applyProtection="1"/>
    <xf numFmtId="0" fontId="29" fillId="0" borderId="24" xfId="1299" applyFont="1" applyFill="1" applyBorder="1" applyAlignment="1" applyProtection="1">
      <alignment horizontal="center"/>
    </xf>
    <xf numFmtId="165" fontId="30" fillId="0" borderId="24" xfId="1299" applyNumberFormat="1" applyFont="1" applyFill="1" applyBorder="1" applyProtection="1"/>
    <xf numFmtId="174" fontId="8" fillId="0" borderId="0" xfId="0" applyNumberFormat="1" applyFont="1" applyFill="1" applyBorder="1"/>
    <xf numFmtId="0" fontId="9" fillId="0" borderId="29" xfId="0" applyFont="1" applyFill="1" applyBorder="1" applyAlignment="1">
      <alignment horizontal="left"/>
    </xf>
    <xf numFmtId="174" fontId="8" fillId="0" borderId="30" xfId="0" applyNumberFormat="1" applyFont="1" applyFill="1" applyBorder="1" applyAlignment="1">
      <alignment horizontal="right"/>
    </xf>
    <xf numFmtId="174" fontId="8" fillId="0" borderId="30" xfId="0" applyNumberFormat="1" applyFont="1" applyFill="1" applyBorder="1" applyAlignment="1">
      <alignment horizontal="center"/>
    </xf>
    <xf numFmtId="4" fontId="8" fillId="0" borderId="31" xfId="0" applyNumberFormat="1" applyFont="1" applyFill="1" applyBorder="1" applyAlignment="1"/>
    <xf numFmtId="0" fontId="8" fillId="0" borderId="32" xfId="0" applyFont="1" applyFill="1" applyBorder="1" applyAlignment="1">
      <alignment horizontal="left"/>
    </xf>
    <xf numFmtId="174" fontId="8" fillId="0" borderId="0" xfId="0" applyNumberFormat="1" applyFont="1" applyFill="1" applyBorder="1" applyAlignment="1">
      <alignment horizontal="right"/>
    </xf>
    <xf numFmtId="174" fontId="8" fillId="0" borderId="0" xfId="0" applyNumberFormat="1" applyFont="1" applyFill="1" applyBorder="1" applyAlignment="1">
      <alignment horizontal="center"/>
    </xf>
    <xf numFmtId="4" fontId="8" fillId="0" borderId="33" xfId="0" applyNumberFormat="1" applyFont="1" applyFill="1" applyBorder="1" applyAlignment="1"/>
    <xf numFmtId="0" fontId="9" fillId="0" borderId="32" xfId="0" applyFont="1" applyFill="1" applyBorder="1" applyAlignment="1">
      <alignment horizontal="left"/>
    </xf>
    <xf numFmtId="0" fontId="8" fillId="0" borderId="22" xfId="0" applyFont="1" applyFill="1" applyBorder="1" applyAlignment="1">
      <alignment horizontal="left"/>
    </xf>
    <xf numFmtId="174" fontId="8" fillId="0" borderId="36" xfId="0" applyNumberFormat="1" applyFont="1" applyFill="1" applyBorder="1" applyAlignment="1">
      <alignment horizontal="right"/>
    </xf>
    <xf numFmtId="174" fontId="8" fillId="0" borderId="36" xfId="0" applyNumberFormat="1" applyFont="1" applyFill="1" applyBorder="1" applyAlignment="1">
      <alignment horizontal="center"/>
    </xf>
    <xf numFmtId="4" fontId="8" fillId="0" borderId="37" xfId="0" applyNumberFormat="1" applyFont="1" applyFill="1" applyBorder="1" applyAlignment="1"/>
    <xf numFmtId="170" fontId="9" fillId="0" borderId="0" xfId="0" applyNumberFormat="1" applyFont="1" applyFill="1" applyBorder="1"/>
    <xf numFmtId="170" fontId="28" fillId="0" borderId="0" xfId="0" applyNumberFormat="1" applyFont="1" applyFill="1" applyBorder="1"/>
    <xf numFmtId="0" fontId="8" fillId="0" borderId="0" xfId="0" applyFont="1" applyFill="1" applyBorder="1" applyAlignment="1">
      <alignment horizontal="right"/>
    </xf>
    <xf numFmtId="0" fontId="14" fillId="0" borderId="0" xfId="1293" quotePrefix="1" applyFont="1" applyFill="1" applyAlignment="1">
      <alignment horizontal="left"/>
    </xf>
    <xf numFmtId="4" fontId="13" fillId="0" borderId="49" xfId="1293" applyNumberFormat="1" applyFont="1" applyFill="1" applyBorder="1"/>
    <xf numFmtId="4" fontId="13" fillId="0" borderId="66" xfId="1293" applyNumberFormat="1" applyFont="1" applyFill="1" applyBorder="1"/>
    <xf numFmtId="39" fontId="14" fillId="0" borderId="44" xfId="1293" quotePrefix="1" applyNumberFormat="1" applyFont="1" applyFill="1" applyBorder="1" applyAlignment="1">
      <alignment horizontal="left"/>
    </xf>
    <xf numFmtId="4" fontId="14" fillId="0" borderId="45" xfId="1293" quotePrefix="1" applyNumberFormat="1" applyFont="1" applyFill="1" applyBorder="1" applyAlignment="1">
      <alignment horizontal="left"/>
    </xf>
    <xf numFmtId="39" fontId="13" fillId="0" borderId="45" xfId="1293" applyNumberFormat="1" applyFont="1" applyFill="1" applyBorder="1"/>
    <xf numFmtId="4" fontId="14" fillId="0" borderId="45" xfId="1293" quotePrefix="1" applyNumberFormat="1" applyFont="1" applyFill="1" applyBorder="1" applyAlignment="1">
      <alignment horizontal="right"/>
    </xf>
    <xf numFmtId="4" fontId="14" fillId="0" borderId="64" xfId="1293" applyNumberFormat="1" applyFont="1" applyFill="1" applyBorder="1"/>
    <xf numFmtId="39" fontId="13" fillId="0" borderId="40" xfId="1293" applyNumberFormat="1" applyFont="1" applyFill="1" applyBorder="1" applyAlignment="1">
      <alignment horizontal="centerContinuous"/>
    </xf>
    <xf numFmtId="39" fontId="13" fillId="0" borderId="24" xfId="1293" applyNumberFormat="1" applyFont="1" applyFill="1" applyBorder="1" applyAlignment="1">
      <alignment horizontal="centerContinuous"/>
    </xf>
    <xf numFmtId="4" fontId="13" fillId="0" borderId="43" xfId="1293" applyNumberFormat="1" applyFont="1" applyFill="1" applyBorder="1"/>
    <xf numFmtId="0" fontId="13" fillId="0" borderId="45" xfId="1293" applyFont="1" applyFill="1" applyBorder="1" applyAlignment="1">
      <alignment horizontal="centerContinuous"/>
    </xf>
    <xf numFmtId="4" fontId="14" fillId="0" borderId="45" xfId="1293" applyNumberFormat="1" applyFont="1" applyFill="1" applyBorder="1" applyAlignment="1">
      <alignment horizontal="right"/>
    </xf>
    <xf numFmtId="4" fontId="14" fillId="0" borderId="46" xfId="1293" applyNumberFormat="1" applyFont="1" applyFill="1" applyBorder="1" applyAlignment="1">
      <alignment horizontal="right"/>
    </xf>
    <xf numFmtId="39" fontId="13" fillId="0" borderId="45" xfId="1293" applyNumberFormat="1" applyFont="1" applyFill="1" applyBorder="1" applyAlignment="1">
      <alignment horizontal="centerContinuous"/>
    </xf>
    <xf numFmtId="39" fontId="13" fillId="0" borderId="0" xfId="1293" applyNumberFormat="1" applyFont="1" applyFill="1" applyBorder="1" applyAlignment="1">
      <alignment horizontal="centerContinuous"/>
    </xf>
    <xf numFmtId="0" fontId="13" fillId="0" borderId="42" xfId="1293" quotePrefix="1" applyFont="1" applyFill="1" applyBorder="1" applyAlignment="1">
      <alignment horizontal="left"/>
    </xf>
    <xf numFmtId="0" fontId="70" fillId="0" borderId="78" xfId="0" applyNumberFormat="1" applyFont="1" applyFill="1" applyBorder="1" applyAlignment="1">
      <alignment wrapText="1"/>
    </xf>
    <xf numFmtId="4" fontId="29" fillId="0" borderId="0" xfId="1051" applyNumberFormat="1" applyFont="1" applyFill="1"/>
    <xf numFmtId="0" fontId="29" fillId="0" borderId="0" xfId="1051" applyFont="1" applyFill="1" applyAlignment="1">
      <alignment horizontal="center"/>
    </xf>
    <xf numFmtId="0" fontId="29" fillId="0" borderId="0" xfId="1051" applyFont="1" applyFill="1"/>
    <xf numFmtId="4" fontId="90" fillId="0" borderId="46" xfId="1293" applyNumberFormat="1" applyFont="1" applyFill="1" applyBorder="1" applyAlignment="1">
      <alignment horizontal="right"/>
    </xf>
    <xf numFmtId="2" fontId="81" fillId="0" borderId="20" xfId="1293" applyNumberFormat="1" applyFont="1" applyFill="1" applyBorder="1"/>
    <xf numFmtId="0" fontId="52" fillId="0" borderId="0" xfId="1293" applyFont="1" applyFill="1"/>
    <xf numFmtId="4" fontId="52" fillId="0" borderId="0" xfId="1293" applyNumberFormat="1" applyFont="1" applyFill="1"/>
    <xf numFmtId="0" fontId="30" fillId="0" borderId="19" xfId="0" applyFont="1" applyFill="1" applyBorder="1" applyAlignment="1">
      <alignment horizontal="left"/>
    </xf>
    <xf numFmtId="0" fontId="30" fillId="0" borderId="19" xfId="0" applyFont="1" applyFill="1" applyBorder="1" applyAlignment="1">
      <alignment wrapText="1"/>
    </xf>
    <xf numFmtId="0" fontId="13" fillId="0" borderId="40" xfId="1293" applyFont="1" applyFill="1" applyBorder="1" applyAlignment="1">
      <alignment horizontal="centerContinuous"/>
    </xf>
    <xf numFmtId="0" fontId="13" fillId="0" borderId="24" xfId="1293" applyFont="1" applyFill="1" applyBorder="1" applyAlignment="1">
      <alignment horizontal="centerContinuous"/>
    </xf>
    <xf numFmtId="181" fontId="13" fillId="0" borderId="40" xfId="1293" applyNumberFormat="1" applyFont="1" applyFill="1" applyBorder="1"/>
    <xf numFmtId="4" fontId="13" fillId="0" borderId="40" xfId="463" applyNumberFormat="1" applyFont="1" applyFill="1" applyBorder="1"/>
    <xf numFmtId="4" fontId="13" fillId="0" borderId="24" xfId="463" applyNumberFormat="1" applyFont="1" applyFill="1" applyBorder="1"/>
    <xf numFmtId="0" fontId="14" fillId="0" borderId="81" xfId="1293" applyFont="1" applyFill="1" applyBorder="1"/>
    <xf numFmtId="4" fontId="14" fillId="0" borderId="84" xfId="1293" applyNumberFormat="1" applyFont="1" applyFill="1" applyBorder="1"/>
    <xf numFmtId="39" fontId="13" fillId="0" borderId="84" xfId="1293" quotePrefix="1" applyNumberFormat="1" applyFont="1" applyFill="1" applyBorder="1" applyAlignment="1">
      <alignment horizontal="left"/>
    </xf>
    <xf numFmtId="4" fontId="14" fillId="0" borderId="84" xfId="1293" applyNumberFormat="1" applyFont="1" applyFill="1" applyBorder="1" applyAlignment="1">
      <alignment horizontal="right"/>
    </xf>
    <xf numFmtId="4" fontId="14" fillId="0" borderId="57" xfId="1293" applyNumberFormat="1" applyFont="1" applyFill="1" applyBorder="1"/>
    <xf numFmtId="0" fontId="14" fillId="0" borderId="39" xfId="1293" applyFont="1" applyFill="1" applyBorder="1"/>
    <xf numFmtId="4" fontId="14" fillId="0" borderId="40" xfId="1293" applyNumberFormat="1" applyFont="1" applyFill="1" applyBorder="1"/>
    <xf numFmtId="39" fontId="13" fillId="0" borderId="40" xfId="1293" quotePrefix="1" applyNumberFormat="1" applyFont="1" applyFill="1" applyBorder="1" applyAlignment="1">
      <alignment horizontal="left"/>
    </xf>
    <xf numFmtId="4" fontId="14" fillId="0" borderId="40" xfId="1293" quotePrefix="1" applyNumberFormat="1" applyFont="1" applyFill="1" applyBorder="1" applyAlignment="1">
      <alignment horizontal="right"/>
    </xf>
    <xf numFmtId="4" fontId="14" fillId="0" borderId="41" xfId="1293" applyNumberFormat="1" applyFont="1" applyFill="1" applyBorder="1"/>
    <xf numFmtId="180" fontId="13" fillId="0" borderId="40" xfId="1293" applyNumberFormat="1" applyFont="1" applyFill="1" applyBorder="1"/>
    <xf numFmtId="0" fontId="14" fillId="0" borderId="47" xfId="0" applyFont="1" applyFill="1" applyBorder="1" applyAlignment="1" applyProtection="1">
      <alignment horizontal="left" vertical="center"/>
    </xf>
    <xf numFmtId="0" fontId="13" fillId="0" borderId="47" xfId="0" applyFont="1" applyFill="1" applyBorder="1" applyAlignment="1">
      <alignment horizontal="right" vertical="center"/>
    </xf>
    <xf numFmtId="0" fontId="13" fillId="0" borderId="47" xfId="0" applyFont="1" applyFill="1" applyBorder="1" applyAlignment="1">
      <alignment horizontal="center" vertical="center"/>
    </xf>
    <xf numFmtId="0" fontId="13" fillId="0" borderId="25" xfId="0" quotePrefix="1" applyFont="1" applyFill="1" applyBorder="1" applyAlignment="1" applyProtection="1">
      <alignment horizontal="left" vertical="center"/>
    </xf>
    <xf numFmtId="0" fontId="13" fillId="0" borderId="25" xfId="0" applyFont="1" applyFill="1" applyBorder="1" applyAlignment="1" applyProtection="1">
      <alignment horizontal="right" vertical="center"/>
    </xf>
    <xf numFmtId="0" fontId="13" fillId="0" borderId="25" xfId="0" applyFont="1" applyFill="1" applyBorder="1" applyAlignment="1" applyProtection="1">
      <alignment horizontal="center" vertical="center"/>
    </xf>
    <xf numFmtId="4" fontId="13" fillId="0" borderId="25" xfId="0" applyNumberFormat="1" applyFont="1" applyFill="1" applyBorder="1" applyAlignment="1" applyProtection="1">
      <alignment horizontal="right" vertical="center"/>
    </xf>
    <xf numFmtId="0" fontId="13" fillId="0" borderId="24" xfId="0" quotePrefix="1" applyFont="1" applyFill="1" applyBorder="1" applyAlignment="1" applyProtection="1">
      <alignment horizontal="left" vertical="center"/>
    </xf>
    <xf numFmtId="2" fontId="13" fillId="0" borderId="24" xfId="0" applyNumberFormat="1" applyFont="1" applyFill="1" applyBorder="1" applyAlignment="1" applyProtection="1">
      <alignment horizontal="right" vertical="center"/>
    </xf>
    <xf numFmtId="0" fontId="13" fillId="0" borderId="24" xfId="0" applyFont="1" applyFill="1" applyBorder="1" applyAlignment="1" applyProtection="1">
      <alignment horizontal="center" vertical="center"/>
    </xf>
    <xf numFmtId="4" fontId="13" fillId="0" borderId="24" xfId="0" applyNumberFormat="1" applyFont="1" applyFill="1" applyBorder="1" applyAlignment="1" applyProtection="1">
      <alignment horizontal="right" vertical="center"/>
    </xf>
    <xf numFmtId="0" fontId="13" fillId="0" borderId="24" xfId="0" applyFont="1" applyFill="1" applyBorder="1" applyAlignment="1">
      <alignment horizontal="center" vertical="center"/>
    </xf>
    <xf numFmtId="0" fontId="13" fillId="0" borderId="85" xfId="0" applyFont="1" applyFill="1" applyBorder="1" applyAlignment="1">
      <alignment vertical="center"/>
    </xf>
    <xf numFmtId="0" fontId="13" fillId="0" borderId="85" xfId="0" applyFont="1" applyFill="1" applyBorder="1" applyAlignment="1">
      <alignment horizontal="right" vertical="center"/>
    </xf>
    <xf numFmtId="0" fontId="13" fillId="0" borderId="85" xfId="0" applyFont="1" applyFill="1" applyBorder="1" applyAlignment="1">
      <alignment horizontal="center" vertical="center"/>
    </xf>
    <xf numFmtId="2" fontId="14" fillId="0" borderId="23" xfId="0" applyNumberFormat="1" applyFont="1" applyFill="1" applyBorder="1" applyAlignment="1" applyProtection="1">
      <alignment horizontal="right" vertical="center"/>
    </xf>
    <xf numFmtId="4" fontId="14" fillId="0" borderId="23" xfId="0" applyNumberFormat="1" applyFont="1" applyFill="1" applyBorder="1" applyAlignment="1" applyProtection="1">
      <alignment horizontal="right" vertical="center"/>
    </xf>
    <xf numFmtId="0" fontId="51" fillId="0" borderId="0" xfId="1292" applyFont="1" applyFill="1" applyAlignment="1">
      <alignment horizontal="centerContinuous"/>
    </xf>
    <xf numFmtId="0" fontId="10" fillId="0" borderId="0" xfId="1292" applyFont="1" applyFill="1"/>
    <xf numFmtId="0" fontId="44" fillId="0" borderId="0" xfId="1292" quotePrefix="1" applyFont="1" applyFill="1" applyAlignment="1">
      <alignment horizontal="left"/>
    </xf>
    <xf numFmtId="0" fontId="10" fillId="0" borderId="39" xfId="1292" applyFont="1" applyFill="1" applyBorder="1"/>
    <xf numFmtId="0" fontId="10" fillId="0" borderId="40" xfId="1292" applyFont="1" applyFill="1" applyBorder="1"/>
    <xf numFmtId="0" fontId="10" fillId="0" borderId="40" xfId="1292" applyFont="1" applyFill="1" applyBorder="1" applyAlignment="1">
      <alignment horizontal="centerContinuous"/>
    </xf>
    <xf numFmtId="39" fontId="10" fillId="0" borderId="40" xfId="1292" applyNumberFormat="1" applyFont="1" applyFill="1" applyBorder="1"/>
    <xf numFmtId="39" fontId="10" fillId="0" borderId="41" xfId="1292" applyNumberFormat="1" applyFont="1" applyFill="1" applyBorder="1"/>
    <xf numFmtId="0" fontId="10" fillId="0" borderId="42" xfId="1292" applyFont="1" applyFill="1" applyBorder="1"/>
    <xf numFmtId="0" fontId="10" fillId="0" borderId="24" xfId="1292" applyFont="1" applyFill="1" applyBorder="1"/>
    <xf numFmtId="0" fontId="10" fillId="0" borderId="24" xfId="1292" applyFont="1" applyFill="1" applyBorder="1" applyAlignment="1">
      <alignment horizontal="centerContinuous"/>
    </xf>
    <xf numFmtId="39" fontId="10" fillId="0" borderId="24" xfId="1292" applyNumberFormat="1" applyFont="1" applyFill="1" applyBorder="1"/>
    <xf numFmtId="39" fontId="10" fillId="0" borderId="43" xfId="1292" applyNumberFormat="1" applyFont="1" applyFill="1" applyBorder="1"/>
    <xf numFmtId="2" fontId="10" fillId="0" borderId="24" xfId="1292" applyNumberFormat="1" applyFont="1" applyFill="1" applyBorder="1"/>
    <xf numFmtId="0" fontId="10" fillId="0" borderId="24" xfId="1292" quotePrefix="1" applyFont="1" applyFill="1" applyBorder="1" applyAlignment="1">
      <alignment horizontal="centerContinuous"/>
    </xf>
    <xf numFmtId="0" fontId="10" fillId="0" borderId="42" xfId="1292" quotePrefix="1" applyFont="1" applyFill="1" applyBorder="1" applyAlignment="1">
      <alignment horizontal="left"/>
    </xf>
    <xf numFmtId="0" fontId="10" fillId="0" borderId="44" xfId="1292" applyFont="1" applyFill="1" applyBorder="1"/>
    <xf numFmtId="0" fontId="10" fillId="0" borderId="45" xfId="1292" applyFont="1" applyFill="1" applyBorder="1"/>
    <xf numFmtId="0" fontId="44" fillId="0" borderId="45" xfId="1292" applyFont="1" applyFill="1" applyBorder="1" applyAlignment="1">
      <alignment horizontal="right"/>
    </xf>
    <xf numFmtId="39" fontId="44" fillId="0" borderId="46" xfId="1292" applyNumberFormat="1" applyFont="1" applyFill="1" applyBorder="1" applyAlignment="1">
      <alignment horizontal="right"/>
    </xf>
    <xf numFmtId="0" fontId="44" fillId="0" borderId="0" xfId="1292" applyFont="1" applyFill="1"/>
    <xf numFmtId="2" fontId="10" fillId="0" borderId="40" xfId="1292" applyNumberFormat="1" applyFont="1" applyFill="1" applyBorder="1"/>
    <xf numFmtId="175" fontId="10" fillId="0" borderId="24" xfId="1292" applyNumberFormat="1" applyFont="1" applyFill="1" applyBorder="1"/>
    <xf numFmtId="2" fontId="44" fillId="0" borderId="0" xfId="1292" applyNumberFormat="1" applyFont="1" applyFill="1" applyBorder="1"/>
    <xf numFmtId="0" fontId="44" fillId="0" borderId="0" xfId="1292" applyFont="1" applyFill="1" applyAlignment="1">
      <alignment horizontal="right"/>
    </xf>
    <xf numFmtId="39" fontId="44" fillId="0" borderId="0" xfId="1292" applyNumberFormat="1" applyFont="1" applyFill="1" applyAlignment="1">
      <alignment horizontal="right"/>
    </xf>
    <xf numFmtId="0" fontId="10" fillId="0" borderId="0" xfId="1279" applyFont="1" applyFill="1" applyBorder="1"/>
    <xf numFmtId="4" fontId="10" fillId="0" borderId="0" xfId="1279" applyNumberFormat="1" applyFont="1" applyFill="1" applyBorder="1"/>
    <xf numFmtId="0" fontId="44" fillId="0" borderId="0" xfId="1296" applyFont="1" applyFill="1" applyBorder="1"/>
    <xf numFmtId="0" fontId="44" fillId="0" borderId="0" xfId="1296" applyFont="1" applyFill="1"/>
    <xf numFmtId="4" fontId="44" fillId="0" borderId="0" xfId="1296" applyNumberFormat="1" applyFont="1" applyFill="1"/>
    <xf numFmtId="0" fontId="10" fillId="0" borderId="39" xfId="1296" applyFont="1" applyFill="1" applyBorder="1"/>
    <xf numFmtId="0" fontId="10" fillId="0" borderId="40" xfId="1296" applyFont="1" applyFill="1" applyBorder="1"/>
    <xf numFmtId="0" fontId="10" fillId="0" borderId="40" xfId="1296" applyFont="1" applyFill="1" applyBorder="1" applyAlignment="1">
      <alignment horizontal="centerContinuous"/>
    </xf>
    <xf numFmtId="39" fontId="10" fillId="0" borderId="40" xfId="1296" applyNumberFormat="1" applyFont="1" applyFill="1" applyBorder="1"/>
    <xf numFmtId="4" fontId="10" fillId="0" borderId="41" xfId="1296" applyNumberFormat="1" applyFont="1" applyFill="1" applyBorder="1"/>
    <xf numFmtId="0" fontId="10" fillId="0" borderId="42" xfId="1296" applyFont="1" applyFill="1" applyBorder="1"/>
    <xf numFmtId="2" fontId="10" fillId="0" borderId="24" xfId="1296" applyNumberFormat="1" applyFont="1" applyFill="1" applyBorder="1"/>
    <xf numFmtId="0" fontId="10" fillId="0" borderId="24" xfId="1296" applyFont="1" applyFill="1" applyBorder="1" applyAlignment="1">
      <alignment horizontal="centerContinuous"/>
    </xf>
    <xf numFmtId="39" fontId="10" fillId="0" borderId="24" xfId="1296" applyNumberFormat="1" applyFont="1" applyFill="1" applyBorder="1"/>
    <xf numFmtId="4" fontId="10" fillId="0" borderId="43" xfId="1296" applyNumberFormat="1" applyFont="1" applyFill="1" applyBorder="1"/>
    <xf numFmtId="0" fontId="10" fillId="0" borderId="44" xfId="1296" applyFont="1" applyFill="1" applyBorder="1"/>
    <xf numFmtId="0" fontId="10" fillId="0" borderId="45" xfId="1296" applyFont="1" applyFill="1" applyBorder="1"/>
    <xf numFmtId="0" fontId="44" fillId="0" borderId="45" xfId="1296" applyFont="1" applyFill="1" applyBorder="1" applyAlignment="1">
      <alignment horizontal="right"/>
    </xf>
    <xf numFmtId="4" fontId="44" fillId="0" borderId="46" xfId="1296" applyNumberFormat="1" applyFont="1" applyFill="1" applyBorder="1" applyAlignment="1">
      <alignment horizontal="right"/>
    </xf>
    <xf numFmtId="0" fontId="44" fillId="0" borderId="86" xfId="1279" applyFont="1" applyFill="1" applyBorder="1" applyAlignment="1">
      <alignment horizontal="center"/>
    </xf>
    <xf numFmtId="0" fontId="44" fillId="0" borderId="87" xfId="1279" applyFont="1" applyFill="1" applyBorder="1"/>
    <xf numFmtId="0" fontId="44" fillId="0" borderId="87" xfId="1279" applyFont="1" applyFill="1" applyBorder="1" applyAlignment="1">
      <alignment horizontal="center"/>
    </xf>
    <xf numFmtId="4" fontId="44" fillId="0" borderId="88" xfId="1279" applyNumberFormat="1" applyFont="1" applyFill="1" applyBorder="1" applyAlignment="1">
      <alignment horizontal="center"/>
    </xf>
    <xf numFmtId="0" fontId="10" fillId="0" borderId="89" xfId="0" applyFont="1" applyFill="1" applyBorder="1"/>
    <xf numFmtId="2" fontId="10" fillId="0" borderId="24" xfId="0" applyNumberFormat="1" applyFont="1" applyFill="1" applyBorder="1" applyAlignment="1">
      <alignment horizontal="center"/>
    </xf>
    <xf numFmtId="0" fontId="10" fillId="0" borderId="24" xfId="0" applyFont="1" applyFill="1" applyBorder="1" applyAlignment="1">
      <alignment horizontal="center"/>
    </xf>
    <xf numFmtId="39" fontId="10" fillId="0" borderId="24" xfId="0" applyNumberFormat="1" applyFont="1" applyFill="1" applyBorder="1" applyAlignment="1">
      <alignment horizontal="right"/>
    </xf>
    <xf numFmtId="4" fontId="10" fillId="0" borderId="77" xfId="0" applyNumberFormat="1" applyFont="1" applyFill="1" applyBorder="1"/>
    <xf numFmtId="0" fontId="46" fillId="0" borderId="0" xfId="1280" applyFont="1" applyFill="1" applyBorder="1" applyAlignment="1">
      <alignment horizontal="left"/>
    </xf>
    <xf numFmtId="2" fontId="46" fillId="0" borderId="0" xfId="1289" applyNumberFormat="1" applyFont="1" applyFill="1" applyBorder="1" applyAlignment="1">
      <alignment horizontal="center"/>
    </xf>
    <xf numFmtId="0" fontId="46" fillId="0" borderId="0" xfId="1280" applyFont="1" applyFill="1" applyBorder="1" applyAlignment="1">
      <alignment horizontal="center"/>
    </xf>
    <xf numFmtId="2" fontId="46" fillId="0" borderId="0" xfId="1280" applyNumberFormat="1" applyFont="1" applyFill="1" applyBorder="1" applyAlignment="1">
      <alignment horizontal="right"/>
    </xf>
    <xf numFmtId="4" fontId="46" fillId="0" borderId="0" xfId="1280" applyNumberFormat="1" applyFont="1" applyFill="1" applyBorder="1"/>
    <xf numFmtId="0" fontId="46" fillId="0" borderId="0" xfId="1280" applyFont="1" applyFill="1" applyBorder="1"/>
    <xf numFmtId="0" fontId="46" fillId="0" borderId="0" xfId="1289" applyFont="1" applyFill="1" applyBorder="1" applyAlignment="1">
      <alignment horizontal="center"/>
    </xf>
    <xf numFmtId="39" fontId="46" fillId="0" borderId="0" xfId="1280" applyNumberFormat="1" applyFont="1" applyFill="1" applyBorder="1" applyAlignment="1"/>
    <xf numFmtId="0" fontId="10" fillId="0" borderId="89" xfId="1279" applyFont="1" applyFill="1" applyBorder="1"/>
    <xf numFmtId="2" fontId="10" fillId="0" borderId="24" xfId="1288" applyNumberFormat="1" applyFont="1" applyFill="1" applyBorder="1" applyAlignment="1">
      <alignment horizontal="center"/>
    </xf>
    <xf numFmtId="0" fontId="10" fillId="0" borderId="24" xfId="1279" applyFont="1" applyFill="1" applyBorder="1" applyAlignment="1">
      <alignment horizontal="center"/>
    </xf>
    <xf numFmtId="2" fontId="10" fillId="0" borderId="24" xfId="1279" applyNumberFormat="1" applyFont="1" applyFill="1" applyBorder="1" applyAlignment="1">
      <alignment horizontal="right"/>
    </xf>
    <xf numFmtId="4" fontId="10" fillId="0" borderId="77" xfId="1279" applyNumberFormat="1" applyFont="1" applyFill="1" applyBorder="1"/>
    <xf numFmtId="0" fontId="10" fillId="0" borderId="89" xfId="1279" quotePrefix="1" applyFont="1" applyFill="1" applyBorder="1" applyAlignment="1">
      <alignment horizontal="left"/>
    </xf>
    <xf numFmtId="4" fontId="10" fillId="0" borderId="24" xfId="1279" applyNumberFormat="1" applyFont="1" applyFill="1" applyBorder="1" applyAlignment="1">
      <alignment horizontal="right"/>
    </xf>
    <xf numFmtId="0" fontId="44" fillId="0" borderId="89" xfId="1279" applyFont="1" applyFill="1" applyBorder="1" applyAlignment="1">
      <alignment horizontal="left"/>
    </xf>
    <xf numFmtId="0" fontId="44" fillId="0" borderId="24" xfId="1279" applyFont="1" applyFill="1" applyBorder="1" applyAlignment="1">
      <alignment horizontal="left"/>
    </xf>
    <xf numFmtId="0" fontId="44" fillId="0" borderId="24" xfId="1279" applyFont="1" applyFill="1" applyBorder="1" applyAlignment="1">
      <alignment horizontal="center"/>
    </xf>
    <xf numFmtId="4" fontId="44" fillId="0" borderId="77" xfId="1279" applyNumberFormat="1" applyFont="1" applyFill="1" applyBorder="1" applyAlignment="1"/>
    <xf numFmtId="0" fontId="44" fillId="0" borderId="90" xfId="1279" applyFont="1" applyFill="1" applyBorder="1" applyAlignment="1">
      <alignment horizontal="left"/>
    </xf>
    <xf numFmtId="0" fontId="44" fillId="0" borderId="85" xfId="1279" applyFont="1" applyFill="1" applyBorder="1"/>
    <xf numFmtId="0" fontId="44" fillId="0" borderId="85" xfId="1279" applyFont="1" applyFill="1" applyBorder="1" applyAlignment="1">
      <alignment horizontal="center"/>
    </xf>
    <xf numFmtId="4" fontId="44" fillId="0" borderId="23" xfId="1279" applyNumberFormat="1" applyFont="1" applyFill="1" applyBorder="1" applyAlignment="1"/>
    <xf numFmtId="0" fontId="44" fillId="0" borderId="0" xfId="1279" applyFont="1" applyFill="1" applyBorder="1"/>
    <xf numFmtId="4" fontId="44" fillId="0" borderId="0" xfId="1279" applyNumberFormat="1" applyFont="1" applyFill="1" applyBorder="1"/>
    <xf numFmtId="0" fontId="10" fillId="0" borderId="0" xfId="1296" applyFont="1" applyFill="1"/>
    <xf numFmtId="4" fontId="10" fillId="0" borderId="0" xfId="1296" applyNumberFormat="1" applyFont="1" applyFill="1"/>
    <xf numFmtId="0" fontId="44" fillId="0" borderId="91" xfId="1279" applyFont="1" applyFill="1" applyBorder="1" applyAlignment="1">
      <alignment horizontal="center"/>
    </xf>
    <xf numFmtId="0" fontId="44" fillId="0" borderId="92" xfId="1279" applyFont="1" applyFill="1" applyBorder="1" applyAlignment="1">
      <alignment horizontal="center"/>
    </xf>
    <xf numFmtId="4" fontId="44" fillId="0" borderId="93" xfId="1279" applyNumberFormat="1" applyFont="1" applyFill="1" applyBorder="1" applyAlignment="1">
      <alignment horizontal="center"/>
    </xf>
    <xf numFmtId="0" fontId="10" fillId="0" borderId="94" xfId="1279" applyFont="1" applyFill="1" applyBorder="1"/>
    <xf numFmtId="2" fontId="10" fillId="0" borderId="25" xfId="1279" applyNumberFormat="1" applyFont="1" applyFill="1" applyBorder="1" applyAlignment="1">
      <alignment horizontal="center"/>
    </xf>
    <xf numFmtId="0" fontId="10" fillId="0" borderId="25" xfId="1279" applyFont="1" applyFill="1" applyBorder="1" applyAlignment="1">
      <alignment horizontal="center"/>
    </xf>
    <xf numFmtId="4" fontId="10" fillId="0" borderId="25" xfId="1279" applyNumberFormat="1" applyFont="1" applyFill="1" applyBorder="1" applyAlignment="1">
      <alignment horizontal="right"/>
    </xf>
    <xf numFmtId="4" fontId="10" fillId="0" borderId="95" xfId="1279" applyNumberFormat="1" applyFont="1" applyFill="1" applyBorder="1"/>
    <xf numFmtId="2" fontId="10" fillId="0" borderId="24" xfId="1279" applyNumberFormat="1" applyFont="1" applyFill="1" applyBorder="1" applyAlignment="1">
      <alignment horizontal="center"/>
    </xf>
    <xf numFmtId="0" fontId="44" fillId="0" borderId="89" xfId="1279" applyFont="1" applyFill="1" applyBorder="1"/>
    <xf numFmtId="0" fontId="44" fillId="0" borderId="85" xfId="1279" applyFont="1" applyFill="1" applyBorder="1" applyAlignment="1">
      <alignment horizontal="left"/>
    </xf>
    <xf numFmtId="4" fontId="44" fillId="0" borderId="85" xfId="1279" applyNumberFormat="1" applyFont="1" applyFill="1" applyBorder="1" applyAlignment="1">
      <alignment horizontal="right"/>
    </xf>
    <xf numFmtId="0" fontId="37" fillId="0" borderId="0" xfId="1293" applyFont="1" applyFill="1" applyBorder="1"/>
    <xf numFmtId="0" fontId="34" fillId="0" borderId="0" xfId="1293" applyFont="1" applyFill="1" applyBorder="1"/>
    <xf numFmtId="0" fontId="34" fillId="0" borderId="0" xfId="1293" applyFont="1" applyFill="1" applyBorder="1" applyAlignment="1">
      <alignment horizontal="center"/>
    </xf>
    <xf numFmtId="39" fontId="34" fillId="0" borderId="0" xfId="1293" applyNumberFormat="1" applyFont="1" applyFill="1" applyBorder="1"/>
    <xf numFmtId="2" fontId="34" fillId="0" borderId="0" xfId="1293" applyNumberFormat="1" applyFont="1" applyFill="1" applyBorder="1"/>
    <xf numFmtId="0" fontId="37" fillId="0" borderId="0" xfId="1293" applyFont="1" applyFill="1"/>
    <xf numFmtId="0" fontId="37" fillId="0" borderId="0" xfId="1293" applyFont="1" applyFill="1" applyAlignment="1">
      <alignment horizontal="center"/>
    </xf>
    <xf numFmtId="0" fontId="34" fillId="0" borderId="75" xfId="1293" applyFont="1" applyFill="1" applyBorder="1"/>
    <xf numFmtId="0" fontId="34" fillId="0" borderId="73" xfId="1293" applyFont="1" applyFill="1" applyBorder="1"/>
    <xf numFmtId="0" fontId="34" fillId="0" borderId="73" xfId="1293" applyFont="1" applyFill="1" applyBorder="1" applyAlignment="1">
      <alignment horizontal="center"/>
    </xf>
    <xf numFmtId="39" fontId="34" fillId="0" borderId="73" xfId="1293" applyNumberFormat="1" applyFont="1" applyFill="1" applyBorder="1"/>
    <xf numFmtId="39" fontId="34" fillId="0" borderId="65" xfId="1293" applyNumberFormat="1" applyFont="1" applyFill="1" applyBorder="1"/>
    <xf numFmtId="0" fontId="34" fillId="0" borderId="60" xfId="1293" applyFont="1" applyFill="1" applyBorder="1"/>
    <xf numFmtId="2" fontId="34" fillId="0" borderId="19" xfId="1293" applyNumberFormat="1" applyFont="1" applyFill="1" applyBorder="1"/>
    <xf numFmtId="0" fontId="34" fillId="0" borderId="19" xfId="1293" applyFont="1" applyFill="1" applyBorder="1" applyAlignment="1">
      <alignment horizontal="center"/>
    </xf>
    <xf numFmtId="39" fontId="34" fillId="0" borderId="19" xfId="1293" applyNumberFormat="1" applyFont="1" applyFill="1" applyBorder="1"/>
    <xf numFmtId="39" fontId="34" fillId="0" borderId="61" xfId="1293" applyNumberFormat="1" applyFont="1" applyFill="1" applyBorder="1"/>
    <xf numFmtId="0" fontId="34" fillId="0" borderId="60" xfId="1293" quotePrefix="1" applyFont="1" applyFill="1" applyBorder="1"/>
    <xf numFmtId="0" fontId="34" fillId="0" borderId="62" xfId="1293" applyFont="1" applyFill="1" applyBorder="1"/>
    <xf numFmtId="0" fontId="34" fillId="0" borderId="63" xfId="1293" applyFont="1" applyFill="1" applyBorder="1"/>
    <xf numFmtId="0" fontId="34" fillId="0" borderId="63" xfId="1293" applyFont="1" applyFill="1" applyBorder="1" applyAlignment="1">
      <alignment horizontal="center"/>
    </xf>
    <xf numFmtId="0" fontId="37" fillId="0" borderId="63" xfId="1293" applyFont="1" applyFill="1" applyBorder="1" applyAlignment="1">
      <alignment horizontal="right"/>
    </xf>
    <xf numFmtId="4" fontId="37" fillId="0" borderId="64" xfId="1293" applyNumberFormat="1" applyFont="1" applyFill="1" applyBorder="1" applyAlignment="1">
      <alignment horizontal="right"/>
    </xf>
    <xf numFmtId="0" fontId="34" fillId="0" borderId="0" xfId="1293" applyFont="1" applyFill="1" applyBorder="1" applyAlignment="1">
      <alignment horizontal="right"/>
    </xf>
    <xf numFmtId="176" fontId="34" fillId="0" borderId="0" xfId="1293" applyNumberFormat="1" applyFont="1" applyFill="1" applyBorder="1"/>
    <xf numFmtId="43" fontId="34" fillId="0" borderId="0" xfId="462" applyFont="1" applyFill="1" applyBorder="1"/>
    <xf numFmtId="39" fontId="34" fillId="0" borderId="52" xfId="1293" applyNumberFormat="1" applyFont="1" applyFill="1" applyBorder="1"/>
    <xf numFmtId="0" fontId="34" fillId="0" borderId="0" xfId="1293" applyFont="1" applyFill="1" applyAlignment="1">
      <alignment horizontal="center"/>
    </xf>
    <xf numFmtId="169" fontId="34" fillId="0" borderId="0" xfId="1293" applyNumberFormat="1" applyFont="1" applyFill="1" applyBorder="1" applyAlignment="1"/>
    <xf numFmtId="43" fontId="34" fillId="0" borderId="0" xfId="462" applyFont="1" applyFill="1" applyBorder="1" applyAlignment="1">
      <alignment horizontal="center"/>
    </xf>
    <xf numFmtId="4" fontId="37" fillId="0" borderId="46" xfId="1293" applyNumberFormat="1" applyFont="1" applyFill="1" applyBorder="1" applyAlignment="1">
      <alignment horizontal="right"/>
    </xf>
    <xf numFmtId="0" fontId="37" fillId="0" borderId="0" xfId="1293" applyFont="1" applyFill="1" applyBorder="1" applyAlignment="1">
      <alignment horizontal="right"/>
    </xf>
    <xf numFmtId="0" fontId="37" fillId="0" borderId="26" xfId="1293" applyFont="1" applyFill="1" applyBorder="1" applyAlignment="1">
      <alignment horizontal="center"/>
    </xf>
    <xf numFmtId="0" fontId="34" fillId="0" borderId="74" xfId="1293" applyFont="1" applyFill="1" applyBorder="1" applyAlignment="1">
      <alignment horizontal="center"/>
    </xf>
    <xf numFmtId="39" fontId="37" fillId="0" borderId="0" xfId="1293" applyNumberFormat="1" applyFont="1" applyFill="1" applyBorder="1"/>
    <xf numFmtId="0" fontId="34" fillId="0" borderId="0" xfId="1293" applyFont="1" applyFill="1"/>
    <xf numFmtId="0" fontId="34" fillId="0" borderId="0" xfId="1293" applyFont="1" applyFill="1" applyBorder="1" applyAlignment="1">
      <alignment horizontal="centerContinuous"/>
    </xf>
    <xf numFmtId="0" fontId="37" fillId="0" borderId="75" xfId="1293" applyFont="1" applyFill="1" applyBorder="1"/>
    <xf numFmtId="0" fontId="37" fillId="0" borderId="73" xfId="1293" applyFont="1" applyFill="1" applyBorder="1"/>
    <xf numFmtId="0" fontId="37" fillId="0" borderId="65" xfId="1293" applyFont="1" applyFill="1" applyBorder="1"/>
    <xf numFmtId="0" fontId="34" fillId="0" borderId="19" xfId="1293" applyFont="1" applyFill="1" applyBorder="1"/>
    <xf numFmtId="0" fontId="34" fillId="0" borderId="19" xfId="1293" applyFont="1" applyFill="1" applyBorder="1" applyAlignment="1">
      <alignment horizontal="centerContinuous"/>
    </xf>
    <xf numFmtId="2" fontId="34" fillId="0" borderId="61" xfId="1293" applyNumberFormat="1" applyFont="1" applyFill="1" applyBorder="1"/>
    <xf numFmtId="0" fontId="34" fillId="0" borderId="60" xfId="0" applyFont="1" applyFill="1" applyBorder="1" applyAlignment="1">
      <alignment horizontal="left"/>
    </xf>
    <xf numFmtId="169" fontId="34" fillId="0" borderId="19" xfId="921" applyFont="1" applyFill="1" applyBorder="1"/>
    <xf numFmtId="169" fontId="34" fillId="0" borderId="19" xfId="921" applyFont="1" applyFill="1" applyBorder="1" applyAlignment="1">
      <alignment horizontal="center"/>
    </xf>
    <xf numFmtId="169" fontId="34" fillId="0" borderId="61" xfId="921" applyFont="1" applyFill="1" applyBorder="1"/>
    <xf numFmtId="0" fontId="34" fillId="0" borderId="48" xfId="1293" applyFont="1" applyFill="1" applyBorder="1"/>
    <xf numFmtId="0" fontId="34" fillId="0" borderId="25" xfId="1293" applyFont="1" applyFill="1" applyBorder="1"/>
    <xf numFmtId="0" fontId="37" fillId="0" borderId="25" xfId="1293" applyFont="1" applyFill="1" applyBorder="1" applyAlignment="1">
      <alignment horizontal="right"/>
    </xf>
    <xf numFmtId="4" fontId="37" fillId="0" borderId="72" xfId="1293" applyNumberFormat="1" applyFont="1" applyFill="1" applyBorder="1" applyAlignment="1">
      <alignment horizontal="right"/>
    </xf>
    <xf numFmtId="0" fontId="34" fillId="0" borderId="80" xfId="1293" applyFont="1" applyFill="1" applyBorder="1" applyAlignment="1">
      <alignment horizontal="right"/>
    </xf>
    <xf numFmtId="2" fontId="34" fillId="0" borderId="96" xfId="1293" applyNumberFormat="1" applyFont="1" applyFill="1" applyBorder="1"/>
    <xf numFmtId="2" fontId="34" fillId="0" borderId="0" xfId="1293" applyNumberFormat="1" applyFont="1" applyFill="1" applyBorder="1" applyAlignment="1">
      <alignment horizontal="right"/>
    </xf>
    <xf numFmtId="43" fontId="34" fillId="0" borderId="0" xfId="462" applyFont="1" applyFill="1" applyBorder="1" applyAlignment="1"/>
    <xf numFmtId="0" fontId="44" fillId="0" borderId="0" xfId="1293" applyFont="1" applyFill="1"/>
    <xf numFmtId="0" fontId="10" fillId="0" borderId="0" xfId="1293" applyFont="1" applyFill="1"/>
    <xf numFmtId="0" fontId="10" fillId="0" borderId="39" xfId="1293" applyFont="1" applyFill="1" applyBorder="1"/>
    <xf numFmtId="2" fontId="10" fillId="0" borderId="40" xfId="1293" applyNumberFormat="1" applyFont="1" applyFill="1" applyBorder="1"/>
    <xf numFmtId="0" fontId="10" fillId="0" borderId="40" xfId="1293" applyFont="1" applyFill="1" applyBorder="1" applyAlignment="1">
      <alignment horizontal="centerContinuous"/>
    </xf>
    <xf numFmtId="2" fontId="10" fillId="0" borderId="41" xfId="1293" applyNumberFormat="1" applyFont="1" applyFill="1" applyBorder="1"/>
    <xf numFmtId="0" fontId="10" fillId="0" borderId="42" xfId="1293" applyFont="1" applyFill="1" applyBorder="1"/>
    <xf numFmtId="0" fontId="10" fillId="0" borderId="24" xfId="1293" applyFont="1" applyFill="1" applyBorder="1"/>
    <xf numFmtId="0" fontId="10" fillId="0" borderId="24" xfId="1293" applyFont="1" applyFill="1" applyBorder="1" applyAlignment="1">
      <alignment horizontal="centerContinuous"/>
    </xf>
    <xf numFmtId="39" fontId="10" fillId="0" borderId="24" xfId="1293" applyNumberFormat="1" applyFont="1" applyFill="1" applyBorder="1"/>
    <xf numFmtId="2" fontId="10" fillId="0" borderId="43" xfId="1293" applyNumberFormat="1" applyFont="1" applyFill="1" applyBorder="1"/>
    <xf numFmtId="2" fontId="10" fillId="0" borderId="24" xfId="1293" applyNumberFormat="1" applyFont="1" applyFill="1" applyBorder="1"/>
    <xf numFmtId="176" fontId="10" fillId="0" borderId="43" xfId="1293" applyNumberFormat="1" applyFont="1" applyFill="1" applyBorder="1"/>
    <xf numFmtId="0" fontId="10" fillId="0" borderId="44" xfId="1293" applyFont="1" applyFill="1" applyBorder="1"/>
    <xf numFmtId="0" fontId="10" fillId="0" borderId="45" xfId="1293" applyFont="1" applyFill="1" applyBorder="1"/>
    <xf numFmtId="0" fontId="44" fillId="0" borderId="45" xfId="1293" applyFont="1" applyFill="1" applyBorder="1" applyAlignment="1">
      <alignment horizontal="right"/>
    </xf>
    <xf numFmtId="2" fontId="44" fillId="0" borderId="46" xfId="1293" applyNumberFormat="1" applyFont="1" applyFill="1" applyBorder="1" applyAlignment="1">
      <alignment horizontal="right"/>
    </xf>
    <xf numFmtId="0" fontId="44" fillId="0" borderId="39" xfId="1293" applyFont="1" applyFill="1" applyBorder="1"/>
    <xf numFmtId="0" fontId="62" fillId="0" borderId="78" xfId="0" applyFont="1" applyFill="1" applyBorder="1" applyAlignment="1">
      <alignment horizontal="left" wrapText="1"/>
    </xf>
    <xf numFmtId="4" fontId="10" fillId="0" borderId="40" xfId="1293" applyNumberFormat="1" applyFont="1" applyFill="1" applyBorder="1" applyAlignment="1"/>
    <xf numFmtId="4" fontId="10" fillId="0" borderId="41" xfId="1293" applyNumberFormat="1" applyFont="1" applyFill="1" applyBorder="1" applyAlignment="1"/>
    <xf numFmtId="4" fontId="10" fillId="0" borderId="24" xfId="1293" applyNumberFormat="1" applyFont="1" applyFill="1" applyBorder="1" applyAlignment="1"/>
    <xf numFmtId="4" fontId="10" fillId="0" borderId="43" xfId="1293" applyNumberFormat="1" applyFont="1" applyFill="1" applyBorder="1" applyAlignment="1"/>
    <xf numFmtId="4" fontId="44" fillId="0" borderId="45" xfId="1293" applyNumberFormat="1" applyFont="1" applyFill="1" applyBorder="1" applyAlignment="1">
      <alignment horizontal="right"/>
    </xf>
    <xf numFmtId="4" fontId="44" fillId="0" borderId="46" xfId="1293" applyNumberFormat="1" applyFont="1" applyFill="1" applyBorder="1" applyAlignment="1">
      <alignment horizontal="right"/>
    </xf>
    <xf numFmtId="1" fontId="175" fillId="0" borderId="19" xfId="1744" applyNumberFormat="1" applyFont="1" applyFill="1" applyBorder="1" applyAlignment="1">
      <alignment vertical="top"/>
    </xf>
    <xf numFmtId="0" fontId="175" fillId="0" borderId="19" xfId="1746" applyFont="1" applyFill="1" applyBorder="1" applyAlignment="1">
      <alignment vertical="top"/>
    </xf>
    <xf numFmtId="4" fontId="175" fillId="0" borderId="19" xfId="1744" applyNumberFormat="1" applyFont="1" applyFill="1" applyBorder="1" applyAlignment="1">
      <alignment vertical="top"/>
    </xf>
    <xf numFmtId="0" fontId="71" fillId="0" borderId="19" xfId="1744" applyFont="1" applyFill="1" applyBorder="1" applyAlignment="1">
      <alignment horizontal="left" vertical="top" wrapText="1"/>
    </xf>
    <xf numFmtId="4" fontId="174" fillId="48" borderId="78" xfId="0" applyNumberFormat="1" applyFont="1" applyFill="1" applyBorder="1" applyAlignment="1">
      <alignment vertical="top"/>
    </xf>
    <xf numFmtId="174" fontId="175" fillId="0" borderId="19" xfId="1744" applyNumberFormat="1" applyFont="1" applyFill="1" applyBorder="1" applyAlignment="1">
      <alignment vertical="top"/>
    </xf>
    <xf numFmtId="2" fontId="175" fillId="0" borderId="19" xfId="1744" applyNumberFormat="1" applyFont="1" applyFill="1" applyBorder="1" applyAlignment="1">
      <alignment vertical="top"/>
    </xf>
    <xf numFmtId="0" fontId="175" fillId="0" borderId="19" xfId="1744" applyFont="1" applyFill="1" applyBorder="1" applyAlignment="1">
      <alignment vertical="top" wrapText="1"/>
    </xf>
    <xf numFmtId="0" fontId="176" fillId="0" borderId="19" xfId="1746" applyFont="1" applyFill="1" applyBorder="1" applyAlignment="1">
      <alignment vertical="top"/>
    </xf>
    <xf numFmtId="0" fontId="176" fillId="0" borderId="19" xfId="1744" applyFont="1" applyFill="1" applyBorder="1" applyAlignment="1">
      <alignment vertical="top"/>
    </xf>
    <xf numFmtId="0" fontId="175" fillId="0" borderId="19" xfId="1744" applyFont="1" applyFill="1" applyBorder="1" applyAlignment="1">
      <alignment horizontal="right" vertical="top"/>
    </xf>
    <xf numFmtId="0" fontId="71" fillId="0" borderId="19" xfId="1744" applyFont="1" applyFill="1" applyBorder="1" applyAlignment="1">
      <alignment horizontal="left" vertical="top"/>
    </xf>
    <xf numFmtId="0" fontId="175" fillId="0" borderId="19" xfId="1746" applyFont="1" applyFill="1" applyBorder="1" applyAlignment="1">
      <alignment vertical="top" wrapText="1"/>
    </xf>
    <xf numFmtId="0" fontId="175" fillId="0" borderId="19" xfId="1744" applyFont="1" applyFill="1" applyBorder="1" applyAlignment="1">
      <alignment vertical="top"/>
    </xf>
    <xf numFmtId="4" fontId="175" fillId="0" borderId="19" xfId="1743" applyNumberFormat="1" applyFont="1" applyFill="1" applyBorder="1" applyAlignment="1">
      <alignment vertical="top"/>
    </xf>
    <xf numFmtId="0" fontId="9" fillId="0" borderId="0" xfId="1763" applyFont="1" applyAlignment="1" applyProtection="1">
      <alignment vertical="top" wrapText="1"/>
    </xf>
    <xf numFmtId="0" fontId="8" fillId="0" borderId="0" xfId="1747" applyAlignment="1">
      <alignment vertical="top"/>
    </xf>
    <xf numFmtId="0" fontId="9" fillId="48" borderId="0" xfId="1763" applyFont="1" applyFill="1" applyAlignment="1" applyProtection="1">
      <alignment horizontal="center" vertical="top" wrapText="1"/>
    </xf>
    <xf numFmtId="0" fontId="9" fillId="48" borderId="0" xfId="1763" applyFont="1" applyFill="1" applyAlignment="1" applyProtection="1">
      <alignment horizontal="right" vertical="top" wrapText="1"/>
    </xf>
    <xf numFmtId="192" fontId="9" fillId="48" borderId="0" xfId="1763" applyNumberFormat="1" applyFont="1" applyFill="1" applyAlignment="1" applyProtection="1">
      <alignment horizontal="center" vertical="top" wrapText="1"/>
    </xf>
    <xf numFmtId="0" fontId="9" fillId="0" borderId="0" xfId="1763" applyFont="1" applyAlignment="1" applyProtection="1">
      <alignment horizontal="right" vertical="top" wrapText="1"/>
    </xf>
    <xf numFmtId="0" fontId="8" fillId="0" borderId="0" xfId="1763" applyAlignment="1" applyProtection="1">
      <alignment vertical="top" wrapText="1"/>
    </xf>
    <xf numFmtId="0" fontId="8" fillId="48" borderId="0" xfId="1763" applyFill="1" applyAlignment="1" applyProtection="1">
      <alignment vertical="top"/>
    </xf>
    <xf numFmtId="0" fontId="8" fillId="48" borderId="0" xfId="1748" applyFill="1" applyAlignment="1" applyProtection="1">
      <alignment horizontal="right" vertical="top" wrapText="1"/>
    </xf>
    <xf numFmtId="4" fontId="8" fillId="48" borderId="0" xfId="1749" quotePrefix="1" applyNumberFormat="1" applyFill="1" applyAlignment="1" applyProtection="1">
      <alignment horizontal="center" vertical="top"/>
    </xf>
    <xf numFmtId="192" fontId="8" fillId="48" borderId="0" xfId="1749" applyNumberFormat="1" applyFill="1" applyAlignment="1" applyProtection="1">
      <alignment vertical="top" wrapText="1"/>
    </xf>
    <xf numFmtId="4" fontId="8" fillId="0" borderId="0" xfId="1749" applyNumberFormat="1" applyAlignment="1" applyProtection="1">
      <alignment horizontal="right" vertical="top" wrapText="1"/>
    </xf>
    <xf numFmtId="0" fontId="9" fillId="0" borderId="91" xfId="1747" applyFont="1" applyBorder="1" applyAlignment="1">
      <alignment horizontal="center" vertical="top"/>
    </xf>
    <xf numFmtId="0" fontId="9" fillId="0" borderId="92" xfId="1747" applyFont="1" applyBorder="1" applyAlignment="1">
      <alignment horizontal="center" vertical="top"/>
    </xf>
    <xf numFmtId="0" fontId="9" fillId="0" borderId="93" xfId="1747" applyFont="1" applyBorder="1" applyAlignment="1">
      <alignment horizontal="center" vertical="top"/>
    </xf>
    <xf numFmtId="0" fontId="9" fillId="83" borderId="0" xfId="1747" applyFont="1" applyFill="1" applyAlignment="1">
      <alignment horizontal="center" vertical="top"/>
    </xf>
    <xf numFmtId="0" fontId="8" fillId="83" borderId="0" xfId="1747" applyFill="1" applyAlignment="1">
      <alignment horizontal="center" vertical="top"/>
    </xf>
    <xf numFmtId="0" fontId="8" fillId="83" borderId="0" xfId="1747" applyFill="1" applyAlignment="1">
      <alignment vertical="top"/>
    </xf>
    <xf numFmtId="4" fontId="8" fillId="70" borderId="0" xfId="1747" applyNumberFormat="1" applyFill="1" applyAlignment="1">
      <alignment vertical="top"/>
    </xf>
    <xf numFmtId="4" fontId="8" fillId="0" borderId="0" xfId="1747" applyNumberFormat="1" applyAlignment="1">
      <alignment vertical="top"/>
    </xf>
    <xf numFmtId="4" fontId="8" fillId="66" borderId="0" xfId="1747" applyNumberFormat="1" applyFill="1" applyAlignment="1">
      <alignment vertical="top"/>
    </xf>
    <xf numFmtId="0" fontId="8" fillId="0" borderId="0" xfId="1747" applyAlignment="1">
      <alignment horizontal="center" vertical="top"/>
    </xf>
    <xf numFmtId="0" fontId="8" fillId="70" borderId="0" xfId="1747" applyFill="1" applyAlignment="1">
      <alignment vertical="top"/>
    </xf>
    <xf numFmtId="0" fontId="8" fillId="70" borderId="0" xfId="1764" applyFill="1" applyAlignment="1" applyProtection="1">
      <alignment vertical="top" wrapText="1"/>
    </xf>
    <xf numFmtId="0" fontId="8" fillId="70" borderId="0" xfId="1747" applyFill="1" applyAlignment="1">
      <alignment horizontal="center" vertical="top"/>
    </xf>
    <xf numFmtId="4" fontId="8" fillId="70" borderId="0" xfId="712" applyNumberFormat="1" applyFont="1" applyFill="1" applyBorder="1" applyAlignment="1">
      <alignment vertical="top"/>
    </xf>
    <xf numFmtId="0" fontId="8" fillId="83" borderId="0" xfId="1764" applyFill="1" applyAlignment="1" applyProtection="1">
      <alignment vertical="top" wrapText="1"/>
    </xf>
    <xf numFmtId="0" fontId="8" fillId="83" borderId="0" xfId="1747" applyFill="1" applyAlignment="1">
      <alignment vertical="top" wrapText="1"/>
    </xf>
    <xf numFmtId="0" fontId="8" fillId="70" borderId="0" xfId="1499" applyFont="1" applyFill="1" applyAlignment="1">
      <alignment wrapText="1"/>
    </xf>
    <xf numFmtId="0" fontId="8" fillId="66" borderId="0" xfId="1747" applyFill="1" applyAlignment="1">
      <alignment vertical="top"/>
    </xf>
    <xf numFmtId="0" fontId="13" fillId="83" borderId="0" xfId="1765" applyFont="1" applyFill="1" applyProtection="1"/>
    <xf numFmtId="4" fontId="13" fillId="66" borderId="0" xfId="1750" applyNumberFormat="1" applyFont="1" applyFill="1" applyAlignment="1" applyProtection="1"/>
    <xf numFmtId="0" fontId="13" fillId="83" borderId="0" xfId="1766" applyFont="1" applyFill="1" applyAlignment="1" applyProtection="1">
      <alignment horizontal="center" vertical="center"/>
    </xf>
    <xf numFmtId="43" fontId="136" fillId="66" borderId="0" xfId="1750" applyFont="1" applyFill="1" applyAlignment="1" applyProtection="1"/>
    <xf numFmtId="43" fontId="13" fillId="66" borderId="0" xfId="1750" applyFont="1" applyFill="1" applyAlignment="1" applyProtection="1"/>
    <xf numFmtId="0" fontId="13" fillId="70" borderId="0" xfId="1499" applyFont="1" applyFill="1" applyAlignment="1">
      <alignment horizontal="left" vertical="top" wrapText="1"/>
    </xf>
    <xf numFmtId="2" fontId="8" fillId="70" borderId="0" xfId="1747" applyNumberFormat="1" applyFill="1" applyAlignment="1">
      <alignment vertical="top"/>
    </xf>
    <xf numFmtId="169" fontId="8" fillId="70" borderId="0" xfId="1756" applyFont="1" applyFill="1" applyAlignment="1">
      <alignment vertical="top"/>
    </xf>
    <xf numFmtId="0" fontId="8" fillId="70" borderId="0" xfId="1747" applyFill="1" applyAlignment="1">
      <alignment vertical="top" wrapText="1"/>
    </xf>
    <xf numFmtId="0" fontId="8" fillId="70" borderId="0" xfId="1499" quotePrefix="1" applyFont="1" applyFill="1" applyAlignment="1">
      <alignment horizontal="left" vertical="top"/>
    </xf>
    <xf numFmtId="0" fontId="8" fillId="70" borderId="0" xfId="1499" quotePrefix="1" applyFont="1" applyFill="1" applyAlignment="1">
      <alignment horizontal="left" vertical="top" wrapText="1"/>
    </xf>
    <xf numFmtId="4" fontId="178" fillId="70" borderId="0" xfId="1750" applyNumberFormat="1" applyFont="1" applyFill="1" applyAlignment="1" applyProtection="1">
      <alignment vertical="center"/>
    </xf>
    <xf numFmtId="4" fontId="178" fillId="70" borderId="0" xfId="1766" applyNumberFormat="1" applyFont="1" applyFill="1" applyAlignment="1">
      <alignment horizontal="left" vertical="top"/>
      <protection locked="0"/>
    </xf>
    <xf numFmtId="4" fontId="13" fillId="70" borderId="0" xfId="1766" applyNumberFormat="1" applyFont="1" applyFill="1" applyAlignment="1">
      <alignment horizontal="left" vertical="center"/>
      <protection locked="0"/>
    </xf>
    <xf numFmtId="4" fontId="178" fillId="70" borderId="0" xfId="1766" applyNumberFormat="1" applyFont="1" applyFill="1" applyAlignment="1">
      <alignment horizontal="left" vertical="center"/>
      <protection locked="0"/>
    </xf>
    <xf numFmtId="0" fontId="178" fillId="70" borderId="0" xfId="1210" applyFont="1" applyFill="1" applyAlignment="1">
      <alignment horizontal="center" vertical="center"/>
    </xf>
    <xf numFmtId="2" fontId="8" fillId="0" borderId="0" xfId="1747" applyNumberFormat="1" applyAlignment="1">
      <alignment vertical="top"/>
    </xf>
    <xf numFmtId="0" fontId="13" fillId="70" borderId="0" xfId="1742" applyFont="1" applyFill="1"/>
    <xf numFmtId="0" fontId="8" fillId="0" borderId="0" xfId="1747" applyAlignment="1">
      <alignment horizontal="center" vertical="center"/>
    </xf>
    <xf numFmtId="185" fontId="174" fillId="48" borderId="19" xfId="0" applyNumberFormat="1" applyFont="1" applyFill="1" applyBorder="1" applyAlignment="1" applyProtection="1">
      <alignment horizontal="right" vertical="top"/>
    </xf>
    <xf numFmtId="0" fontId="71" fillId="0" borderId="0" xfId="0" applyFont="1" applyAlignment="1">
      <alignment vertical="top"/>
    </xf>
    <xf numFmtId="0" fontId="8" fillId="70" borderId="19" xfId="0" applyFont="1" applyFill="1" applyBorder="1" applyAlignment="1" applyProtection="1">
      <alignment vertical="top"/>
    </xf>
    <xf numFmtId="0" fontId="9" fillId="70" borderId="19" xfId="0" applyFont="1" applyFill="1" applyBorder="1" applyAlignment="1" applyProtection="1">
      <alignment vertical="top"/>
    </xf>
    <xf numFmtId="0" fontId="9" fillId="70" borderId="19" xfId="1767" applyFont="1" applyFill="1" applyBorder="1" applyAlignment="1" applyProtection="1">
      <alignment horizontal="center" vertical="top"/>
    </xf>
    <xf numFmtId="49" fontId="9" fillId="70" borderId="78" xfId="1302" applyNumberFormat="1" applyFont="1" applyFill="1" applyBorder="1" applyAlignment="1" applyProtection="1">
      <alignment vertical="top" wrapText="1"/>
    </xf>
    <xf numFmtId="0" fontId="71" fillId="70" borderId="78" xfId="0" applyFont="1" applyFill="1" applyBorder="1" applyAlignment="1">
      <alignment vertical="top" wrapText="1"/>
    </xf>
    <xf numFmtId="4" fontId="8" fillId="0" borderId="19" xfId="1302" applyNumberFormat="1" applyFont="1" applyFill="1" applyBorder="1" applyAlignment="1" applyProtection="1">
      <alignment vertical="top" wrapText="1"/>
    </xf>
    <xf numFmtId="4" fontId="8" fillId="0" borderId="78" xfId="1302" applyNumberFormat="1" applyFont="1" applyFill="1" applyBorder="1" applyAlignment="1" applyProtection="1">
      <alignment vertical="top" wrapText="1"/>
    </xf>
    <xf numFmtId="4" fontId="136" fillId="0" borderId="78" xfId="1302" applyNumberFormat="1" applyFont="1" applyFill="1" applyBorder="1" applyAlignment="1" applyProtection="1">
      <alignment vertical="top" wrapText="1"/>
    </xf>
    <xf numFmtId="4" fontId="8" fillId="0" borderId="78" xfId="1302" applyNumberFormat="1" applyFont="1" applyFill="1" applyBorder="1" applyAlignment="1" applyProtection="1">
      <alignment horizontal="right" vertical="top"/>
    </xf>
    <xf numFmtId="4" fontId="9" fillId="0" borderId="19" xfId="1302" applyNumberFormat="1" applyFont="1" applyFill="1" applyBorder="1" applyAlignment="1" applyProtection="1">
      <alignment horizontal="left" vertical="top"/>
    </xf>
    <xf numFmtId="4" fontId="9" fillId="0" borderId="78" xfId="1302" applyNumberFormat="1" applyFont="1" applyFill="1" applyBorder="1" applyAlignment="1" applyProtection="1">
      <alignment horizontal="left" vertical="top"/>
    </xf>
    <xf numFmtId="4" fontId="8" fillId="0" borderId="78" xfId="1302" applyNumberFormat="1" applyFont="1" applyFill="1" applyBorder="1" applyAlignment="1" applyProtection="1">
      <alignment vertical="top"/>
    </xf>
    <xf numFmtId="0" fontId="8" fillId="0" borderId="19" xfId="0" applyFont="1" applyFill="1" applyBorder="1" applyAlignment="1" applyProtection="1">
      <alignment vertical="top"/>
    </xf>
    <xf numFmtId="0" fontId="8" fillId="0" borderId="74" xfId="0" applyFont="1" applyFill="1" applyBorder="1" applyAlignment="1" applyProtection="1">
      <alignment vertical="top"/>
    </xf>
    <xf numFmtId="39" fontId="8" fillId="0" borderId="19" xfId="1302" applyFont="1" applyFill="1" applyBorder="1" applyAlignment="1" applyProtection="1">
      <alignment horizontal="left" vertical="top"/>
    </xf>
    <xf numFmtId="0" fontId="9" fillId="0" borderId="74" xfId="0" applyFont="1" applyFill="1" applyBorder="1" applyAlignment="1" applyProtection="1">
      <alignment vertical="top"/>
    </xf>
    <xf numFmtId="39" fontId="9" fillId="0" borderId="19" xfId="1302" applyFont="1" applyFill="1" applyBorder="1" applyAlignment="1" applyProtection="1">
      <alignment horizontal="left" vertical="top"/>
    </xf>
    <xf numFmtId="39" fontId="71" fillId="0" borderId="19" xfId="1302" applyFont="1" applyFill="1" applyBorder="1" applyAlignment="1" applyProtection="1">
      <alignment horizontal="left" vertical="top"/>
    </xf>
    <xf numFmtId="0" fontId="9" fillId="0" borderId="19" xfId="0" applyFont="1" applyFill="1" applyBorder="1" applyAlignment="1" applyProtection="1">
      <alignment vertical="top"/>
    </xf>
    <xf numFmtId="4" fontId="8" fillId="70" borderId="78" xfId="1050" applyNumberFormat="1" applyFont="1" applyFill="1" applyBorder="1" applyAlignment="1" applyProtection="1">
      <alignment horizontal="right" vertical="top" wrapText="1"/>
    </xf>
    <xf numFmtId="4" fontId="8" fillId="70" borderId="78" xfId="0" applyNumberFormat="1" applyFont="1" applyFill="1" applyBorder="1" applyAlignment="1" applyProtection="1">
      <alignment horizontal="right" vertical="top"/>
    </xf>
    <xf numFmtId="4" fontId="136" fillId="0" borderId="0" xfId="0" applyNumberFormat="1" applyFont="1"/>
    <xf numFmtId="0" fontId="0" fillId="0" borderId="0" xfId="0"/>
    <xf numFmtId="0" fontId="0" fillId="0" borderId="0" xfId="0" quotePrefix="1" applyAlignment="1">
      <alignment wrapText="1"/>
    </xf>
    <xf numFmtId="4" fontId="8" fillId="70" borderId="78" xfId="868" applyNumberFormat="1" applyFont="1" applyFill="1" applyBorder="1" applyAlignment="1">
      <alignment horizontal="right" vertical="top" wrapText="1"/>
    </xf>
    <xf numFmtId="2" fontId="8" fillId="0" borderId="19" xfId="0" applyNumberFormat="1" applyFont="1" applyFill="1" applyBorder="1" applyAlignment="1" applyProtection="1">
      <alignment vertical="top"/>
    </xf>
    <xf numFmtId="0" fontId="0" fillId="0" borderId="0" xfId="0"/>
    <xf numFmtId="4" fontId="8" fillId="70" borderId="19" xfId="0" applyNumberFormat="1" applyFont="1" applyFill="1" applyBorder="1" applyAlignment="1">
      <alignment horizontal="center" vertical="top"/>
    </xf>
    <xf numFmtId="4" fontId="9" fillId="0" borderId="146" xfId="0" applyNumberFormat="1" applyFont="1" applyBorder="1"/>
    <xf numFmtId="0" fontId="0" fillId="0" borderId="0" xfId="0"/>
    <xf numFmtId="0" fontId="0" fillId="0" borderId="0" xfId="0" applyAlignment="1">
      <alignment horizontal="center"/>
    </xf>
    <xf numFmtId="0" fontId="135" fillId="0" borderId="33" xfId="0" applyFont="1" applyFill="1" applyBorder="1"/>
    <xf numFmtId="0" fontId="0" fillId="0" borderId="0" xfId="0" applyAlignment="1">
      <alignment horizontal="left"/>
    </xf>
    <xf numFmtId="0" fontId="181" fillId="66" borderId="0" xfId="0" applyFont="1" applyFill="1"/>
    <xf numFmtId="0" fontId="0" fillId="0" borderId="0" xfId="0"/>
    <xf numFmtId="4" fontId="0" fillId="66" borderId="0" xfId="0" applyNumberFormat="1" applyFill="1"/>
    <xf numFmtId="4" fontId="140" fillId="70" borderId="19" xfId="0" applyNumberFormat="1" applyFont="1" applyFill="1" applyBorder="1" applyAlignment="1">
      <alignment vertical="top"/>
    </xf>
    <xf numFmtId="4" fontId="140" fillId="70" borderId="19" xfId="0" applyNumberFormat="1" applyFont="1" applyFill="1" applyBorder="1" applyAlignment="1">
      <alignment vertical="top" wrapText="1"/>
    </xf>
    <xf numFmtId="0" fontId="8" fillId="70" borderId="19" xfId="0" applyFont="1" applyFill="1" applyBorder="1" applyAlignment="1">
      <alignment horizontal="right" vertical="top" wrapText="1"/>
    </xf>
    <xf numFmtId="0" fontId="71" fillId="70" borderId="19" xfId="0" applyFont="1" applyFill="1" applyBorder="1" applyAlignment="1">
      <alignment horizontal="justify" vertical="top" wrapText="1"/>
    </xf>
    <xf numFmtId="0" fontId="9" fillId="70" borderId="19" xfId="0" applyFont="1" applyFill="1" applyBorder="1" applyAlignment="1">
      <alignment vertical="top"/>
    </xf>
    <xf numFmtId="4" fontId="8" fillId="70" borderId="19" xfId="868" applyNumberFormat="1" applyFont="1" applyFill="1" applyBorder="1" applyAlignment="1">
      <alignment horizontal="right" vertical="top" wrapText="1"/>
    </xf>
    <xf numFmtId="0" fontId="8" fillId="70" borderId="19" xfId="0" applyFont="1" applyFill="1" applyBorder="1" applyAlignment="1">
      <alignment horizontal="center" vertical="top"/>
    </xf>
    <xf numFmtId="4" fontId="8" fillId="70" borderId="19" xfId="0" applyNumberFormat="1" applyFont="1" applyFill="1" applyBorder="1" applyAlignment="1">
      <alignment vertical="top"/>
    </xf>
    <xf numFmtId="0" fontId="9" fillId="70" borderId="19" xfId="0" applyFont="1" applyFill="1" applyBorder="1" applyAlignment="1">
      <alignment vertical="top" wrapText="1"/>
    </xf>
    <xf numFmtId="0" fontId="71" fillId="70" borderId="19" xfId="0" applyFont="1" applyFill="1" applyBorder="1" applyAlignment="1">
      <alignment vertical="top"/>
    </xf>
    <xf numFmtId="0" fontId="71" fillId="70" borderId="78" xfId="0" applyFont="1" applyFill="1" applyBorder="1" applyAlignment="1">
      <alignment vertical="top"/>
    </xf>
    <xf numFmtId="0" fontId="9" fillId="70" borderId="19" xfId="0" applyFont="1" applyFill="1" applyBorder="1" applyAlignment="1">
      <alignment horizontal="right" vertical="top" wrapText="1"/>
    </xf>
    <xf numFmtId="0" fontId="8" fillId="70" borderId="74" xfId="0" applyFont="1" applyFill="1" applyBorder="1" applyAlignment="1">
      <alignment horizontal="right" vertical="top" wrapText="1"/>
    </xf>
    <xf numFmtId="4" fontId="71" fillId="70" borderId="19" xfId="0" applyNumberFormat="1" applyFont="1" applyFill="1" applyBorder="1" applyAlignment="1">
      <alignment vertical="top"/>
    </xf>
    <xf numFmtId="0" fontId="71" fillId="70" borderId="19" xfId="0" applyFont="1" applyFill="1" applyBorder="1" applyAlignment="1">
      <alignment horizontal="center" vertical="top"/>
    </xf>
    <xf numFmtId="0" fontId="71" fillId="0" borderId="0" xfId="0" applyFont="1" applyBorder="1" applyAlignment="1">
      <alignment horizontal="justify" vertical="top" wrapText="1"/>
    </xf>
    <xf numFmtId="0" fontId="71" fillId="70" borderId="0" xfId="0" applyFont="1" applyFill="1" applyBorder="1" applyAlignment="1">
      <alignment horizontal="justify" vertical="top" wrapText="1"/>
    </xf>
    <xf numFmtId="0" fontId="61" fillId="70" borderId="19" xfId="0" applyFont="1" applyFill="1" applyBorder="1" applyAlignment="1">
      <alignment vertical="top" wrapText="1"/>
    </xf>
    <xf numFmtId="4" fontId="71" fillId="70" borderId="19" xfId="868" applyNumberFormat="1" applyFont="1" applyFill="1" applyBorder="1" applyAlignment="1">
      <alignment vertical="top" wrapText="1"/>
    </xf>
    <xf numFmtId="0" fontId="0" fillId="70" borderId="0" xfId="0" applyFill="1" applyAlignment="1">
      <alignment vertical="top"/>
    </xf>
    <xf numFmtId="4" fontId="8" fillId="0" borderId="0" xfId="0" applyNumberFormat="1" applyFont="1" applyFill="1" applyBorder="1" applyAlignment="1">
      <alignment vertical="top"/>
    </xf>
    <xf numFmtId="0" fontId="0" fillId="0" borderId="0" xfId="0" applyAlignment="1">
      <alignment horizontal="center" vertical="top"/>
    </xf>
    <xf numFmtId="0" fontId="0" fillId="0" borderId="0" xfId="0" applyFill="1" applyAlignment="1">
      <alignment vertical="top"/>
    </xf>
    <xf numFmtId="4" fontId="0" fillId="70" borderId="19" xfId="0" applyNumberFormat="1" applyFill="1" applyBorder="1" applyAlignment="1">
      <alignment vertical="top"/>
    </xf>
    <xf numFmtId="0" fontId="8" fillId="84" borderId="0" xfId="0" applyFont="1" applyFill="1" applyBorder="1" applyAlignment="1">
      <alignment vertical="top"/>
    </xf>
    <xf numFmtId="0" fontId="71" fillId="83" borderId="19" xfId="0" applyFont="1" applyFill="1" applyBorder="1" applyAlignment="1">
      <alignment vertical="top"/>
    </xf>
    <xf numFmtId="0" fontId="71" fillId="83" borderId="19" xfId="0" applyFont="1" applyFill="1" applyBorder="1" applyAlignment="1">
      <alignment vertical="top" wrapText="1"/>
    </xf>
    <xf numFmtId="0" fontId="71" fillId="0" borderId="19" xfId="0" applyFont="1" applyFill="1" applyBorder="1" applyAlignment="1">
      <alignment vertical="top" wrapText="1"/>
    </xf>
    <xf numFmtId="4" fontId="71" fillId="0" borderId="19" xfId="868" applyNumberFormat="1" applyFont="1" applyFill="1" applyBorder="1" applyAlignment="1">
      <alignment vertical="top" wrapText="1"/>
    </xf>
    <xf numFmtId="0" fontId="71" fillId="0" borderId="19" xfId="0" applyFont="1" applyFill="1" applyBorder="1" applyAlignment="1">
      <alignment horizontal="center" vertical="top"/>
    </xf>
    <xf numFmtId="4" fontId="71" fillId="0" borderId="19" xfId="0" applyNumberFormat="1"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Alignment="1">
      <alignment vertical="top"/>
    </xf>
    <xf numFmtId="0" fontId="71" fillId="0" borderId="0" xfId="0" applyFont="1" applyFill="1" applyAlignment="1">
      <alignment horizontal="center" vertical="top" wrapText="1"/>
    </xf>
    <xf numFmtId="0" fontId="9" fillId="0" borderId="0" xfId="0" applyFont="1" applyFill="1" applyAlignment="1">
      <alignment vertical="top"/>
    </xf>
    <xf numFmtId="4" fontId="9" fillId="0" borderId="0" xfId="0" applyNumberFormat="1" applyFont="1" applyFill="1" applyAlignment="1">
      <alignment vertical="top"/>
    </xf>
    <xf numFmtId="0" fontId="9" fillId="0" borderId="0" xfId="0" applyFont="1" applyAlignment="1">
      <alignment vertical="top"/>
    </xf>
    <xf numFmtId="4" fontId="8" fillId="0" borderId="0" xfId="0" applyNumberFormat="1" applyFont="1" applyFill="1" applyAlignment="1">
      <alignment vertical="top"/>
    </xf>
    <xf numFmtId="0" fontId="0" fillId="0" borderId="0" xfId="0" applyFill="1" applyAlignment="1">
      <alignment horizontal="center" vertical="top"/>
    </xf>
    <xf numFmtId="0" fontId="0" fillId="0" borderId="19" xfId="0" applyFill="1" applyBorder="1" applyAlignment="1">
      <alignment vertical="top"/>
    </xf>
    <xf numFmtId="0" fontId="0" fillId="0" borderId="19" xfId="0" applyFill="1" applyBorder="1" applyAlignment="1">
      <alignment horizontal="center" vertical="top"/>
    </xf>
    <xf numFmtId="0" fontId="8" fillId="0" borderId="19" xfId="0" applyFont="1" applyFill="1" applyBorder="1" applyAlignment="1">
      <alignment vertical="top"/>
    </xf>
    <xf numFmtId="4" fontId="8" fillId="0" borderId="19" xfId="868" applyNumberFormat="1" applyFont="1" applyFill="1" applyBorder="1" applyAlignment="1">
      <alignment vertical="top" wrapText="1"/>
    </xf>
    <xf numFmtId="0" fontId="8" fillId="0" borderId="19" xfId="0" applyFont="1" applyFill="1" applyBorder="1" applyAlignment="1">
      <alignment horizontal="center" vertical="top"/>
    </xf>
    <xf numFmtId="0" fontId="71" fillId="0" borderId="19" xfId="0" applyNumberFormat="1" applyFont="1" applyFill="1" applyBorder="1" applyAlignment="1">
      <alignment horizontal="left" vertical="top" wrapText="1"/>
    </xf>
    <xf numFmtId="4" fontId="71" fillId="0" borderId="19" xfId="0" applyNumberFormat="1" applyFont="1" applyFill="1" applyBorder="1" applyAlignment="1">
      <alignment horizontal="center" vertical="top"/>
    </xf>
    <xf numFmtId="0" fontId="154" fillId="0" borderId="19" xfId="0" applyFont="1" applyFill="1" applyBorder="1" applyAlignment="1">
      <alignment vertical="top" wrapText="1"/>
    </xf>
    <xf numFmtId="174" fontId="163" fillId="0" borderId="19" xfId="0" applyNumberFormat="1" applyFont="1" applyFill="1" applyBorder="1" applyAlignment="1">
      <alignment horizontal="center" vertical="top"/>
    </xf>
    <xf numFmtId="0" fontId="153" fillId="0" borderId="0" xfId="0" applyFont="1" applyAlignment="1">
      <alignment vertical="top"/>
    </xf>
    <xf numFmtId="174" fontId="71" fillId="0" borderId="19" xfId="0" applyNumberFormat="1" applyFont="1" applyFill="1" applyBorder="1" applyAlignment="1">
      <alignment horizontal="center" vertical="top"/>
    </xf>
    <xf numFmtId="0" fontId="163" fillId="0" borderId="0" xfId="0" applyFont="1" applyAlignment="1">
      <alignment vertical="top"/>
    </xf>
    <xf numFmtId="0" fontId="71" fillId="0" borderId="78" xfId="0" applyFont="1" applyFill="1" applyBorder="1" applyAlignment="1">
      <alignment vertical="top"/>
    </xf>
    <xf numFmtId="0" fontId="71" fillId="0" borderId="0" xfId="0" applyFont="1" applyAlignment="1">
      <alignment horizontal="center" vertical="top"/>
    </xf>
    <xf numFmtId="4" fontId="155" fillId="0" borderId="19" xfId="868" applyNumberFormat="1" applyFont="1" applyFill="1" applyBorder="1" applyAlignment="1">
      <alignment vertical="top" wrapText="1"/>
    </xf>
    <xf numFmtId="4" fontId="155" fillId="0" borderId="19" xfId="0" applyNumberFormat="1" applyFont="1" applyFill="1" applyBorder="1" applyAlignment="1">
      <alignment vertical="top"/>
    </xf>
    <xf numFmtId="0" fontId="136" fillId="0" borderId="0" xfId="0" applyFont="1" applyFill="1" applyAlignment="1">
      <alignment vertical="top"/>
    </xf>
    <xf numFmtId="0" fontId="136" fillId="0" borderId="0" xfId="0" applyFont="1" applyAlignment="1">
      <alignment vertical="top"/>
    </xf>
    <xf numFmtId="0" fontId="71" fillId="0" borderId="19" xfId="0" quotePrefix="1" applyFont="1" applyFill="1" applyBorder="1" applyAlignment="1">
      <alignment horizontal="left" vertical="top" wrapText="1"/>
    </xf>
    <xf numFmtId="4" fontId="61" fillId="0" borderId="19" xfId="868" applyNumberFormat="1" applyFont="1" applyFill="1" applyBorder="1" applyAlignment="1">
      <alignment vertical="top" wrapText="1"/>
    </xf>
    <xf numFmtId="0" fontId="61" fillId="0" borderId="19" xfId="0" applyFont="1" applyFill="1" applyBorder="1" applyAlignment="1">
      <alignment horizontal="center" vertical="top"/>
    </xf>
    <xf numFmtId="4" fontId="61" fillId="0" borderId="19" xfId="0" applyNumberFormat="1" applyFont="1" applyFill="1" applyBorder="1" applyAlignment="1">
      <alignment vertical="top"/>
    </xf>
    <xf numFmtId="0" fontId="71" fillId="70" borderId="19" xfId="0" applyFont="1" applyFill="1" applyBorder="1" applyAlignment="1">
      <alignment horizontal="left" vertical="top" wrapText="1"/>
    </xf>
    <xf numFmtId="0" fontId="8" fillId="70" borderId="0" xfId="0" applyFont="1" applyFill="1" applyAlignment="1">
      <alignment vertical="top"/>
    </xf>
    <xf numFmtId="4" fontId="71" fillId="0" borderId="19" xfId="1047" applyNumberFormat="1" applyFont="1" applyFill="1" applyBorder="1" applyAlignment="1">
      <alignment horizontal="center" vertical="top" wrapText="1"/>
    </xf>
    <xf numFmtId="4" fontId="71" fillId="0" borderId="19" xfId="1047" applyNumberFormat="1" applyFont="1" applyFill="1" applyBorder="1" applyAlignment="1" applyProtection="1">
      <alignment vertical="top" wrapText="1"/>
      <protection locked="0"/>
    </xf>
    <xf numFmtId="174" fontId="8" fillId="0" borderId="19" xfId="1302" applyNumberFormat="1" applyFont="1" applyFill="1" applyBorder="1" applyAlignment="1" applyProtection="1">
      <alignment horizontal="center" vertical="top"/>
    </xf>
    <xf numFmtId="4" fontId="155" fillId="0" borderId="19" xfId="0" applyNumberFormat="1" applyFont="1" applyFill="1" applyBorder="1" applyAlignment="1">
      <alignment horizontal="center" vertical="top"/>
    </xf>
    <xf numFmtId="4" fontId="61" fillId="0" borderId="19" xfId="0" applyNumberFormat="1" applyFont="1" applyFill="1" applyBorder="1" applyAlignment="1">
      <alignment horizontal="center" vertical="top"/>
    </xf>
    <xf numFmtId="0" fontId="8" fillId="70" borderId="19" xfId="0" applyFont="1" applyFill="1" applyBorder="1" applyAlignment="1">
      <alignment vertical="top"/>
    </xf>
    <xf numFmtId="0" fontId="29" fillId="48" borderId="0" xfId="0" applyFont="1" applyFill="1" applyBorder="1" applyAlignment="1">
      <alignment vertical="top"/>
    </xf>
    <xf numFmtId="39" fontId="71" fillId="0" borderId="19" xfId="0" applyNumberFormat="1" applyFont="1" applyFill="1" applyBorder="1" applyAlignment="1">
      <alignment vertical="top" wrapText="1"/>
    </xf>
    <xf numFmtId="2" fontId="71" fillId="0" borderId="19" xfId="0" applyNumberFormat="1" applyFont="1" applyFill="1" applyBorder="1" applyAlignment="1">
      <alignment vertical="top"/>
    </xf>
    <xf numFmtId="2" fontId="71" fillId="0" borderId="19" xfId="0" applyNumberFormat="1" applyFont="1" applyFill="1" applyBorder="1" applyAlignment="1">
      <alignment horizontal="center" vertical="top"/>
    </xf>
    <xf numFmtId="2" fontId="61" fillId="0" borderId="19" xfId="0" applyNumberFormat="1" applyFont="1" applyFill="1" applyBorder="1" applyAlignment="1">
      <alignment vertical="top"/>
    </xf>
    <xf numFmtId="2" fontId="61" fillId="0" borderId="19" xfId="0" applyNumberFormat="1" applyFont="1" applyFill="1" applyBorder="1" applyAlignment="1">
      <alignment horizontal="center" vertical="top"/>
    </xf>
    <xf numFmtId="4" fontId="71" fillId="0" borderId="0" xfId="0" applyNumberFormat="1" applyFont="1" applyFill="1" applyBorder="1" applyAlignment="1">
      <alignment vertical="top"/>
    </xf>
    <xf numFmtId="4" fontId="71" fillId="0" borderId="78" xfId="868" applyNumberFormat="1" applyFont="1" applyFill="1" applyBorder="1" applyAlignment="1">
      <alignment vertical="top" wrapText="1"/>
    </xf>
    <xf numFmtId="4" fontId="71" fillId="0" borderId="78" xfId="868" applyNumberFormat="1" applyFont="1" applyFill="1" applyBorder="1" applyAlignment="1">
      <alignment horizontal="right" vertical="top" wrapText="1"/>
    </xf>
    <xf numFmtId="4" fontId="71" fillId="70" borderId="19" xfId="0" applyNumberFormat="1" applyFont="1" applyFill="1" applyBorder="1" applyAlignment="1">
      <alignment horizontal="right" vertical="top"/>
    </xf>
    <xf numFmtId="4" fontId="71" fillId="70" borderId="78" xfId="868" applyNumberFormat="1" applyFont="1" applyFill="1" applyBorder="1" applyAlignment="1">
      <alignment horizontal="right" vertical="top" wrapText="1"/>
    </xf>
    <xf numFmtId="174" fontId="136" fillId="0" borderId="19" xfId="1302" applyNumberFormat="1" applyFont="1" applyFill="1" applyBorder="1" applyAlignment="1" applyProtection="1">
      <alignment horizontal="center" vertical="top"/>
    </xf>
    <xf numFmtId="174" fontId="9" fillId="0" borderId="19" xfId="1302" applyNumberFormat="1" applyFont="1" applyFill="1" applyBorder="1" applyAlignment="1" applyProtection="1">
      <alignment horizontal="center" vertical="top"/>
    </xf>
    <xf numFmtId="4" fontId="71" fillId="0" borderId="19" xfId="1749" applyNumberFormat="1" applyFont="1" applyFill="1" applyBorder="1" applyAlignment="1" applyProtection="1">
      <alignment vertical="top" wrapText="1"/>
    </xf>
    <xf numFmtId="0" fontId="71" fillId="0" borderId="19" xfId="1746" applyFont="1" applyFill="1" applyBorder="1" applyAlignment="1">
      <alignment horizontal="left" vertical="top" wrapText="1"/>
    </xf>
    <xf numFmtId="0" fontId="8" fillId="48" borderId="19" xfId="1269" applyNumberFormat="1" applyFont="1" applyFill="1" applyBorder="1" applyAlignment="1">
      <alignment horizontal="center" vertical="top" wrapText="1"/>
    </xf>
    <xf numFmtId="190" fontId="13" fillId="48" borderId="19" xfId="0" applyNumberFormat="1" applyFont="1" applyFill="1" applyBorder="1" applyAlignment="1">
      <alignment horizontal="center" vertical="top"/>
    </xf>
    <xf numFmtId="0" fontId="71" fillId="48" borderId="19" xfId="1269" applyNumberFormat="1" applyFont="1" applyFill="1" applyBorder="1" applyAlignment="1">
      <alignment horizontal="center" vertical="top" wrapText="1"/>
    </xf>
    <xf numFmtId="190" fontId="174" fillId="48" borderId="19" xfId="0" applyNumberFormat="1" applyFont="1" applyFill="1" applyBorder="1" applyAlignment="1">
      <alignment horizontal="center" vertical="top"/>
    </xf>
    <xf numFmtId="174" fontId="8" fillId="70" borderId="19" xfId="1051" applyNumberFormat="1" applyFont="1" applyFill="1" applyBorder="1" applyAlignment="1">
      <alignment horizontal="center" vertical="top" wrapText="1"/>
    </xf>
    <xf numFmtId="0" fontId="71" fillId="0" borderId="19" xfId="0" applyFont="1" applyFill="1" applyBorder="1" applyAlignment="1">
      <alignment horizontal="right" vertical="top" wrapText="1"/>
    </xf>
    <xf numFmtId="0" fontId="71" fillId="0" borderId="0" xfId="0" applyFont="1" applyFill="1" applyBorder="1" applyAlignment="1">
      <alignment vertical="top"/>
    </xf>
    <xf numFmtId="0" fontId="71" fillId="0" borderId="0" xfId="0" applyFont="1" applyFill="1" applyBorder="1" applyAlignment="1">
      <alignment horizontal="center" vertical="top"/>
    </xf>
    <xf numFmtId="0" fontId="71" fillId="0" borderId="0" xfId="0" applyFont="1" applyAlignment="1">
      <alignment vertical="top" wrapText="1"/>
    </xf>
    <xf numFmtId="0" fontId="0" fillId="0" borderId="0" xfId="0" applyAlignment="1">
      <alignment vertical="top" wrapText="1"/>
    </xf>
    <xf numFmtId="0" fontId="9" fillId="70" borderId="19" xfId="0" applyFont="1" applyFill="1" applyBorder="1" applyAlignment="1">
      <alignment horizontal="right" vertical="top"/>
    </xf>
    <xf numFmtId="39" fontId="8" fillId="70" borderId="19" xfId="808" applyNumberFormat="1" applyFont="1" applyFill="1" applyBorder="1" applyAlignment="1">
      <alignment vertical="top"/>
    </xf>
    <xf numFmtId="174" fontId="8" fillId="70" borderId="19" xfId="0" applyNumberFormat="1" applyFont="1" applyFill="1" applyBorder="1" applyAlignment="1">
      <alignment vertical="top"/>
    </xf>
    <xf numFmtId="174" fontId="8" fillId="70" borderId="19" xfId="0" applyNumberFormat="1" applyFont="1" applyFill="1" applyBorder="1" applyAlignment="1">
      <alignment horizontal="right" vertical="top"/>
    </xf>
    <xf numFmtId="0" fontId="8" fillId="70" borderId="19" xfId="0" applyFont="1" applyFill="1" applyBorder="1" applyAlignment="1">
      <alignment horizontal="right" vertical="top"/>
    </xf>
    <xf numFmtId="0" fontId="9" fillId="82" borderId="200" xfId="0" applyFont="1" applyFill="1" applyBorder="1" applyAlignment="1">
      <alignment vertical="top"/>
    </xf>
    <xf numFmtId="0" fontId="9" fillId="82" borderId="200" xfId="0" applyFont="1" applyFill="1" applyBorder="1" applyAlignment="1">
      <alignment horizontal="center" vertical="top"/>
    </xf>
    <xf numFmtId="0" fontId="9" fillId="82" borderId="202" xfId="0" applyFont="1" applyFill="1" applyBorder="1" applyAlignment="1">
      <alignment vertical="top"/>
    </xf>
    <xf numFmtId="4" fontId="8" fillId="82" borderId="203" xfId="0" applyNumberFormat="1" applyFont="1" applyFill="1" applyBorder="1" applyAlignment="1">
      <alignment horizontal="center" vertical="top"/>
    </xf>
    <xf numFmtId="4" fontId="9" fillId="82" borderId="200" xfId="0" applyNumberFormat="1" applyFont="1" applyFill="1" applyBorder="1" applyAlignment="1">
      <alignment vertical="top"/>
    </xf>
    <xf numFmtId="4" fontId="61" fillId="70" borderId="19" xfId="868" applyNumberFormat="1" applyFont="1" applyFill="1" applyBorder="1" applyAlignment="1">
      <alignment vertical="top" wrapText="1"/>
    </xf>
    <xf numFmtId="4" fontId="61" fillId="70" borderId="19" xfId="0" applyNumberFormat="1" applyFont="1" applyFill="1" applyBorder="1" applyAlignment="1">
      <alignment horizontal="center" vertical="top"/>
    </xf>
    <xf numFmtId="4" fontId="61" fillId="70" borderId="19" xfId="0" applyNumberFormat="1" applyFont="1" applyFill="1" applyBorder="1" applyAlignment="1">
      <alignment vertical="top"/>
    </xf>
    <xf numFmtId="4" fontId="71" fillId="70" borderId="19" xfId="0" applyNumberFormat="1" applyFont="1" applyFill="1" applyBorder="1" applyAlignment="1">
      <alignment horizontal="center" vertical="top"/>
    </xf>
    <xf numFmtId="0" fontId="71" fillId="70" borderId="200" xfId="0" applyFont="1" applyFill="1" applyBorder="1" applyAlignment="1">
      <alignment vertical="top"/>
    </xf>
    <xf numFmtId="4" fontId="8" fillId="70" borderId="201" xfId="868" applyNumberFormat="1" applyFont="1" applyFill="1" applyBorder="1" applyAlignment="1">
      <alignment horizontal="right" vertical="top" wrapText="1"/>
    </xf>
    <xf numFmtId="4" fontId="8" fillId="70" borderId="200" xfId="0" applyNumberFormat="1" applyFont="1" applyFill="1" applyBorder="1" applyAlignment="1">
      <alignment horizontal="center" vertical="top"/>
    </xf>
    <xf numFmtId="4" fontId="8" fillId="70" borderId="200" xfId="0" applyNumberFormat="1" applyFont="1" applyFill="1" applyBorder="1" applyAlignment="1">
      <alignment vertical="top"/>
    </xf>
    <xf numFmtId="4" fontId="8" fillId="70" borderId="19" xfId="0" applyNumberFormat="1" applyFont="1" applyFill="1" applyBorder="1" applyAlignment="1" applyProtection="1">
      <alignment vertical="top"/>
      <protection locked="0"/>
    </xf>
    <xf numFmtId="39" fontId="8" fillId="70" borderId="74" xfId="808" applyNumberFormat="1" applyFont="1" applyFill="1" applyBorder="1" applyAlignment="1">
      <alignment vertical="top" wrapText="1"/>
    </xf>
    <xf numFmtId="4" fontId="8" fillId="70" borderId="74" xfId="1048" applyNumberFormat="1" applyFont="1" applyFill="1" applyBorder="1" applyAlignment="1">
      <alignment horizontal="center" vertical="top" wrapText="1"/>
    </xf>
    <xf numFmtId="4" fontId="9" fillId="82" borderId="200" xfId="0" applyNumberFormat="1" applyFont="1" applyFill="1" applyBorder="1" applyAlignment="1">
      <alignment horizontal="right" vertical="top"/>
    </xf>
    <xf numFmtId="0" fontId="182" fillId="70" borderId="19" xfId="0" applyFont="1" applyFill="1" applyBorder="1" applyAlignment="1">
      <alignment vertical="top"/>
    </xf>
    <xf numFmtId="4" fontId="154" fillId="70" borderId="19" xfId="868" applyNumberFormat="1" applyFont="1" applyFill="1" applyBorder="1" applyAlignment="1">
      <alignment vertical="top" wrapText="1"/>
    </xf>
    <xf numFmtId="4" fontId="154" fillId="70" borderId="19" xfId="0" applyNumberFormat="1" applyFont="1" applyFill="1" applyBorder="1" applyAlignment="1">
      <alignment horizontal="center" vertical="top"/>
    </xf>
    <xf numFmtId="4" fontId="154" fillId="70" borderId="19" xfId="0" applyNumberFormat="1" applyFont="1" applyFill="1" applyBorder="1" applyAlignment="1">
      <alignment vertical="top"/>
    </xf>
    <xf numFmtId="2" fontId="8" fillId="70" borderId="74" xfId="0" applyNumberFormat="1" applyFont="1" applyFill="1" applyBorder="1" applyAlignment="1">
      <alignment vertical="top"/>
    </xf>
    <xf numFmtId="0" fontId="8" fillId="84" borderId="0" xfId="1245" applyFont="1" applyFill="1" applyAlignment="1">
      <alignment vertical="top" wrapText="1"/>
    </xf>
    <xf numFmtId="174" fontId="8" fillId="70" borderId="19" xfId="1302" applyNumberFormat="1" applyFont="1" applyFill="1" applyBorder="1" applyAlignment="1" applyProtection="1">
      <alignment horizontal="center" vertical="top"/>
    </xf>
    <xf numFmtId="39" fontId="8" fillId="70" borderId="19" xfId="1302" applyFont="1" applyFill="1" applyBorder="1" applyAlignment="1" applyProtection="1">
      <alignment horizontal="center" vertical="top" wrapText="1"/>
    </xf>
    <xf numFmtId="4" fontId="8" fillId="70" borderId="78" xfId="1302" applyNumberFormat="1" applyFont="1" applyFill="1" applyBorder="1" applyAlignment="1" applyProtection="1">
      <alignment horizontal="right" vertical="top"/>
    </xf>
    <xf numFmtId="0" fontId="8" fillId="84" borderId="0" xfId="0" applyFont="1" applyFill="1" applyBorder="1" applyAlignment="1">
      <alignment vertical="top" wrapText="1"/>
    </xf>
    <xf numFmtId="0" fontId="8" fillId="84" borderId="0" xfId="0" applyFont="1" applyFill="1" applyAlignment="1">
      <alignment vertical="top" wrapText="1"/>
    </xf>
    <xf numFmtId="39" fontId="71" fillId="70" borderId="19" xfId="1302" applyFont="1" applyFill="1" applyBorder="1" applyAlignment="1" applyProtection="1">
      <alignment horizontal="left" vertical="top"/>
    </xf>
    <xf numFmtId="4" fontId="8" fillId="70" borderId="19" xfId="1302" applyNumberFormat="1" applyFont="1" applyFill="1" applyBorder="1" applyAlignment="1" applyProtection="1">
      <alignment horizontal="right" vertical="top"/>
    </xf>
    <xf numFmtId="0" fontId="9" fillId="70" borderId="19" xfId="0" applyFont="1" applyFill="1" applyBorder="1" applyAlignment="1">
      <alignment horizontal="center" vertical="top"/>
    </xf>
    <xf numFmtId="0" fontId="9" fillId="70" borderId="74" xfId="0" applyFont="1" applyFill="1" applyBorder="1" applyAlignment="1">
      <alignment vertical="top"/>
    </xf>
    <xf numFmtId="0" fontId="61" fillId="70" borderId="19" xfId="0" applyFont="1" applyFill="1" applyBorder="1" applyAlignment="1">
      <alignment vertical="top"/>
    </xf>
    <xf numFmtId="0" fontId="61" fillId="70" borderId="19" xfId="0" applyFont="1" applyFill="1" applyBorder="1" applyAlignment="1">
      <alignment horizontal="center" vertical="top"/>
    </xf>
    <xf numFmtId="0" fontId="172" fillId="70" borderId="19" xfId="0" applyFont="1" applyFill="1" applyBorder="1" applyAlignment="1">
      <alignment vertical="top"/>
    </xf>
    <xf numFmtId="0" fontId="172" fillId="70" borderId="19" xfId="0" applyFont="1" applyFill="1" applyBorder="1" applyAlignment="1">
      <alignment horizontal="center" vertical="top"/>
    </xf>
    <xf numFmtId="4" fontId="172" fillId="70" borderId="19" xfId="0" applyNumberFormat="1" applyFont="1" applyFill="1" applyBorder="1" applyAlignment="1">
      <alignment vertical="top"/>
    </xf>
    <xf numFmtId="0" fontId="173" fillId="70" borderId="0" xfId="0" applyFont="1" applyFill="1" applyAlignment="1">
      <alignment vertical="top"/>
    </xf>
    <xf numFmtId="0" fontId="71" fillId="0" borderId="19" xfId="0" applyFont="1" applyFill="1" applyBorder="1" applyAlignment="1">
      <alignment horizontal="justify" vertical="top" wrapText="1"/>
    </xf>
    <xf numFmtId="0" fontId="9" fillId="0" borderId="19" xfId="0" applyFont="1" applyFill="1" applyBorder="1" applyAlignment="1">
      <alignment horizontal="justify" vertical="top" wrapText="1"/>
    </xf>
    <xf numFmtId="0" fontId="9" fillId="0" borderId="19" xfId="0" applyFont="1" applyFill="1" applyBorder="1" applyAlignment="1">
      <alignment vertical="top" wrapText="1"/>
    </xf>
    <xf numFmtId="0" fontId="71" fillId="70" borderId="19" xfId="0" applyNumberFormat="1" applyFont="1" applyFill="1" applyBorder="1" applyAlignment="1">
      <alignment horizontal="left" vertical="top" wrapText="1"/>
    </xf>
    <xf numFmtId="4" fontId="8" fillId="70" borderId="19" xfId="0" applyNumberFormat="1" applyFont="1" applyFill="1" applyBorder="1" applyAlignment="1">
      <alignment vertical="top" wrapText="1"/>
    </xf>
    <xf numFmtId="0" fontId="8" fillId="70" borderId="0" xfId="1210" applyFont="1" applyFill="1" applyBorder="1" applyAlignment="1">
      <alignment vertical="top"/>
    </xf>
    <xf numFmtId="174" fontId="8" fillId="70" borderId="19" xfId="1061" applyNumberFormat="1" applyFill="1" applyBorder="1" applyAlignment="1">
      <alignment vertical="top"/>
    </xf>
    <xf numFmtId="169" fontId="8" fillId="70" borderId="19" xfId="743" applyFont="1" applyFill="1" applyBorder="1" applyAlignment="1">
      <alignment horizontal="center" vertical="top"/>
    </xf>
    <xf numFmtId="4" fontId="8" fillId="70" borderId="78" xfId="1061" applyNumberFormat="1" applyFont="1" applyFill="1" applyBorder="1" applyAlignment="1">
      <alignment vertical="top" wrapText="1"/>
    </xf>
    <xf numFmtId="1" fontId="9" fillId="70" borderId="19" xfId="1061" applyNumberFormat="1" applyFont="1" applyFill="1" applyBorder="1" applyAlignment="1">
      <alignment horizontal="right" vertical="top"/>
    </xf>
    <xf numFmtId="0" fontId="14" fillId="70" borderId="19" xfId="0" applyFont="1" applyFill="1" applyBorder="1" applyAlignment="1">
      <alignment vertical="top"/>
    </xf>
    <xf numFmtId="4" fontId="13" fillId="70" borderId="19" xfId="1061" applyNumberFormat="1" applyFont="1" applyFill="1" applyBorder="1" applyAlignment="1">
      <alignment vertical="top" wrapText="1"/>
    </xf>
    <xf numFmtId="0" fontId="71" fillId="70" borderId="19" xfId="0" applyFont="1" applyFill="1" applyBorder="1" applyAlignment="1">
      <alignment horizontal="left" vertical="top"/>
    </xf>
    <xf numFmtId="0" fontId="8" fillId="70" borderId="74" xfId="0" applyFont="1" applyFill="1" applyBorder="1" applyAlignment="1">
      <alignment horizontal="right" vertical="top"/>
    </xf>
    <xf numFmtId="0" fontId="8" fillId="70" borderId="0" xfId="0" applyFont="1" applyFill="1" applyBorder="1" applyAlignment="1">
      <alignment vertical="top" wrapText="1"/>
    </xf>
    <xf numFmtId="0" fontId="8" fillId="70" borderId="0" xfId="0" applyFont="1" applyFill="1" applyAlignment="1">
      <alignment vertical="top" wrapText="1"/>
    </xf>
    <xf numFmtId="0" fontId="8" fillId="70" borderId="74" xfId="0" applyFont="1" applyFill="1" applyBorder="1" applyAlignment="1" applyProtection="1">
      <alignment vertical="top"/>
    </xf>
    <xf numFmtId="0" fontId="8" fillId="70" borderId="74" xfId="0" applyFont="1" applyFill="1" applyBorder="1" applyAlignment="1" applyProtection="1">
      <alignment horizontal="right" vertical="top"/>
    </xf>
    <xf numFmtId="4" fontId="8" fillId="70" borderId="78" xfId="0" applyNumberFormat="1" applyFont="1" applyFill="1" applyBorder="1" applyAlignment="1">
      <alignment vertical="top"/>
    </xf>
    <xf numFmtId="4" fontId="153" fillId="0" borderId="19" xfId="868" applyNumberFormat="1" applyFont="1" applyFill="1" applyBorder="1" applyAlignment="1">
      <alignment vertical="top" wrapText="1"/>
    </xf>
    <xf numFmtId="4" fontId="9" fillId="0" borderId="19" xfId="868" applyNumberFormat="1" applyFont="1" applyFill="1" applyBorder="1" applyAlignment="1">
      <alignment vertical="top" wrapText="1"/>
    </xf>
    <xf numFmtId="4" fontId="8" fillId="70" borderId="19" xfId="868" applyNumberFormat="1" applyFont="1" applyFill="1" applyBorder="1" applyAlignment="1">
      <alignment vertical="top" wrapText="1"/>
    </xf>
    <xf numFmtId="4" fontId="8" fillId="0" borderId="19" xfId="868" applyNumberFormat="1" applyFont="1" applyFill="1" applyBorder="1" applyAlignment="1" applyProtection="1">
      <alignment vertical="top" wrapText="1"/>
      <protection locked="0"/>
    </xf>
    <xf numFmtId="4" fontId="153" fillId="0" borderId="19" xfId="0" applyNumberFormat="1" applyFont="1" applyFill="1" applyBorder="1" applyAlignment="1">
      <alignment vertical="top"/>
    </xf>
    <xf numFmtId="4" fontId="8" fillId="0" borderId="19" xfId="868" applyNumberFormat="1" applyFont="1" applyFill="1" applyBorder="1" applyAlignment="1" applyProtection="1">
      <alignment vertical="top" wrapText="1"/>
    </xf>
    <xf numFmtId="39" fontId="8" fillId="0" borderId="19" xfId="0" applyNumberFormat="1" applyFont="1" applyFill="1" applyBorder="1" applyAlignment="1">
      <alignment vertical="top"/>
    </xf>
    <xf numFmtId="4" fontId="9" fillId="0" borderId="19" xfId="0" applyNumberFormat="1" applyFont="1" applyFill="1" applyBorder="1" applyAlignment="1">
      <alignment vertical="top"/>
    </xf>
    <xf numFmtId="49" fontId="71" fillId="70" borderId="19" xfId="0" applyNumberFormat="1" applyFont="1" applyFill="1" applyBorder="1" applyAlignment="1">
      <alignment horizontal="justify" vertical="top" wrapText="1"/>
    </xf>
    <xf numFmtId="4" fontId="71" fillId="70" borderId="19" xfId="868" applyNumberFormat="1" applyFont="1" applyFill="1" applyBorder="1" applyAlignment="1">
      <alignment horizontal="right" vertical="top" wrapText="1"/>
    </xf>
    <xf numFmtId="0" fontId="71" fillId="0" borderId="19" xfId="0" applyNumberFormat="1" applyFont="1" applyFill="1" applyBorder="1" applyAlignment="1">
      <alignment horizontal="justify" vertical="top" wrapText="1"/>
    </xf>
    <xf numFmtId="0" fontId="9" fillId="0" borderId="19" xfId="0" applyFont="1" applyFill="1" applyBorder="1" applyAlignment="1">
      <alignment horizontal="right" vertical="top" wrapText="1"/>
    </xf>
    <xf numFmtId="0" fontId="9" fillId="65" borderId="25" xfId="0" applyFont="1" applyFill="1" applyBorder="1" applyAlignment="1">
      <alignment horizontal="center" vertical="top" wrapText="1"/>
    </xf>
    <xf numFmtId="0" fontId="9" fillId="65" borderId="25" xfId="0" applyFont="1" applyFill="1" applyBorder="1" applyAlignment="1">
      <alignment vertical="top"/>
    </xf>
    <xf numFmtId="0" fontId="9" fillId="65" borderId="25" xfId="0" applyFont="1" applyFill="1" applyBorder="1" applyAlignment="1">
      <alignment horizontal="center" vertical="top"/>
    </xf>
    <xf numFmtId="0" fontId="71" fillId="69" borderId="102" xfId="0" applyFont="1" applyFill="1" applyBorder="1" applyAlignment="1">
      <alignment vertical="top"/>
    </xf>
    <xf numFmtId="0" fontId="71" fillId="69" borderId="102" xfId="0" applyFont="1" applyFill="1" applyBorder="1" applyAlignment="1">
      <alignment horizontal="center" vertical="top"/>
    </xf>
    <xf numFmtId="0" fontId="0" fillId="69" borderId="0" xfId="0" applyFill="1" applyAlignment="1">
      <alignment vertical="top"/>
    </xf>
    <xf numFmtId="0" fontId="61" fillId="69" borderId="102" xfId="0" applyFont="1" applyFill="1" applyBorder="1" applyAlignment="1">
      <alignment horizontal="right" vertical="top" wrapText="1"/>
    </xf>
    <xf numFmtId="10" fontId="8" fillId="0" borderId="19" xfId="1334" applyNumberFormat="1" applyFont="1" applyFill="1" applyBorder="1" applyAlignment="1">
      <alignment vertical="top"/>
    </xf>
    <xf numFmtId="0" fontId="9" fillId="0" borderId="19" xfId="0" applyFont="1" applyFill="1" applyBorder="1" applyAlignment="1">
      <alignment vertical="top"/>
    </xf>
    <xf numFmtId="0" fontId="9" fillId="0" borderId="19" xfId="0" applyFont="1" applyFill="1" applyBorder="1" applyAlignment="1">
      <alignment horizontal="center" vertical="top"/>
    </xf>
    <xf numFmtId="2" fontId="32" fillId="0" borderId="149" xfId="0" applyNumberFormat="1" applyFont="1" applyFill="1" applyBorder="1" applyAlignment="1">
      <alignment horizontal="center" vertical="top"/>
    </xf>
    <xf numFmtId="0" fontId="9" fillId="0" borderId="149" xfId="0" applyFont="1" applyFill="1" applyBorder="1" applyAlignment="1">
      <alignment horizontal="center" vertical="top" wrapText="1"/>
    </xf>
    <xf numFmtId="0" fontId="9" fillId="0" borderId="149" xfId="0" applyFont="1" applyFill="1" applyBorder="1" applyAlignment="1">
      <alignment horizontal="center" vertical="top"/>
    </xf>
    <xf numFmtId="4" fontId="9" fillId="0" borderId="149" xfId="0" applyNumberFormat="1" applyFont="1" applyFill="1" applyBorder="1" applyAlignment="1">
      <alignment horizontal="center" vertical="top"/>
    </xf>
    <xf numFmtId="2" fontId="33" fillId="0" borderId="19" xfId="0" applyNumberFormat="1" applyFont="1" applyFill="1" applyBorder="1" applyAlignment="1">
      <alignment horizontal="right" vertical="top"/>
    </xf>
    <xf numFmtId="4" fontId="0" fillId="0" borderId="19" xfId="0" applyNumberFormat="1" applyFill="1" applyBorder="1" applyAlignment="1">
      <alignment vertical="top"/>
    </xf>
    <xf numFmtId="2" fontId="71" fillId="0" borderId="19" xfId="0" applyNumberFormat="1" applyFont="1" applyFill="1" applyBorder="1" applyAlignment="1">
      <alignment horizontal="right" vertical="top"/>
    </xf>
    <xf numFmtId="1" fontId="61" fillId="0" borderId="19" xfId="0" applyNumberFormat="1" applyFont="1" applyFill="1" applyBorder="1" applyAlignment="1">
      <alignment horizontal="right" vertical="top"/>
    </xf>
    <xf numFmtId="193" fontId="61" fillId="0" borderId="19" xfId="0" applyNumberFormat="1" applyFont="1" applyFill="1" applyBorder="1" applyAlignment="1">
      <alignment horizontal="right" vertical="top"/>
    </xf>
    <xf numFmtId="2" fontId="71" fillId="70" borderId="19" xfId="0" applyNumberFormat="1" applyFont="1" applyFill="1" applyBorder="1" applyAlignment="1">
      <alignment horizontal="right" vertical="top"/>
    </xf>
    <xf numFmtId="193" fontId="71" fillId="0" borderId="19" xfId="0" applyNumberFormat="1" applyFont="1" applyFill="1" applyBorder="1" applyAlignment="1">
      <alignment horizontal="right" vertical="top"/>
    </xf>
    <xf numFmtId="2" fontId="61" fillId="0" borderId="19" xfId="0" applyNumberFormat="1" applyFont="1" applyFill="1" applyBorder="1" applyAlignment="1">
      <alignment horizontal="right" vertical="top"/>
    </xf>
    <xf numFmtId="1" fontId="61" fillId="70" borderId="19" xfId="0" applyNumberFormat="1" applyFont="1" applyFill="1" applyBorder="1" applyAlignment="1">
      <alignment horizontal="right" vertical="top"/>
    </xf>
    <xf numFmtId="193" fontId="61" fillId="70" borderId="19" xfId="0" applyNumberFormat="1" applyFont="1" applyFill="1" applyBorder="1" applyAlignment="1">
      <alignment horizontal="right" vertical="top"/>
    </xf>
    <xf numFmtId="2" fontId="61" fillId="70" borderId="19" xfId="0" applyNumberFormat="1" applyFont="1" applyFill="1" applyBorder="1" applyAlignment="1">
      <alignment horizontal="center" vertical="top"/>
    </xf>
    <xf numFmtId="2" fontId="8" fillId="0" borderId="0" xfId="0" applyNumberFormat="1" applyFont="1" applyBorder="1" applyAlignment="1">
      <alignment vertical="top"/>
    </xf>
    <xf numFmtId="0" fontId="180" fillId="0" borderId="0" xfId="0" applyFont="1" applyBorder="1" applyAlignment="1">
      <alignment vertical="top"/>
    </xf>
    <xf numFmtId="193" fontId="71" fillId="70" borderId="19" xfId="0" applyNumberFormat="1" applyFont="1" applyFill="1" applyBorder="1" applyAlignment="1">
      <alignment horizontal="right" vertical="top"/>
    </xf>
    <xf numFmtId="2" fontId="61" fillId="70" borderId="19" xfId="0" applyNumberFormat="1" applyFont="1" applyFill="1" applyBorder="1" applyAlignment="1">
      <alignment horizontal="right" vertical="top"/>
    </xf>
    <xf numFmtId="2" fontId="154" fillId="0" borderId="19" xfId="0" applyNumberFormat="1" applyFont="1" applyFill="1" applyBorder="1" applyAlignment="1">
      <alignment horizontal="right" vertical="top"/>
    </xf>
    <xf numFmtId="0" fontId="8" fillId="0" borderId="0" xfId="0" applyFont="1" applyBorder="1" applyAlignment="1">
      <alignment vertical="top"/>
    </xf>
    <xf numFmtId="4" fontId="8" fillId="0" borderId="0" xfId="0" applyNumberFormat="1" applyFont="1" applyBorder="1" applyAlignment="1">
      <alignment vertical="top"/>
    </xf>
    <xf numFmtId="1" fontId="164" fillId="70" borderId="19" xfId="0" applyNumberFormat="1" applyFont="1" applyFill="1" applyBorder="1" applyAlignment="1">
      <alignment horizontal="right" vertical="top"/>
    </xf>
    <xf numFmtId="4" fontId="9" fillId="70" borderId="19" xfId="0" applyNumberFormat="1" applyFont="1" applyFill="1" applyBorder="1" applyAlignment="1">
      <alignment vertical="top"/>
    </xf>
    <xf numFmtId="2" fontId="0" fillId="0" borderId="0" xfId="0" applyNumberFormat="1" applyBorder="1" applyAlignment="1">
      <alignment vertical="top"/>
    </xf>
    <xf numFmtId="169" fontId="8" fillId="0" borderId="0" xfId="0" applyNumberFormat="1" applyFont="1" applyBorder="1" applyAlignment="1">
      <alignment vertical="top"/>
    </xf>
    <xf numFmtId="2" fontId="9" fillId="70" borderId="19" xfId="0" applyNumberFormat="1" applyFont="1" applyFill="1" applyBorder="1" applyAlignment="1">
      <alignment horizontal="center" vertical="top"/>
    </xf>
    <xf numFmtId="1" fontId="9" fillId="0" borderId="74" xfId="0" applyNumberFormat="1" applyFont="1" applyFill="1" applyBorder="1" applyAlignment="1">
      <alignment horizontal="right" vertical="top"/>
    </xf>
    <xf numFmtId="2" fontId="71" fillId="0" borderId="74" xfId="0" applyNumberFormat="1" applyFont="1" applyFill="1" applyBorder="1" applyAlignment="1">
      <alignment horizontal="right" vertical="top"/>
    </xf>
    <xf numFmtId="1" fontId="61" fillId="0" borderId="74" xfId="0" applyNumberFormat="1" applyFont="1" applyFill="1" applyBorder="1" applyAlignment="1">
      <alignment horizontal="right" vertical="top"/>
    </xf>
    <xf numFmtId="2" fontId="71" fillId="0" borderId="19" xfId="838" applyNumberFormat="1" applyFont="1" applyFill="1" applyBorder="1" applyAlignment="1" applyProtection="1">
      <alignment horizontal="right" vertical="top"/>
    </xf>
    <xf numFmtId="2" fontId="61" fillId="0" borderId="74" xfId="0" applyNumberFormat="1" applyFont="1" applyFill="1" applyBorder="1" applyAlignment="1">
      <alignment horizontal="right" vertical="top"/>
    </xf>
    <xf numFmtId="4" fontId="175" fillId="0" borderId="0" xfId="1744" applyNumberFormat="1" applyFont="1" applyFill="1" applyBorder="1" applyAlignment="1">
      <alignment vertical="top"/>
    </xf>
    <xf numFmtId="4" fontId="140" fillId="0" borderId="0" xfId="1744" applyNumberFormat="1" applyFill="1" applyBorder="1" applyAlignment="1">
      <alignment vertical="top"/>
    </xf>
    <xf numFmtId="1" fontId="71" fillId="0" borderId="19" xfId="0" applyNumberFormat="1" applyFont="1" applyFill="1" applyBorder="1" applyAlignment="1">
      <alignment horizontal="right" vertical="top"/>
    </xf>
    <xf numFmtId="2" fontId="9" fillId="65" borderId="25" xfId="0" applyNumberFormat="1" applyFont="1" applyFill="1" applyBorder="1" applyAlignment="1">
      <alignment horizontal="right" vertical="top"/>
    </xf>
    <xf numFmtId="4" fontId="9" fillId="65" borderId="25" xfId="0" applyNumberFormat="1" applyFont="1" applyFill="1" applyBorder="1" applyAlignment="1">
      <alignment vertical="top"/>
    </xf>
    <xf numFmtId="2" fontId="71" fillId="69" borderId="102" xfId="0" applyNumberFormat="1" applyFont="1" applyFill="1" applyBorder="1" applyAlignment="1">
      <alignment horizontal="right" vertical="top"/>
    </xf>
    <xf numFmtId="4" fontId="61" fillId="69" borderId="102" xfId="0" applyNumberFormat="1" applyFont="1" applyFill="1" applyBorder="1" applyAlignment="1">
      <alignment vertical="top"/>
    </xf>
    <xf numFmtId="2" fontId="71" fillId="69" borderId="25" xfId="0" applyNumberFormat="1" applyFont="1" applyFill="1" applyBorder="1" applyAlignment="1">
      <alignment horizontal="right" vertical="top"/>
    </xf>
    <xf numFmtId="0" fontId="61" fillId="69" borderId="25" xfId="0" applyFont="1" applyFill="1" applyBorder="1" applyAlignment="1">
      <alignment horizontal="right" vertical="top" wrapText="1"/>
    </xf>
    <xf numFmtId="0" fontId="71" fillId="69" borderId="25" xfId="0" applyFont="1" applyFill="1" applyBorder="1" applyAlignment="1">
      <alignment vertical="top"/>
    </xf>
    <xf numFmtId="0" fontId="71" fillId="69" borderId="25" xfId="0" applyFont="1" applyFill="1" applyBorder="1" applyAlignment="1">
      <alignment horizontal="center" vertical="top"/>
    </xf>
    <xf numFmtId="4" fontId="61" fillId="69" borderId="25" xfId="0" applyNumberFormat="1" applyFont="1" applyFill="1" applyBorder="1" applyAlignment="1">
      <alignment vertical="top"/>
    </xf>
    <xf numFmtId="2" fontId="8" fillId="0" borderId="0" xfId="0" applyNumberFormat="1" applyFont="1" applyFill="1" applyAlignment="1">
      <alignment horizontal="right" vertical="top"/>
    </xf>
    <xf numFmtId="0" fontId="8" fillId="0" borderId="0" xfId="0" applyFont="1" applyFill="1" applyAlignment="1">
      <alignment horizontal="center" vertical="top" wrapText="1"/>
    </xf>
    <xf numFmtId="0" fontId="9" fillId="0" borderId="19" xfId="0" applyFont="1" applyBorder="1" applyAlignment="1">
      <alignment vertical="top"/>
    </xf>
    <xf numFmtId="0" fontId="61" fillId="70" borderId="19" xfId="0" applyFont="1" applyFill="1" applyBorder="1" applyAlignment="1">
      <alignment horizontal="right" vertical="top" wrapText="1"/>
    </xf>
    <xf numFmtId="4" fontId="71" fillId="70" borderId="200" xfId="0" applyNumberFormat="1" applyFont="1" applyFill="1" applyBorder="1" applyAlignment="1">
      <alignment horizontal="center" vertical="top"/>
    </xf>
    <xf numFmtId="0" fontId="61" fillId="0" borderId="0" xfId="0" applyFont="1" applyFill="1" applyAlignment="1">
      <alignment horizontal="center" vertical="top" wrapText="1"/>
    </xf>
    <xf numFmtId="0" fontId="61" fillId="0" borderId="0" xfId="0" applyFont="1" applyFill="1" applyAlignment="1">
      <alignment vertical="top"/>
    </xf>
    <xf numFmtId="4" fontId="61" fillId="0" borderId="0" xfId="0" applyNumberFormat="1" applyFont="1" applyFill="1" applyAlignment="1">
      <alignment vertical="top"/>
    </xf>
    <xf numFmtId="4" fontId="71" fillId="0" borderId="74" xfId="868" applyNumberFormat="1" applyFont="1" applyFill="1" applyBorder="1" applyAlignment="1">
      <alignment vertical="top" wrapText="1"/>
    </xf>
    <xf numFmtId="4" fontId="71" fillId="0" borderId="74" xfId="0" applyNumberFormat="1" applyFont="1" applyFill="1" applyBorder="1" applyAlignment="1">
      <alignment horizontal="center" vertical="top"/>
    </xf>
    <xf numFmtId="4" fontId="71" fillId="0" borderId="74" xfId="0" applyNumberFormat="1" applyFont="1" applyFill="1" applyBorder="1" applyAlignment="1">
      <alignment vertical="top"/>
    </xf>
    <xf numFmtId="1" fontId="154" fillId="0" borderId="19" xfId="0" applyNumberFormat="1" applyFont="1" applyFill="1" applyBorder="1" applyAlignment="1">
      <alignment horizontal="right" vertical="top"/>
    </xf>
    <xf numFmtId="0" fontId="155" fillId="0" borderId="19" xfId="0" applyFont="1" applyFill="1" applyBorder="1" applyAlignment="1">
      <alignment horizontal="left" vertical="top" wrapText="1"/>
    </xf>
    <xf numFmtId="4" fontId="155" fillId="0" borderId="74" xfId="868" applyNumberFormat="1" applyFont="1" applyFill="1" applyBorder="1" applyAlignment="1">
      <alignment vertical="top" wrapText="1"/>
    </xf>
    <xf numFmtId="4" fontId="155" fillId="0" borderId="74" xfId="0" applyNumberFormat="1" applyFont="1" applyFill="1" applyBorder="1" applyAlignment="1">
      <alignment horizontal="center" vertical="top"/>
    </xf>
    <xf numFmtId="4" fontId="155" fillId="0" borderId="74" xfId="0" applyNumberFormat="1" applyFont="1" applyFill="1" applyBorder="1" applyAlignment="1">
      <alignment vertical="top"/>
    </xf>
    <xf numFmtId="174" fontId="8" fillId="0" borderId="74" xfId="1302" applyNumberFormat="1" applyFont="1" applyFill="1" applyBorder="1" applyAlignment="1" applyProtection="1">
      <alignment horizontal="center" vertical="top"/>
    </xf>
    <xf numFmtId="4" fontId="71" fillId="0" borderId="78" xfId="0" applyNumberFormat="1" applyFont="1" applyFill="1" applyBorder="1" applyAlignment="1">
      <alignment vertical="top"/>
    </xf>
    <xf numFmtId="2" fontId="71" fillId="0" borderId="0" xfId="0" applyNumberFormat="1" applyFont="1" applyFill="1" applyAlignment="1">
      <alignment horizontal="left" vertical="top"/>
    </xf>
    <xf numFmtId="0" fontId="61" fillId="0" borderId="0" xfId="0" applyFont="1" applyFill="1" applyAlignment="1">
      <alignment horizontal="center" vertical="top"/>
    </xf>
    <xf numFmtId="4" fontId="8" fillId="0" borderId="19" xfId="1302" applyNumberFormat="1" applyFont="1" applyFill="1" applyBorder="1" applyAlignment="1" applyProtection="1">
      <alignment horizontal="right" vertical="top"/>
    </xf>
    <xf numFmtId="0" fontId="0" fillId="70" borderId="19" xfId="0" applyFill="1" applyBorder="1" applyAlignment="1">
      <alignment vertical="top"/>
    </xf>
    <xf numFmtId="4" fontId="71" fillId="0" borderId="19" xfId="868" applyNumberFormat="1" applyFont="1" applyFill="1" applyBorder="1" applyAlignment="1">
      <alignment horizontal="right" vertical="top" wrapText="1"/>
    </xf>
    <xf numFmtId="193" fontId="71" fillId="0" borderId="25" xfId="0" applyNumberFormat="1" applyFont="1" applyFill="1" applyBorder="1" applyAlignment="1">
      <alignment horizontal="right" vertical="top"/>
    </xf>
    <xf numFmtId="0" fontId="71" fillId="0" borderId="25" xfId="0" applyFont="1" applyFill="1" applyBorder="1" applyAlignment="1">
      <alignment vertical="top" wrapText="1"/>
    </xf>
    <xf numFmtId="4" fontId="8" fillId="0" borderId="25" xfId="868" applyNumberFormat="1" applyFont="1" applyFill="1" applyBorder="1" applyAlignment="1">
      <alignment vertical="top" wrapText="1"/>
    </xf>
    <xf numFmtId="0" fontId="71" fillId="0" borderId="25" xfId="0" applyFont="1" applyFill="1" applyBorder="1" applyAlignment="1">
      <alignment horizontal="center" vertical="top"/>
    </xf>
    <xf numFmtId="4" fontId="8" fillId="0" borderId="25" xfId="0" applyNumberFormat="1" applyFont="1" applyFill="1" applyBorder="1" applyAlignment="1">
      <alignment vertical="top"/>
    </xf>
    <xf numFmtId="2" fontId="71" fillId="0" borderId="25" xfId="0" applyNumberFormat="1" applyFont="1" applyFill="1" applyBorder="1" applyAlignment="1">
      <alignment horizontal="right" vertical="top"/>
    </xf>
    <xf numFmtId="0" fontId="71" fillId="0" borderId="25" xfId="0" quotePrefix="1" applyFont="1" applyFill="1" applyBorder="1" applyAlignment="1">
      <alignment horizontal="left" vertical="top" wrapText="1"/>
    </xf>
    <xf numFmtId="0" fontId="71" fillId="0" borderId="25" xfId="0" applyFont="1" applyFill="1" applyBorder="1" applyAlignment="1">
      <alignment horizontal="left" vertical="top" wrapText="1"/>
    </xf>
    <xf numFmtId="0" fontId="8" fillId="70" borderId="25" xfId="0" applyFont="1" applyFill="1" applyBorder="1" applyAlignment="1">
      <alignment horizontal="right" vertical="top"/>
    </xf>
    <xf numFmtId="0" fontId="71" fillId="70" borderId="25" xfId="0" applyFont="1" applyFill="1" applyBorder="1" applyAlignment="1">
      <alignment horizontal="left" vertical="top" wrapText="1"/>
    </xf>
    <xf numFmtId="39" fontId="8" fillId="70" borderId="25" xfId="808" applyNumberFormat="1" applyFont="1" applyFill="1" applyBorder="1" applyAlignment="1">
      <alignment vertical="top"/>
    </xf>
    <xf numFmtId="0" fontId="8" fillId="70" borderId="25" xfId="0" applyFont="1" applyFill="1" applyBorder="1" applyAlignment="1">
      <alignment horizontal="center" vertical="top"/>
    </xf>
    <xf numFmtId="4" fontId="8" fillId="70" borderId="25" xfId="0" applyNumberFormat="1" applyFont="1" applyFill="1" applyBorder="1" applyAlignment="1">
      <alignment vertical="top"/>
    </xf>
    <xf numFmtId="174" fontId="8" fillId="70" borderId="25" xfId="0" applyNumberFormat="1" applyFont="1" applyFill="1" applyBorder="1" applyAlignment="1">
      <alignment horizontal="right" vertical="top"/>
    </xf>
    <xf numFmtId="1" fontId="61" fillId="0" borderId="25" xfId="0" applyNumberFormat="1" applyFont="1" applyFill="1" applyBorder="1" applyAlignment="1">
      <alignment horizontal="right" vertical="top"/>
    </xf>
    <xf numFmtId="4" fontId="71" fillId="0" borderId="25" xfId="868" applyNumberFormat="1" applyFont="1" applyFill="1" applyBorder="1" applyAlignment="1">
      <alignment vertical="top" wrapText="1"/>
    </xf>
    <xf numFmtId="4" fontId="71" fillId="0" borderId="25" xfId="0" applyNumberFormat="1" applyFont="1" applyFill="1" applyBorder="1" applyAlignment="1">
      <alignment horizontal="center" vertical="top"/>
    </xf>
    <xf numFmtId="4" fontId="71" fillId="0" borderId="25" xfId="0" applyNumberFormat="1" applyFont="1" applyFill="1" applyBorder="1" applyAlignment="1">
      <alignment vertical="top"/>
    </xf>
    <xf numFmtId="2" fontId="61" fillId="0" borderId="25" xfId="0" applyNumberFormat="1" applyFont="1" applyFill="1" applyBorder="1" applyAlignment="1">
      <alignment horizontal="right" vertical="top"/>
    </xf>
    <xf numFmtId="0" fontId="61" fillId="0" borderId="25" xfId="0" applyFont="1" applyFill="1" applyBorder="1" applyAlignment="1">
      <alignment vertical="top" wrapText="1"/>
    </xf>
    <xf numFmtId="174" fontId="71" fillId="0" borderId="25" xfId="0" applyNumberFormat="1" applyFont="1" applyFill="1" applyBorder="1" applyAlignment="1">
      <alignment horizontal="center" vertical="top"/>
    </xf>
    <xf numFmtId="2" fontId="71" fillId="70" borderId="25" xfId="0" applyNumberFormat="1" applyFont="1" applyFill="1" applyBorder="1" applyAlignment="1">
      <alignment horizontal="right" vertical="top"/>
    </xf>
    <xf numFmtId="0" fontId="71" fillId="70" borderId="34" xfId="0" applyFont="1" applyFill="1" applyBorder="1" applyAlignment="1">
      <alignment horizontal="justify" vertical="top" wrapText="1"/>
    </xf>
    <xf numFmtId="4" fontId="8" fillId="70" borderId="25" xfId="868" applyNumberFormat="1" applyFont="1" applyFill="1" applyBorder="1" applyAlignment="1">
      <alignment vertical="top" wrapText="1"/>
    </xf>
    <xf numFmtId="0" fontId="71" fillId="70" borderId="25" xfId="0" applyFont="1" applyFill="1" applyBorder="1" applyAlignment="1">
      <alignment horizontal="center" vertical="top"/>
    </xf>
    <xf numFmtId="0" fontId="71" fillId="70" borderId="25" xfId="0" applyFont="1" applyFill="1" applyBorder="1" applyAlignment="1">
      <alignment vertical="top"/>
    </xf>
    <xf numFmtId="2" fontId="0" fillId="70" borderId="128" xfId="0" applyNumberFormat="1" applyFill="1" applyBorder="1" applyAlignment="1">
      <alignment vertical="top"/>
    </xf>
    <xf numFmtId="4" fontId="8" fillId="70" borderId="25" xfId="0" applyNumberFormat="1" applyFont="1" applyFill="1" applyBorder="1" applyAlignment="1">
      <alignment horizontal="center" vertical="top"/>
    </xf>
    <xf numFmtId="0" fontId="0" fillId="70" borderId="25" xfId="0" applyFill="1" applyBorder="1" applyAlignment="1">
      <alignment vertical="top"/>
    </xf>
    <xf numFmtId="0" fontId="180" fillId="0" borderId="34" xfId="0" applyFont="1" applyBorder="1" applyAlignment="1">
      <alignment vertical="top"/>
    </xf>
    <xf numFmtId="0" fontId="71" fillId="0" borderId="25" xfId="0" applyNumberFormat="1" applyFont="1" applyFill="1" applyBorder="1" applyAlignment="1">
      <alignment horizontal="left" vertical="top" wrapText="1"/>
    </xf>
    <xf numFmtId="0" fontId="8" fillId="0" borderId="67" xfId="0" applyFont="1" applyFill="1" applyBorder="1" applyAlignment="1" applyProtection="1">
      <alignment vertical="top"/>
    </xf>
    <xf numFmtId="39" fontId="8" fillId="0" borderId="25" xfId="1302" applyFont="1" applyFill="1" applyBorder="1" applyAlignment="1" applyProtection="1">
      <alignment horizontal="left" vertical="top"/>
    </xf>
    <xf numFmtId="4" fontId="8" fillId="0" borderId="128" xfId="1302" applyNumberFormat="1" applyFont="1" applyFill="1" applyBorder="1" applyAlignment="1" applyProtection="1">
      <alignment horizontal="right" vertical="top"/>
    </xf>
    <xf numFmtId="174" fontId="8" fillId="0" borderId="25" xfId="1302" applyNumberFormat="1" applyFont="1" applyFill="1" applyBorder="1" applyAlignment="1" applyProtection="1">
      <alignment horizontal="center" vertical="top"/>
    </xf>
    <xf numFmtId="4" fontId="71" fillId="0" borderId="128" xfId="868" applyNumberFormat="1" applyFont="1" applyFill="1" applyBorder="1" applyAlignment="1">
      <alignment horizontal="right" vertical="top" wrapText="1"/>
    </xf>
    <xf numFmtId="4" fontId="71" fillId="70" borderId="25" xfId="0" applyNumberFormat="1" applyFont="1" applyFill="1" applyBorder="1" applyAlignment="1">
      <alignment horizontal="right" vertical="top"/>
    </xf>
    <xf numFmtId="0" fontId="175" fillId="0" borderId="25" xfId="1744" applyFont="1" applyFill="1" applyBorder="1" applyAlignment="1">
      <alignment vertical="top"/>
    </xf>
    <xf numFmtId="0" fontId="71" fillId="0" borderId="25" xfId="1744" applyFont="1" applyFill="1" applyBorder="1" applyAlignment="1">
      <alignment horizontal="left" vertical="top"/>
    </xf>
    <xf numFmtId="174" fontId="175" fillId="0" borderId="25" xfId="1744" applyNumberFormat="1" applyFont="1" applyFill="1" applyBorder="1" applyAlignment="1">
      <alignment vertical="top"/>
    </xf>
    <xf numFmtId="0" fontId="9" fillId="48" borderId="25" xfId="1269" applyNumberFormat="1" applyFont="1" applyFill="1" applyBorder="1" applyAlignment="1">
      <alignment horizontal="right" vertical="top" wrapText="1"/>
    </xf>
    <xf numFmtId="0" fontId="9" fillId="48" borderId="128" xfId="1269" applyNumberFormat="1" applyFont="1" applyFill="1" applyBorder="1" applyAlignment="1">
      <alignment horizontal="left" vertical="top" wrapText="1"/>
    </xf>
    <xf numFmtId="39" fontId="8" fillId="48" borderId="128" xfId="1269" applyNumberFormat="1" applyFont="1" applyFill="1" applyBorder="1" applyAlignment="1" applyProtection="1">
      <alignment horizontal="right" vertical="top"/>
      <protection locked="0"/>
    </xf>
    <xf numFmtId="0" fontId="8" fillId="48" borderId="25" xfId="1269" applyNumberFormat="1" applyFont="1" applyFill="1" applyBorder="1" applyAlignment="1">
      <alignment horizontal="center" vertical="top" wrapText="1"/>
    </xf>
    <xf numFmtId="4" fontId="8" fillId="48" borderId="25" xfId="1269" applyNumberFormat="1" applyFont="1" applyFill="1" applyBorder="1" applyAlignment="1" applyProtection="1">
      <alignment vertical="top"/>
      <protection locked="0"/>
    </xf>
    <xf numFmtId="0" fontId="61" fillId="0" borderId="0" xfId="0" applyFont="1" applyFill="1" applyAlignment="1">
      <alignment horizontal="center" vertical="top"/>
    </xf>
    <xf numFmtId="2" fontId="71" fillId="0" borderId="0" xfId="0" applyNumberFormat="1" applyFont="1" applyFill="1" applyAlignment="1">
      <alignment horizontal="left" vertical="top"/>
    </xf>
    <xf numFmtId="4" fontId="8" fillId="70" borderId="19" xfId="808" applyNumberFormat="1" applyFont="1" applyFill="1" applyBorder="1" applyAlignment="1">
      <alignment vertical="top"/>
    </xf>
    <xf numFmtId="4" fontId="8" fillId="70" borderId="25" xfId="808" applyNumberFormat="1" applyFont="1" applyFill="1" applyBorder="1" applyAlignment="1">
      <alignment vertical="top"/>
    </xf>
    <xf numFmtId="4" fontId="9" fillId="82" borderId="202" xfId="0" applyNumberFormat="1" applyFont="1" applyFill="1" applyBorder="1" applyAlignment="1">
      <alignment vertical="top"/>
    </xf>
    <xf numFmtId="4" fontId="0" fillId="70" borderId="128" xfId="0" applyNumberFormat="1" applyFill="1" applyBorder="1" applyAlignment="1">
      <alignment vertical="top"/>
    </xf>
    <xf numFmtId="4" fontId="8" fillId="70" borderId="74" xfId="808" applyNumberFormat="1" applyFont="1" applyFill="1" applyBorder="1" applyAlignment="1">
      <alignment vertical="top" wrapText="1"/>
    </xf>
    <xf numFmtId="4" fontId="9" fillId="82" borderId="200" xfId="0" applyNumberFormat="1" applyFont="1" applyFill="1" applyBorder="1" applyAlignment="1">
      <alignment horizontal="center" vertical="top"/>
    </xf>
    <xf numFmtId="4" fontId="8" fillId="70" borderId="19" xfId="1061" applyNumberFormat="1" applyFont="1" applyFill="1" applyBorder="1" applyAlignment="1">
      <alignment vertical="top"/>
    </xf>
    <xf numFmtId="4" fontId="8" fillId="70" borderId="78" xfId="1061" applyNumberFormat="1" applyFont="1" applyFill="1" applyBorder="1" applyAlignment="1">
      <alignment vertical="top"/>
    </xf>
    <xf numFmtId="4" fontId="9" fillId="70" borderId="74" xfId="0" applyNumberFormat="1" applyFont="1" applyFill="1" applyBorder="1" applyAlignment="1">
      <alignment vertical="top"/>
    </xf>
    <xf numFmtId="4" fontId="0" fillId="0" borderId="0" xfId="0" applyNumberFormat="1" applyBorder="1" applyAlignment="1">
      <alignment vertical="top"/>
    </xf>
    <xf numFmtId="4" fontId="175" fillId="0" borderId="25" xfId="1744" applyNumberFormat="1" applyFont="1" applyFill="1" applyBorder="1" applyAlignment="1">
      <alignment vertical="top"/>
    </xf>
    <xf numFmtId="4" fontId="8" fillId="48" borderId="19" xfId="1269" applyNumberFormat="1" applyFont="1" applyFill="1" applyBorder="1" applyAlignment="1" applyProtection="1">
      <alignment horizontal="right" vertical="top"/>
      <protection locked="0"/>
    </xf>
    <xf numFmtId="4" fontId="8" fillId="48" borderId="78" xfId="1269" applyNumberFormat="1" applyFont="1" applyFill="1" applyBorder="1" applyAlignment="1" applyProtection="1">
      <alignment horizontal="right" vertical="top"/>
      <protection locked="0"/>
    </xf>
    <xf numFmtId="4" fontId="8" fillId="48" borderId="128" xfId="1269" applyNumberFormat="1" applyFont="1" applyFill="1" applyBorder="1" applyAlignment="1" applyProtection="1">
      <alignment horizontal="right" vertical="top"/>
      <protection locked="0"/>
    </xf>
    <xf numFmtId="4" fontId="0" fillId="0" borderId="19" xfId="0" applyNumberFormat="1" applyFill="1" applyBorder="1" applyAlignment="1">
      <alignment horizontal="center" vertical="top"/>
    </xf>
    <xf numFmtId="4" fontId="163" fillId="0" borderId="19" xfId="0" applyNumberFormat="1" applyFont="1" applyFill="1" applyBorder="1" applyAlignment="1">
      <alignment horizontal="center" vertical="top"/>
    </xf>
    <xf numFmtId="4" fontId="71" fillId="70" borderId="25" xfId="0" applyNumberFormat="1" applyFont="1" applyFill="1" applyBorder="1" applyAlignment="1">
      <alignment horizontal="center" vertical="top"/>
    </xf>
    <xf numFmtId="4" fontId="0" fillId="70" borderId="25" xfId="0" applyNumberFormat="1" applyFill="1" applyBorder="1" applyAlignment="1">
      <alignment vertical="top"/>
    </xf>
    <xf numFmtId="4" fontId="8" fillId="70" borderId="19" xfId="1061" applyNumberFormat="1" applyFont="1" applyFill="1" applyBorder="1" applyAlignment="1">
      <alignment horizontal="center" vertical="top"/>
    </xf>
    <xf numFmtId="4" fontId="8" fillId="70" borderId="19" xfId="743" applyNumberFormat="1" applyFont="1" applyFill="1" applyBorder="1" applyAlignment="1">
      <alignment horizontal="center" vertical="top"/>
    </xf>
    <xf numFmtId="4" fontId="8" fillId="0" borderId="19" xfId="1302" applyNumberFormat="1" applyFont="1" applyFill="1" applyBorder="1" applyAlignment="1" applyProtection="1">
      <alignment horizontal="center" vertical="top"/>
    </xf>
    <xf numFmtId="4" fontId="136" fillId="0" borderId="19" xfId="1302" applyNumberFormat="1" applyFont="1" applyFill="1" applyBorder="1" applyAlignment="1" applyProtection="1">
      <alignment horizontal="center" vertical="top"/>
    </xf>
    <xf numFmtId="4" fontId="9" fillId="0" borderId="19" xfId="1302" applyNumberFormat="1" applyFont="1" applyFill="1" applyBorder="1" applyAlignment="1" applyProtection="1">
      <alignment horizontal="center" vertical="top"/>
    </xf>
    <xf numFmtId="4" fontId="8" fillId="0" borderId="74"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xf>
    <xf numFmtId="4" fontId="8" fillId="0" borderId="25"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wrapText="1"/>
    </xf>
    <xf numFmtId="4" fontId="172" fillId="70" borderId="19" xfId="0" applyNumberFormat="1" applyFont="1" applyFill="1" applyBorder="1" applyAlignment="1">
      <alignment horizontal="center" vertical="top"/>
    </xf>
    <xf numFmtId="4" fontId="8" fillId="48" borderId="19" xfId="1269" applyNumberFormat="1" applyFont="1" applyFill="1" applyBorder="1" applyAlignment="1">
      <alignment horizontal="center" vertical="top" wrapText="1"/>
    </xf>
    <xf numFmtId="4" fontId="8" fillId="48" borderId="25" xfId="1269" applyNumberFormat="1" applyFont="1" applyFill="1" applyBorder="1" applyAlignment="1">
      <alignment horizontal="center" vertical="top" wrapText="1"/>
    </xf>
    <xf numFmtId="4" fontId="71" fillId="48" borderId="19" xfId="1269" applyNumberFormat="1" applyFont="1" applyFill="1" applyBorder="1" applyAlignment="1">
      <alignment horizontal="center" vertical="top" wrapText="1"/>
    </xf>
    <xf numFmtId="4" fontId="174" fillId="48" borderId="19" xfId="0" applyNumberFormat="1" applyFont="1" applyFill="1" applyBorder="1" applyAlignment="1">
      <alignment horizontal="center" vertical="top"/>
    </xf>
    <xf numFmtId="4" fontId="8" fillId="70" borderId="19" xfId="1051" applyNumberFormat="1" applyFont="1" applyFill="1" applyBorder="1" applyAlignment="1">
      <alignment horizontal="center" vertical="top" wrapText="1"/>
    </xf>
    <xf numFmtId="0" fontId="8" fillId="0" borderId="0" xfId="0" applyFont="1" applyAlignment="1">
      <alignment horizontal="center" vertical="top"/>
    </xf>
    <xf numFmtId="0" fontId="8" fillId="69" borderId="0" xfId="0" applyFont="1" applyFill="1" applyAlignment="1">
      <alignment vertical="top"/>
    </xf>
    <xf numFmtId="2" fontId="8" fillId="0" borderId="204" xfId="838" applyNumberFormat="1" applyFont="1" applyFill="1" applyBorder="1" applyAlignment="1" applyProtection="1">
      <alignment horizontal="right" vertical="top"/>
    </xf>
    <xf numFmtId="0" fontId="8" fillId="0" borderId="0" xfId="0" applyFont="1" applyFill="1" applyAlignment="1">
      <alignment vertical="top"/>
    </xf>
    <xf numFmtId="0" fontId="136" fillId="70" borderId="0" xfId="0" applyFont="1" applyFill="1" applyAlignment="1">
      <alignment vertical="top"/>
    </xf>
    <xf numFmtId="0" fontId="140" fillId="0" borderId="0" xfId="0" applyFont="1" applyAlignment="1">
      <alignment vertical="top"/>
    </xf>
    <xf numFmtId="2" fontId="8" fillId="0" borderId="205" xfId="838" applyNumberFormat="1" applyFont="1" applyFill="1" applyBorder="1" applyAlignment="1" applyProtection="1">
      <alignment horizontal="right" vertical="top"/>
    </xf>
    <xf numFmtId="169" fontId="8" fillId="70" borderId="0" xfId="699" applyFont="1" applyFill="1" applyBorder="1" applyAlignment="1">
      <alignment vertical="top"/>
    </xf>
    <xf numFmtId="0" fontId="8" fillId="86" borderId="0" xfId="0" applyFont="1" applyFill="1" applyAlignment="1">
      <alignment vertical="top"/>
    </xf>
    <xf numFmtId="0" fontId="186" fillId="70" borderId="0" xfId="0" applyFont="1" applyFill="1" applyAlignment="1">
      <alignment vertical="top"/>
    </xf>
    <xf numFmtId="0" fontId="136" fillId="66" borderId="0" xfId="970" applyFont="1" applyFill="1" applyAlignment="1">
      <alignment vertical="top"/>
    </xf>
    <xf numFmtId="0" fontId="8" fillId="48" borderId="0" xfId="970" applyFont="1" applyFill="1" applyAlignment="1">
      <alignment vertical="top"/>
    </xf>
    <xf numFmtId="0" fontId="8" fillId="87" borderId="0" xfId="970" applyFont="1" applyFill="1" applyAlignment="1">
      <alignment vertical="top"/>
    </xf>
    <xf numFmtId="0" fontId="8" fillId="66" borderId="0" xfId="970" applyFont="1" applyFill="1" applyAlignment="1">
      <alignment vertical="top"/>
    </xf>
    <xf numFmtId="0" fontId="8" fillId="65" borderId="0" xfId="970" applyFont="1" applyFill="1" applyAlignment="1">
      <alignment vertical="top"/>
    </xf>
    <xf numFmtId="0" fontId="8" fillId="85" borderId="0" xfId="0" applyFont="1" applyFill="1" applyAlignment="1">
      <alignment vertical="top"/>
    </xf>
    <xf numFmtId="0" fontId="186" fillId="85" borderId="0" xfId="0" applyFont="1" applyFill="1" applyAlignment="1">
      <alignment vertical="top"/>
    </xf>
    <xf numFmtId="0" fontId="8" fillId="79" borderId="0" xfId="0" applyFont="1" applyFill="1" applyAlignment="1">
      <alignment vertical="top"/>
    </xf>
    <xf numFmtId="0" fontId="8" fillId="69" borderId="19" xfId="0" applyFont="1" applyFill="1" applyBorder="1" applyAlignment="1">
      <alignment vertical="top"/>
    </xf>
    <xf numFmtId="0" fontId="8" fillId="82" borderId="0" xfId="0" applyFont="1" applyFill="1" applyAlignment="1">
      <alignment vertical="top"/>
    </xf>
    <xf numFmtId="40" fontId="8" fillId="70" borderId="204" xfId="705" applyFont="1" applyFill="1" applyBorder="1" applyAlignment="1" applyProtection="1">
      <alignment horizontal="center" vertical="top"/>
    </xf>
    <xf numFmtId="2" fontId="8" fillId="0" borderId="0" xfId="0" applyNumberFormat="1" applyFont="1" applyAlignment="1" applyProtection="1">
      <alignment horizontal="right" vertical="top"/>
    </xf>
    <xf numFmtId="0" fontId="8" fillId="0" borderId="0" xfId="0" applyFont="1" applyAlignment="1" applyProtection="1">
      <alignment vertical="top" wrapText="1"/>
    </xf>
    <xf numFmtId="0" fontId="8" fillId="0" borderId="0" xfId="0" applyFont="1" applyAlignment="1" applyProtection="1">
      <alignment vertical="top"/>
    </xf>
    <xf numFmtId="0" fontId="8" fillId="0" borderId="0" xfId="0" applyFont="1" applyAlignment="1" applyProtection="1">
      <alignment horizontal="center" vertical="top"/>
    </xf>
    <xf numFmtId="0" fontId="8" fillId="0" borderId="0" xfId="0" applyFont="1" applyAlignment="1" applyProtection="1">
      <alignment horizontal="center" vertical="top" wrapText="1"/>
    </xf>
    <xf numFmtId="0" fontId="9" fillId="0" borderId="0" xfId="0" applyFont="1" applyAlignment="1" applyProtection="1">
      <alignment horizontal="center" vertical="top" wrapText="1"/>
    </xf>
    <xf numFmtId="0" fontId="9" fillId="0" borderId="0" xfId="0" applyFont="1" applyAlignment="1" applyProtection="1">
      <alignment vertical="top"/>
    </xf>
    <xf numFmtId="0" fontId="9" fillId="0" borderId="0" xfId="0" applyFont="1" applyAlignment="1" applyProtection="1">
      <alignment horizontal="center" vertical="top"/>
    </xf>
    <xf numFmtId="2" fontId="9" fillId="65" borderId="208" xfId="0" applyNumberFormat="1" applyFont="1" applyFill="1" applyBorder="1" applyAlignment="1" applyProtection="1">
      <alignment horizontal="center" vertical="top"/>
    </xf>
    <xf numFmtId="0" fontId="9" fillId="65" borderId="209" xfId="0" applyFont="1" applyFill="1" applyBorder="1" applyAlignment="1" applyProtection="1">
      <alignment horizontal="center" vertical="top" wrapText="1"/>
    </xf>
    <xf numFmtId="0" fontId="9" fillId="65" borderId="209" xfId="0" applyFont="1" applyFill="1" applyBorder="1" applyAlignment="1" applyProtection="1">
      <alignment horizontal="center" vertical="top"/>
    </xf>
    <xf numFmtId="231" fontId="9" fillId="70" borderId="204" xfId="705" applyNumberFormat="1" applyFont="1" applyFill="1" applyBorder="1" applyAlignment="1" applyProtection="1">
      <alignment horizontal="center" vertical="top" wrapText="1"/>
    </xf>
    <xf numFmtId="0" fontId="9" fillId="70" borderId="204" xfId="970" applyFont="1" applyFill="1" applyBorder="1" applyAlignment="1" applyProtection="1">
      <alignment vertical="top" wrapText="1"/>
    </xf>
    <xf numFmtId="40" fontId="8" fillId="70" borderId="204" xfId="705" applyFont="1" applyFill="1" applyBorder="1" applyAlignment="1" applyProtection="1">
      <alignment vertical="top"/>
    </xf>
    <xf numFmtId="2" fontId="8" fillId="70" borderId="204" xfId="705" applyNumberFormat="1" applyFont="1" applyFill="1" applyBorder="1" applyAlignment="1" applyProtection="1">
      <alignment horizontal="center" vertical="top"/>
    </xf>
    <xf numFmtId="0" fontId="9" fillId="0" borderId="204" xfId="970" applyFont="1" applyFill="1" applyBorder="1" applyAlignment="1" applyProtection="1">
      <alignment horizontal="right" vertical="top"/>
    </xf>
    <xf numFmtId="0" fontId="14" fillId="0" borderId="204" xfId="0" applyNumberFormat="1" applyFont="1" applyFill="1" applyBorder="1" applyAlignment="1" applyProtection="1">
      <alignment horizontal="left" vertical="top" wrapText="1"/>
    </xf>
    <xf numFmtId="4" fontId="20" fillId="70" borderId="204" xfId="0" applyNumberFormat="1" applyFont="1" applyFill="1" applyBorder="1" applyAlignment="1" applyProtection="1">
      <alignment horizontal="center" vertical="top" wrapText="1"/>
    </xf>
    <xf numFmtId="0" fontId="8" fillId="0" borderId="204" xfId="970" applyFont="1" applyFill="1" applyBorder="1" applyAlignment="1" applyProtection="1">
      <alignment horizontal="right" vertical="top"/>
    </xf>
    <xf numFmtId="0" fontId="8" fillId="0" borderId="204" xfId="0" applyFont="1" applyFill="1" applyBorder="1" applyAlignment="1" applyProtection="1">
      <alignment vertical="top" wrapText="1"/>
    </xf>
    <xf numFmtId="4" fontId="8" fillId="70" borderId="204" xfId="0" applyNumberFormat="1" applyFont="1" applyFill="1" applyBorder="1" applyAlignment="1" applyProtection="1">
      <alignment horizontal="center" vertical="top"/>
    </xf>
    <xf numFmtId="0" fontId="8" fillId="0" borderId="204" xfId="0" applyFont="1" applyFill="1" applyBorder="1" applyAlignment="1" applyProtection="1">
      <alignment vertical="top"/>
    </xf>
    <xf numFmtId="4" fontId="8" fillId="70" borderId="204" xfId="970" applyNumberFormat="1" applyFont="1" applyFill="1" applyBorder="1" applyAlignment="1" applyProtection="1">
      <alignment vertical="top"/>
    </xf>
    <xf numFmtId="0" fontId="8" fillId="70" borderId="204" xfId="970" applyFont="1" applyFill="1" applyBorder="1" applyAlignment="1" applyProtection="1">
      <alignment horizontal="center" vertical="top"/>
    </xf>
    <xf numFmtId="0" fontId="9" fillId="0" borderId="204" xfId="970" applyFont="1" applyFill="1" applyBorder="1" applyAlignment="1" applyProtection="1">
      <alignment horizontal="right" vertical="top" wrapText="1"/>
    </xf>
    <xf numFmtId="0" fontId="9" fillId="0" borderId="204" xfId="0" applyFont="1" applyFill="1" applyBorder="1" applyAlignment="1" applyProtection="1">
      <alignment vertical="top" wrapText="1"/>
    </xf>
    <xf numFmtId="169" fontId="8" fillId="70" borderId="204" xfId="743" applyFont="1" applyFill="1" applyBorder="1" applyAlignment="1" applyProtection="1">
      <alignment vertical="top"/>
    </xf>
    <xf numFmtId="49" fontId="8" fillId="70" borderId="204" xfId="970" applyNumberFormat="1" applyFont="1" applyFill="1" applyBorder="1" applyAlignment="1" applyProtection="1">
      <alignment horizontal="center" vertical="top"/>
    </xf>
    <xf numFmtId="193" fontId="8" fillId="0" borderId="204" xfId="970" applyNumberFormat="1" applyFont="1" applyFill="1" applyBorder="1" applyAlignment="1" applyProtection="1">
      <alignment horizontal="right" vertical="top"/>
    </xf>
    <xf numFmtId="1" fontId="13" fillId="0" borderId="204" xfId="970" applyNumberFormat="1" applyFont="1" applyFill="1" applyBorder="1" applyAlignment="1" applyProtection="1">
      <alignment horizontal="center" vertical="top"/>
    </xf>
    <xf numFmtId="0" fontId="9" fillId="70" borderId="204" xfId="0" applyFont="1" applyFill="1" applyBorder="1" applyAlignment="1" applyProtection="1">
      <alignment vertical="top" wrapText="1"/>
    </xf>
    <xf numFmtId="0" fontId="140" fillId="0" borderId="204" xfId="0" applyFont="1" applyFill="1" applyBorder="1" applyAlignment="1" applyProtection="1">
      <alignment vertical="top" wrapText="1"/>
    </xf>
    <xf numFmtId="4" fontId="8" fillId="70" borderId="204" xfId="1017" applyNumberFormat="1" applyFont="1" applyFill="1" applyBorder="1" applyAlignment="1" applyProtection="1">
      <alignment vertical="top"/>
    </xf>
    <xf numFmtId="174" fontId="8" fillId="70" borderId="204" xfId="1017" applyNumberFormat="1" applyFont="1" applyFill="1" applyBorder="1" applyAlignment="1" applyProtection="1">
      <alignment horizontal="center" vertical="top" wrapText="1"/>
    </xf>
    <xf numFmtId="0" fontId="9" fillId="0" borderId="204" xfId="0" applyFont="1" applyFill="1" applyBorder="1" applyAlignment="1" applyProtection="1">
      <alignment horizontal="left" vertical="top" wrapText="1"/>
    </xf>
    <xf numFmtId="0" fontId="8" fillId="0" borderId="204" xfId="0" applyFont="1" applyFill="1" applyBorder="1" applyAlignment="1" applyProtection="1">
      <alignment horizontal="left" vertical="top" wrapText="1"/>
    </xf>
    <xf numFmtId="40" fontId="13" fillId="70" borderId="204" xfId="705" applyFont="1" applyFill="1" applyBorder="1" applyAlignment="1" applyProtection="1">
      <alignment vertical="top"/>
    </xf>
    <xf numFmtId="174" fontId="13" fillId="70" borderId="204" xfId="970" applyNumberFormat="1" applyFont="1" applyFill="1" applyBorder="1" applyAlignment="1" applyProtection="1">
      <alignment horizontal="center" vertical="top"/>
    </xf>
    <xf numFmtId="0" fontId="8" fillId="48" borderId="0" xfId="970" applyFont="1" applyFill="1" applyAlignment="1" applyProtection="1">
      <alignment vertical="top"/>
    </xf>
    <xf numFmtId="2" fontId="8" fillId="0" borderId="204" xfId="970" applyNumberFormat="1" applyFont="1" applyFill="1" applyBorder="1" applyAlignment="1" applyProtection="1">
      <alignment horizontal="right" vertical="top"/>
    </xf>
    <xf numFmtId="4" fontId="8" fillId="70" borderId="204" xfId="970" applyNumberFormat="1" applyFont="1" applyFill="1" applyBorder="1" applyAlignment="1" applyProtection="1">
      <alignment vertical="top" wrapText="1"/>
    </xf>
    <xf numFmtId="0" fontId="9" fillId="82" borderId="204" xfId="0" applyFont="1" applyFill="1" applyBorder="1" applyAlignment="1" applyProtection="1">
      <alignment horizontal="center" vertical="top"/>
    </xf>
    <xf numFmtId="0" fontId="13" fillId="0" borderId="204" xfId="0" applyFont="1" applyBorder="1" applyAlignment="1" applyProtection="1">
      <alignment horizontal="right" vertical="top" wrapText="1"/>
    </xf>
    <xf numFmtId="0" fontId="8" fillId="0" borderId="204" xfId="0" applyFont="1" applyBorder="1" applyAlignment="1" applyProtection="1">
      <alignment vertical="top" wrapText="1"/>
    </xf>
    <xf numFmtId="4" fontId="8" fillId="70" borderId="204" xfId="712" applyNumberFormat="1" applyFont="1" applyFill="1" applyBorder="1" applyAlignment="1" applyProtection="1">
      <alignment horizontal="right" vertical="top" wrapText="1"/>
    </xf>
    <xf numFmtId="4" fontId="8" fillId="70" borderId="204" xfId="712" applyNumberFormat="1" applyFont="1" applyFill="1" applyBorder="1" applyAlignment="1" applyProtection="1">
      <alignment horizontal="center" vertical="top"/>
    </xf>
    <xf numFmtId="4" fontId="8" fillId="70" borderId="204" xfId="0" applyNumberFormat="1" applyFont="1" applyFill="1" applyBorder="1" applyAlignment="1" applyProtection="1">
      <alignment vertical="top"/>
    </xf>
    <xf numFmtId="0" fontId="9" fillId="0" borderId="204" xfId="0" applyFont="1" applyBorder="1" applyAlignment="1" applyProtection="1">
      <alignment horizontal="center" vertical="top"/>
    </xf>
    <xf numFmtId="0" fontId="9" fillId="0" borderId="204" xfId="0" quotePrefix="1" applyFont="1" applyBorder="1" applyAlignment="1" applyProtection="1">
      <alignment horizontal="left" vertical="top" wrapText="1"/>
    </xf>
    <xf numFmtId="4" fontId="8" fillId="70" borderId="204" xfId="0" applyNumberFormat="1" applyFont="1" applyFill="1" applyBorder="1" applyAlignment="1" applyProtection="1">
      <alignment horizontal="right" vertical="top"/>
    </xf>
    <xf numFmtId="4" fontId="8" fillId="70" borderId="204" xfId="0" applyNumberFormat="1" applyFont="1" applyFill="1" applyBorder="1" applyAlignment="1" applyProtection="1">
      <alignment horizontal="center" vertical="top" wrapText="1"/>
    </xf>
    <xf numFmtId="37" fontId="9" fillId="0" borderId="204" xfId="0" applyNumberFormat="1" applyFont="1" applyBorder="1" applyAlignment="1" applyProtection="1">
      <alignment horizontal="right" vertical="top" wrapText="1"/>
    </xf>
    <xf numFmtId="0" fontId="9" fillId="0" borderId="204" xfId="0" applyFont="1" applyBorder="1" applyAlignment="1" applyProtection="1">
      <alignment vertical="top" wrapText="1"/>
    </xf>
    <xf numFmtId="4" fontId="13" fillId="70" borderId="204" xfId="0" applyNumberFormat="1" applyFont="1" applyFill="1" applyBorder="1" applyAlignment="1" applyProtection="1">
      <alignment vertical="top" wrapText="1"/>
    </xf>
    <xf numFmtId="4" fontId="13" fillId="70" borderId="204" xfId="0" applyNumberFormat="1" applyFont="1" applyFill="1" applyBorder="1" applyAlignment="1" applyProtection="1">
      <alignment horizontal="center" vertical="top"/>
    </xf>
    <xf numFmtId="191" fontId="8" fillId="0" borderId="204" xfId="0" applyNumberFormat="1" applyFont="1" applyBorder="1" applyAlignment="1" applyProtection="1">
      <alignment horizontal="right" vertical="top"/>
    </xf>
    <xf numFmtId="0" fontId="13" fillId="0" borderId="204" xfId="0" applyFont="1" applyBorder="1" applyAlignment="1" applyProtection="1">
      <alignment vertical="top" wrapText="1"/>
    </xf>
    <xf numFmtId="37" fontId="8" fillId="0" borderId="204" xfId="0" applyNumberFormat="1" applyFont="1" applyBorder="1" applyAlignment="1" applyProtection="1">
      <alignment vertical="top" wrapText="1"/>
    </xf>
    <xf numFmtId="37" fontId="9" fillId="0" borderId="204" xfId="0" applyNumberFormat="1" applyFont="1" applyBorder="1" applyAlignment="1" applyProtection="1">
      <alignment vertical="top" wrapText="1"/>
    </xf>
    <xf numFmtId="0" fontId="14" fillId="0" borderId="204" xfId="0" applyFont="1" applyBorder="1" applyAlignment="1" applyProtection="1">
      <alignment vertical="top" wrapText="1"/>
    </xf>
    <xf numFmtId="4" fontId="8" fillId="70" borderId="204" xfId="972" applyNumberFormat="1" applyFont="1" applyFill="1" applyBorder="1" applyAlignment="1" applyProtection="1">
      <alignment horizontal="center" vertical="top"/>
    </xf>
    <xf numFmtId="4" fontId="8" fillId="70" borderId="204" xfId="0" applyNumberFormat="1" applyFont="1" applyFill="1" applyBorder="1" applyAlignment="1" applyProtection="1">
      <alignment horizontal="right" vertical="top" wrapText="1"/>
    </xf>
    <xf numFmtId="4" fontId="8" fillId="70" borderId="204" xfId="2029" applyNumberFormat="1" applyFont="1" applyFill="1" applyBorder="1" applyAlignment="1" applyProtection="1">
      <alignment vertical="top" wrapText="1"/>
    </xf>
    <xf numFmtId="4" fontId="8" fillId="70" borderId="204" xfId="868" applyNumberFormat="1" applyFont="1" applyFill="1" applyBorder="1" applyAlignment="1" applyProtection="1">
      <alignment vertical="top" wrapText="1"/>
    </xf>
    <xf numFmtId="49" fontId="9" fillId="0" borderId="204" xfId="1302" applyNumberFormat="1" applyFont="1" applyBorder="1" applyAlignment="1" applyProtection="1">
      <alignment horizontal="left" vertical="top" wrapText="1"/>
    </xf>
    <xf numFmtId="193" fontId="8" fillId="0" borderId="204" xfId="0" applyNumberFormat="1" applyFont="1" applyBorder="1" applyAlignment="1" applyProtection="1">
      <alignment horizontal="right" vertical="top"/>
    </xf>
    <xf numFmtId="4" fontId="8" fillId="70" borderId="204" xfId="750" applyNumberFormat="1" applyFont="1" applyFill="1" applyBorder="1" applyAlignment="1" applyProtection="1">
      <alignment horizontal="center" vertical="top" wrapText="1"/>
    </xf>
    <xf numFmtId="173" fontId="13" fillId="70" borderId="204" xfId="712" applyFont="1" applyFill="1" applyBorder="1" applyAlignment="1" applyProtection="1">
      <alignment horizontal="right" vertical="top" wrapText="1"/>
    </xf>
    <xf numFmtId="173" fontId="8" fillId="70" borderId="204" xfId="712" applyFont="1" applyFill="1" applyBorder="1" applyAlignment="1" applyProtection="1">
      <alignment horizontal="center" vertical="top" wrapText="1"/>
    </xf>
    <xf numFmtId="237" fontId="9" fillId="0" borderId="204" xfId="0" applyNumberFormat="1" applyFont="1" applyBorder="1" applyAlignment="1" applyProtection="1">
      <alignment vertical="top" wrapText="1"/>
    </xf>
    <xf numFmtId="4" fontId="140" fillId="70" borderId="204" xfId="0" applyNumberFormat="1" applyFont="1" applyFill="1" applyBorder="1" applyAlignment="1" applyProtection="1">
      <alignment vertical="top"/>
    </xf>
    <xf numFmtId="4" fontId="140" fillId="70" borderId="204" xfId="704" applyNumberFormat="1" applyFont="1" applyFill="1" applyBorder="1" applyAlignment="1" applyProtection="1">
      <alignment horizontal="center" vertical="top"/>
    </xf>
    <xf numFmtId="169" fontId="8" fillId="70" borderId="204" xfId="0" applyNumberFormat="1" applyFont="1" applyFill="1" applyBorder="1" applyAlignment="1" applyProtection="1">
      <alignment horizontal="center" vertical="top"/>
    </xf>
    <xf numFmtId="174" fontId="8" fillId="70" borderId="204" xfId="0" applyNumberFormat="1" applyFont="1" applyFill="1" applyBorder="1" applyAlignment="1" applyProtection="1">
      <alignment vertical="top"/>
    </xf>
    <xf numFmtId="185" fontId="8" fillId="0" borderId="204" xfId="0" applyNumberFormat="1" applyFont="1" applyBorder="1" applyAlignment="1" applyProtection="1">
      <alignment vertical="top" wrapText="1"/>
    </xf>
    <xf numFmtId="4" fontId="8" fillId="0" borderId="204" xfId="0" applyNumberFormat="1" applyFont="1" applyBorder="1" applyAlignment="1" applyProtection="1">
      <alignment vertical="top"/>
    </xf>
    <xf numFmtId="4" fontId="13" fillId="70" borderId="204" xfId="0" applyNumberFormat="1" applyFont="1" applyFill="1" applyBorder="1" applyAlignment="1" applyProtection="1">
      <alignment vertical="top"/>
    </xf>
    <xf numFmtId="2" fontId="8" fillId="70" borderId="204" xfId="0" applyNumberFormat="1" applyFont="1" applyFill="1" applyBorder="1" applyAlignment="1" applyProtection="1">
      <alignment horizontal="center" vertical="top"/>
    </xf>
    <xf numFmtId="185" fontId="8" fillId="83" borderId="204" xfId="0" applyNumberFormat="1" applyFont="1" applyFill="1" applyBorder="1" applyAlignment="1" applyProtection="1">
      <alignment horizontal="right" vertical="top" wrapText="1"/>
    </xf>
    <xf numFmtId="4" fontId="140" fillId="70" borderId="204" xfId="0" applyNumberFormat="1" applyFont="1" applyFill="1" applyBorder="1" applyAlignment="1" applyProtection="1">
      <alignment horizontal="right" vertical="top" wrapText="1"/>
    </xf>
    <xf numFmtId="4" fontId="140" fillId="70" borderId="204" xfId="0" applyNumberFormat="1" applyFont="1" applyFill="1" applyBorder="1" applyAlignment="1" applyProtection="1">
      <alignment horizontal="center" vertical="top" wrapText="1"/>
    </xf>
    <xf numFmtId="39" fontId="8" fillId="83" borderId="204" xfId="0" applyNumberFormat="1" applyFont="1" applyFill="1" applyBorder="1" applyAlignment="1" applyProtection="1">
      <alignment horizontal="right" vertical="top" wrapText="1"/>
    </xf>
    <xf numFmtId="0" fontId="8" fillId="0" borderId="204" xfId="0" applyFont="1" applyBorder="1" applyAlignment="1" applyProtection="1">
      <alignment horizontal="right" vertical="top"/>
    </xf>
    <xf numFmtId="49" fontId="9" fillId="0" borderId="204" xfId="1302" applyNumberFormat="1" applyFont="1" applyBorder="1" applyAlignment="1" applyProtection="1">
      <alignment vertical="top" wrapText="1"/>
    </xf>
    <xf numFmtId="37" fontId="146" fillId="0" borderId="204" xfId="0" applyNumberFormat="1" applyFont="1" applyBorder="1" applyAlignment="1" applyProtection="1">
      <alignment vertical="top" wrapText="1"/>
    </xf>
    <xf numFmtId="2" fontId="140" fillId="0" borderId="204" xfId="0" applyNumberFormat="1" applyFont="1" applyFill="1" applyBorder="1" applyAlignment="1" applyProtection="1">
      <alignment horizontal="right" vertical="top"/>
    </xf>
    <xf numFmtId="4" fontId="140" fillId="70" borderId="204" xfId="868" applyNumberFormat="1" applyFont="1" applyFill="1" applyBorder="1" applyAlignment="1" applyProtection="1">
      <alignment vertical="top" wrapText="1"/>
    </xf>
    <xf numFmtId="4" fontId="140" fillId="70" borderId="204" xfId="0" applyNumberFormat="1" applyFont="1" applyFill="1" applyBorder="1" applyAlignment="1" applyProtection="1">
      <alignment horizontal="center" vertical="top"/>
    </xf>
    <xf numFmtId="2" fontId="9" fillId="0" borderId="204" xfId="0" applyNumberFormat="1" applyFont="1" applyFill="1" applyBorder="1" applyAlignment="1" applyProtection="1">
      <alignment horizontal="center" vertical="top"/>
    </xf>
    <xf numFmtId="0" fontId="9" fillId="0" borderId="204" xfId="0" applyFont="1" applyFill="1" applyBorder="1" applyAlignment="1" applyProtection="1">
      <alignment vertical="top"/>
    </xf>
    <xf numFmtId="4" fontId="9" fillId="70" borderId="204" xfId="0" applyNumberFormat="1" applyFont="1" applyFill="1" applyBorder="1" applyAlignment="1" applyProtection="1">
      <alignment vertical="top"/>
    </xf>
    <xf numFmtId="4" fontId="9" fillId="70" borderId="204" xfId="0" applyNumberFormat="1" applyFont="1" applyFill="1" applyBorder="1" applyAlignment="1" applyProtection="1">
      <alignment horizontal="center" vertical="top"/>
    </xf>
    <xf numFmtId="1" fontId="9" fillId="0" borderId="204" xfId="0" applyNumberFormat="1" applyFont="1" applyFill="1" applyBorder="1" applyAlignment="1" applyProtection="1">
      <alignment horizontal="right" vertical="top"/>
    </xf>
    <xf numFmtId="0" fontId="8" fillId="0" borderId="204" xfId="0" applyNumberFormat="1" applyFont="1" applyFill="1" applyBorder="1" applyAlignment="1" applyProtection="1">
      <alignment horizontal="justify" vertical="top" wrapText="1"/>
    </xf>
    <xf numFmtId="0" fontId="9" fillId="0" borderId="206" xfId="0" applyFont="1" applyFill="1" applyBorder="1" applyAlignment="1" applyProtection="1">
      <alignment horizontal="center" vertical="top"/>
    </xf>
    <xf numFmtId="4" fontId="8" fillId="0" borderId="206" xfId="868" applyNumberFormat="1" applyFont="1" applyFill="1" applyBorder="1" applyAlignment="1" applyProtection="1">
      <alignment vertical="top" wrapText="1"/>
    </xf>
    <xf numFmtId="4" fontId="8" fillId="0" borderId="206" xfId="0" applyNumberFormat="1" applyFont="1" applyFill="1" applyBorder="1" applyAlignment="1" applyProtection="1">
      <alignment horizontal="center" vertical="top"/>
    </xf>
    <xf numFmtId="4" fontId="8" fillId="0" borderId="204" xfId="868" applyNumberFormat="1" applyFont="1" applyFill="1" applyBorder="1" applyAlignment="1" applyProtection="1">
      <alignment vertical="top" wrapText="1"/>
    </xf>
    <xf numFmtId="0" fontId="8" fillId="0" borderId="204" xfId="0" applyFont="1" applyFill="1" applyBorder="1" applyAlignment="1" applyProtection="1">
      <alignment horizontal="center" vertical="top"/>
    </xf>
    <xf numFmtId="2" fontId="9" fillId="0" borderId="204" xfId="0" applyNumberFormat="1" applyFont="1" applyFill="1" applyBorder="1" applyAlignment="1" applyProtection="1">
      <alignment horizontal="right" vertical="top"/>
    </xf>
    <xf numFmtId="0" fontId="9" fillId="0" borderId="204" xfId="0" applyFont="1" applyFill="1" applyBorder="1" applyAlignment="1" applyProtection="1">
      <alignment horizontal="right" vertical="top" wrapText="1"/>
    </xf>
    <xf numFmtId="0" fontId="9" fillId="0" borderId="204" xfId="0" applyFont="1" applyFill="1" applyBorder="1" applyAlignment="1" applyProtection="1">
      <alignment horizontal="center" vertical="top"/>
    </xf>
    <xf numFmtId="0" fontId="8" fillId="70" borderId="204" xfId="0" applyFont="1" applyFill="1" applyBorder="1" applyAlignment="1" applyProtection="1">
      <alignment horizontal="right" vertical="top" wrapText="1"/>
    </xf>
    <xf numFmtId="0" fontId="8" fillId="0" borderId="204" xfId="0" applyFont="1" applyBorder="1" applyAlignment="1" applyProtection="1">
      <alignment horizontal="right" vertical="top" wrapText="1"/>
    </xf>
    <xf numFmtId="10" fontId="8" fillId="0" borderId="204" xfId="0" applyNumberFormat="1" applyFont="1" applyBorder="1" applyAlignment="1" applyProtection="1">
      <alignment horizontal="right" vertical="top" wrapText="1"/>
    </xf>
    <xf numFmtId="174" fontId="8" fillId="70" borderId="204" xfId="0" applyNumberFormat="1" applyFont="1" applyFill="1" applyBorder="1" applyAlignment="1" applyProtection="1">
      <alignment horizontal="center" vertical="top" wrapText="1"/>
    </xf>
    <xf numFmtId="10" fontId="8" fillId="0" borderId="204" xfId="1336" applyNumberFormat="1" applyFont="1" applyFill="1" applyBorder="1" applyAlignment="1" applyProtection="1">
      <alignment horizontal="right" vertical="top"/>
    </xf>
    <xf numFmtId="228" fontId="8" fillId="70" borderId="204" xfId="1334" applyNumberFormat="1" applyFont="1" applyFill="1" applyBorder="1" applyAlignment="1" applyProtection="1">
      <alignment horizontal="center" vertical="top"/>
    </xf>
    <xf numFmtId="193" fontId="8" fillId="0" borderId="204" xfId="2027" applyNumberFormat="1" applyFont="1" applyBorder="1" applyAlignment="1" applyProtection="1">
      <alignment horizontal="right" vertical="top"/>
    </xf>
    <xf numFmtId="2" fontId="8" fillId="82" borderId="204" xfId="0" applyNumberFormat="1" applyFont="1" applyFill="1" applyBorder="1" applyAlignment="1" applyProtection="1">
      <alignment horizontal="right" vertical="top"/>
    </xf>
    <xf numFmtId="0" fontId="9" fillId="82" borderId="204" xfId="0" applyFont="1" applyFill="1" applyBorder="1" applyAlignment="1" applyProtection="1">
      <alignment horizontal="right" vertical="top" wrapText="1"/>
    </xf>
    <xf numFmtId="0" fontId="9" fillId="82" borderId="204" xfId="0" applyFont="1" applyFill="1" applyBorder="1" applyAlignment="1" applyProtection="1">
      <alignment vertical="top"/>
    </xf>
    <xf numFmtId="2" fontId="8" fillId="0" borderId="211" xfId="0" applyNumberFormat="1" applyFont="1" applyFill="1" applyBorder="1" applyAlignment="1" applyProtection="1">
      <alignment horizontal="right" vertical="top"/>
    </xf>
    <xf numFmtId="2" fontId="8" fillId="69" borderId="205" xfId="0" applyNumberFormat="1" applyFont="1" applyFill="1" applyBorder="1" applyAlignment="1" applyProtection="1">
      <alignment horizontal="right" vertical="top"/>
    </xf>
    <xf numFmtId="0" fontId="9" fillId="69" borderId="206" xfId="0" applyFont="1" applyFill="1" applyBorder="1" applyAlignment="1" applyProtection="1">
      <alignment horizontal="right" vertical="top" wrapText="1"/>
    </xf>
    <xf numFmtId="0" fontId="8" fillId="69" borderId="206" xfId="0" applyFont="1" applyFill="1" applyBorder="1" applyAlignment="1" applyProtection="1">
      <alignment vertical="top"/>
    </xf>
    <xf numFmtId="0" fontId="8" fillId="69" borderId="206" xfId="0" applyFont="1" applyFill="1" applyBorder="1" applyAlignment="1" applyProtection="1">
      <alignment horizontal="center" vertical="top"/>
    </xf>
    <xf numFmtId="4" fontId="8" fillId="70" borderId="204" xfId="868" applyNumberFormat="1" applyFont="1" applyFill="1" applyBorder="1" applyAlignment="1" applyProtection="1">
      <alignment vertical="top" wrapText="1"/>
      <protection locked="0"/>
    </xf>
    <xf numFmtId="4" fontId="140" fillId="70" borderId="204" xfId="750" applyNumberFormat="1" applyFont="1" applyFill="1" applyBorder="1" applyAlignment="1" applyProtection="1">
      <alignment horizontal="right" vertical="top" wrapText="1"/>
      <protection locked="0"/>
    </xf>
    <xf numFmtId="4" fontId="140" fillId="70" borderId="204" xfId="0" applyNumberFormat="1" applyFont="1" applyFill="1" applyBorder="1" applyAlignment="1" applyProtection="1">
      <alignment vertical="top"/>
      <protection locked="0"/>
    </xf>
    <xf numFmtId="0" fontId="8" fillId="70" borderId="204" xfId="970" applyFont="1" applyFill="1" applyBorder="1" applyAlignment="1" applyProtection="1">
      <alignment horizontal="right" vertical="top"/>
    </xf>
    <xf numFmtId="0" fontId="9" fillId="70" borderId="204" xfId="0" applyFont="1" applyFill="1" applyBorder="1" applyAlignment="1" applyProtection="1">
      <alignment vertical="top"/>
    </xf>
    <xf numFmtId="0" fontId="8" fillId="70" borderId="0" xfId="970" applyFont="1" applyFill="1" applyAlignment="1">
      <alignment vertical="top"/>
    </xf>
    <xf numFmtId="1" fontId="13" fillId="70" borderId="204" xfId="970" applyNumberFormat="1" applyFont="1" applyFill="1" applyBorder="1" applyAlignment="1" applyProtection="1">
      <alignment horizontal="center" vertical="top"/>
    </xf>
    <xf numFmtId="0" fontId="8" fillId="70" borderId="204" xfId="0" applyFont="1" applyFill="1" applyBorder="1" applyAlignment="1" applyProtection="1">
      <alignment vertical="top" wrapText="1"/>
    </xf>
    <xf numFmtId="0" fontId="8" fillId="70" borderId="204" xfId="970" applyFont="1" applyFill="1" applyBorder="1" applyAlignment="1" applyProtection="1">
      <alignment horizontal="right" vertical="center"/>
    </xf>
    <xf numFmtId="4" fontId="8" fillId="70" borderId="204" xfId="970" applyNumberFormat="1" applyFont="1" applyFill="1" applyBorder="1" applyAlignment="1" applyProtection="1">
      <alignment vertical="center"/>
    </xf>
    <xf numFmtId="0" fontId="8" fillId="70" borderId="204" xfId="970" applyFont="1" applyFill="1" applyBorder="1" applyAlignment="1" applyProtection="1">
      <alignment horizontal="center" vertical="center"/>
    </xf>
    <xf numFmtId="191" fontId="8" fillId="70" borderId="204" xfId="0" applyNumberFormat="1" applyFont="1" applyFill="1" applyBorder="1" applyAlignment="1" applyProtection="1">
      <alignment horizontal="right" vertical="top"/>
    </xf>
    <xf numFmtId="4" fontId="8" fillId="70" borderId="204" xfId="2029" applyNumberFormat="1" applyFont="1" applyFill="1" applyBorder="1" applyAlignment="1" applyProtection="1">
      <alignment vertical="top"/>
    </xf>
    <xf numFmtId="0" fontId="8" fillId="83" borderId="204" xfId="0" applyFont="1" applyFill="1" applyBorder="1" applyAlignment="1" applyProtection="1">
      <alignment horizontal="justify" vertical="top" wrapText="1"/>
    </xf>
    <xf numFmtId="0" fontId="9" fillId="70" borderId="204" xfId="970" applyFont="1" applyFill="1" applyBorder="1" applyAlignment="1" applyProtection="1">
      <alignment vertical="center" wrapText="1"/>
    </xf>
    <xf numFmtId="2" fontId="8" fillId="0" borderId="204" xfId="0" applyNumberFormat="1" applyFont="1" applyBorder="1" applyAlignment="1" applyProtection="1">
      <alignment horizontal="right" vertical="top"/>
    </xf>
    <xf numFmtId="2" fontId="8" fillId="65" borderId="205" xfId="838" applyNumberFormat="1" applyFont="1" applyFill="1" applyBorder="1" applyAlignment="1" applyProtection="1">
      <alignment horizontal="right" vertical="top"/>
    </xf>
    <xf numFmtId="0" fontId="9" fillId="65" borderId="206" xfId="0" applyFont="1" applyFill="1" applyBorder="1" applyAlignment="1" applyProtection="1">
      <alignment horizontal="center" vertical="top"/>
    </xf>
    <xf numFmtId="4" fontId="8" fillId="65" borderId="206" xfId="868" applyNumberFormat="1" applyFont="1" applyFill="1" applyBorder="1" applyAlignment="1" applyProtection="1">
      <alignment vertical="top" wrapText="1"/>
    </xf>
    <xf numFmtId="4" fontId="8" fillId="65" borderId="206" xfId="0" applyNumberFormat="1" applyFont="1" applyFill="1" applyBorder="1" applyAlignment="1" applyProtection="1">
      <alignment horizontal="center" vertical="top"/>
    </xf>
    <xf numFmtId="2" fontId="9" fillId="65" borderId="205" xfId="0" applyNumberFormat="1" applyFont="1" applyFill="1" applyBorder="1" applyAlignment="1" applyProtection="1">
      <alignment horizontal="right" vertical="top"/>
    </xf>
    <xf numFmtId="0" fontId="9" fillId="65" borderId="206" xfId="0" applyFont="1" applyFill="1" applyBorder="1" applyAlignment="1" applyProtection="1">
      <alignment horizontal="center" vertical="top" wrapText="1"/>
    </xf>
    <xf numFmtId="0" fontId="9" fillId="65" borderId="206" xfId="0" applyFont="1" applyFill="1" applyBorder="1" applyAlignment="1" applyProtection="1">
      <alignment vertical="top"/>
    </xf>
    <xf numFmtId="0" fontId="8" fillId="65" borderId="204" xfId="970" applyFont="1" applyFill="1" applyBorder="1" applyAlignment="1" applyProtection="1">
      <alignment horizontal="right" vertical="top"/>
    </xf>
    <xf numFmtId="0" fontId="9" fillId="65" borderId="204" xfId="0" applyFont="1" applyFill="1" applyBorder="1" applyAlignment="1" applyProtection="1">
      <alignment horizontal="center" vertical="top"/>
    </xf>
    <xf numFmtId="4" fontId="8" fillId="65" borderId="204" xfId="970" applyNumberFormat="1" applyFont="1" applyFill="1" applyBorder="1" applyAlignment="1" applyProtection="1">
      <alignment vertical="top"/>
    </xf>
    <xf numFmtId="0" fontId="8" fillId="65" borderId="204" xfId="970" applyFont="1" applyFill="1" applyBorder="1" applyAlignment="1" applyProtection="1">
      <alignment horizontal="center" vertical="top"/>
    </xf>
    <xf numFmtId="185" fontId="8" fillId="65" borderId="204" xfId="0" applyNumberFormat="1" applyFont="1" applyFill="1" applyBorder="1" applyAlignment="1" applyProtection="1">
      <alignment vertical="top" wrapText="1"/>
    </xf>
    <xf numFmtId="39" fontId="9" fillId="65" borderId="204" xfId="1298" applyFont="1" applyFill="1" applyBorder="1" applyAlignment="1" applyProtection="1">
      <alignment horizontal="center" vertical="top"/>
    </xf>
    <xf numFmtId="4" fontId="13" fillId="65" borderId="204" xfId="0" applyNumberFormat="1" applyFont="1" applyFill="1" applyBorder="1" applyAlignment="1" applyProtection="1">
      <alignment vertical="top" wrapText="1"/>
    </xf>
    <xf numFmtId="4" fontId="13" fillId="65" borderId="204" xfId="0" applyNumberFormat="1" applyFont="1" applyFill="1" applyBorder="1" applyAlignment="1" applyProtection="1">
      <alignment horizontal="center" vertical="top"/>
    </xf>
    <xf numFmtId="0" fontId="8" fillId="0" borderId="0" xfId="970" applyFont="1" applyFill="1" applyAlignment="1">
      <alignment vertical="top"/>
    </xf>
    <xf numFmtId="0" fontId="136" fillId="0" borderId="0" xfId="970" applyFont="1" applyFill="1" applyAlignment="1">
      <alignment vertical="top"/>
    </xf>
    <xf numFmtId="169" fontId="8" fillId="0" borderId="0" xfId="699" applyFont="1" applyFill="1" applyBorder="1" applyAlignment="1">
      <alignment vertical="top"/>
    </xf>
    <xf numFmtId="0" fontId="186" fillId="0" borderId="0" xfId="0" applyFont="1" applyFill="1" applyAlignment="1">
      <alignment vertical="top"/>
    </xf>
    <xf numFmtId="169" fontId="8" fillId="0" borderId="0" xfId="699" applyFont="1" applyFill="1" applyAlignment="1">
      <alignment vertical="top"/>
    </xf>
    <xf numFmtId="0" fontId="140" fillId="0" borderId="0" xfId="0" applyFont="1" applyFill="1" applyAlignment="1">
      <alignment vertical="top"/>
    </xf>
    <xf numFmtId="0" fontId="8" fillId="0" borderId="0" xfId="0" applyFont="1" applyBorder="1" applyAlignment="1" applyProtection="1">
      <alignment vertical="top"/>
    </xf>
    <xf numFmtId="0" fontId="8" fillId="0" borderId="0" xfId="0" applyFont="1" applyBorder="1" applyAlignment="1" applyProtection="1">
      <alignment horizontal="right" vertical="top" wrapText="1"/>
    </xf>
    <xf numFmtId="2" fontId="8" fillId="0" borderId="0" xfId="0" applyNumberFormat="1" applyFont="1" applyAlignment="1" applyProtection="1">
      <alignment horizontal="left" vertical="top"/>
    </xf>
    <xf numFmtId="0" fontId="9" fillId="0" borderId="0" xfId="0" applyFont="1" applyAlignment="1" applyProtection="1">
      <alignment horizontal="left" vertical="top" wrapText="1"/>
    </xf>
    <xf numFmtId="2" fontId="8" fillId="0" borderId="0" xfId="0" applyNumberFormat="1" applyFont="1" applyAlignment="1" applyProtection="1">
      <alignment vertical="top"/>
    </xf>
    <xf numFmtId="0" fontId="71" fillId="0" borderId="0" xfId="1040" applyFont="1" applyFill="1" applyBorder="1" applyAlignment="1" applyProtection="1">
      <alignment horizontal="left" vertical="top"/>
    </xf>
    <xf numFmtId="0" fontId="140" fillId="0" borderId="0" xfId="0" applyFont="1" applyAlignment="1" applyProtection="1">
      <alignment vertical="top"/>
    </xf>
    <xf numFmtId="4" fontId="146" fillId="0" borderId="0" xfId="0" applyNumberFormat="1" applyFont="1" applyAlignment="1" applyProtection="1">
      <alignment vertical="top"/>
    </xf>
    <xf numFmtId="4" fontId="140" fillId="0" borderId="0" xfId="0" applyNumberFormat="1" applyFont="1" applyAlignment="1" applyProtection="1">
      <alignment vertical="top"/>
    </xf>
    <xf numFmtId="40" fontId="140" fillId="70" borderId="204" xfId="705" applyFont="1" applyFill="1" applyBorder="1" applyAlignment="1" applyProtection="1">
      <alignment vertical="top"/>
      <protection locked="0"/>
    </xf>
    <xf numFmtId="40" fontId="146" fillId="70" borderId="204" xfId="759" applyNumberFormat="1" applyFont="1" applyFill="1" applyBorder="1" applyAlignment="1" applyProtection="1">
      <alignment horizontal="right" vertical="top" wrapText="1"/>
      <protection locked="0"/>
    </xf>
    <xf numFmtId="39" fontId="140" fillId="70" borderId="204" xfId="0" applyNumberFormat="1" applyFont="1" applyFill="1" applyBorder="1" applyAlignment="1" applyProtection="1">
      <alignment vertical="top"/>
      <protection locked="0"/>
    </xf>
    <xf numFmtId="4" fontId="140" fillId="70" borderId="204" xfId="728" applyNumberFormat="1" applyFont="1" applyFill="1" applyBorder="1" applyAlignment="1" applyProtection="1">
      <alignment vertical="top"/>
      <protection locked="0"/>
    </xf>
    <xf numFmtId="4" fontId="140" fillId="70" borderId="204" xfId="728" applyNumberFormat="1" applyFont="1" applyFill="1" applyBorder="1" applyAlignment="1" applyProtection="1">
      <alignment horizontal="right" vertical="top"/>
      <protection locked="0"/>
    </xf>
    <xf numFmtId="4" fontId="140" fillId="70" borderId="204" xfId="743" applyNumberFormat="1" applyFont="1" applyFill="1" applyBorder="1" applyAlignment="1" applyProtection="1">
      <alignment vertical="top"/>
      <protection locked="0"/>
    </xf>
    <xf numFmtId="4" fontId="140" fillId="65" borderId="204" xfId="728" applyNumberFormat="1" applyFont="1" applyFill="1" applyBorder="1" applyAlignment="1" applyProtection="1">
      <alignment vertical="top"/>
      <protection locked="0"/>
    </xf>
    <xf numFmtId="4" fontId="140" fillId="70" borderId="204" xfId="712" applyNumberFormat="1" applyFont="1" applyFill="1" applyBorder="1" applyAlignment="1" applyProtection="1">
      <alignment horizontal="right" vertical="top" wrapText="1"/>
      <protection locked="0"/>
    </xf>
    <xf numFmtId="4" fontId="140" fillId="70" borderId="204" xfId="840" applyNumberFormat="1" applyFont="1" applyFill="1" applyBorder="1" applyAlignment="1" applyProtection="1">
      <alignment horizontal="right" vertical="top" wrapText="1"/>
      <protection locked="0"/>
    </xf>
    <xf numFmtId="4" fontId="140" fillId="70" borderId="204" xfId="2028" applyNumberFormat="1" applyFont="1" applyFill="1" applyBorder="1" applyAlignment="1" applyProtection="1">
      <alignment vertical="top" wrapText="1"/>
      <protection locked="0"/>
    </xf>
    <xf numFmtId="4" fontId="140" fillId="70" borderId="204" xfId="0" applyNumberFormat="1" applyFont="1" applyFill="1" applyBorder="1" applyAlignment="1" applyProtection="1">
      <alignment horizontal="right" vertical="top" wrapText="1"/>
      <protection locked="0"/>
    </xf>
    <xf numFmtId="0" fontId="140" fillId="70" borderId="204" xfId="0" applyFont="1" applyFill="1" applyBorder="1" applyAlignment="1" applyProtection="1">
      <alignment vertical="top"/>
      <protection locked="0"/>
    </xf>
    <xf numFmtId="4" fontId="140" fillId="70" borderId="204" xfId="2028" applyNumberFormat="1" applyFont="1" applyFill="1" applyBorder="1" applyAlignment="1" applyProtection="1">
      <alignment horizontal="right" vertical="top" wrapText="1"/>
      <protection locked="0"/>
    </xf>
    <xf numFmtId="4" fontId="140" fillId="65" borderId="204" xfId="2028" applyNumberFormat="1" applyFont="1" applyFill="1" applyBorder="1" applyAlignment="1" applyProtection="1">
      <alignment vertical="top" wrapText="1"/>
      <protection locked="0"/>
    </xf>
    <xf numFmtId="4" fontId="140" fillId="0" borderId="0" xfId="0" applyNumberFormat="1" applyFont="1" applyBorder="1" applyAlignment="1" applyProtection="1">
      <alignment horizontal="right" vertical="top" wrapText="1"/>
    </xf>
    <xf numFmtId="173" fontId="175" fillId="0" borderId="0" xfId="1498" applyFont="1" applyFill="1" applyBorder="1" applyAlignment="1" applyProtection="1">
      <alignment horizontal="left" vertical="top"/>
    </xf>
    <xf numFmtId="173" fontId="140" fillId="0" borderId="0" xfId="1498" applyFont="1" applyBorder="1" applyAlignment="1" applyProtection="1">
      <alignment horizontal="right" vertical="top" wrapText="1"/>
    </xf>
    <xf numFmtId="0" fontId="175" fillId="0" borderId="0" xfId="1040" applyFont="1" applyFill="1" applyBorder="1" applyAlignment="1" applyProtection="1">
      <alignment horizontal="left" vertical="top"/>
    </xf>
    <xf numFmtId="4" fontId="175" fillId="0" borderId="0" xfId="876" applyNumberFormat="1" applyFont="1" applyFill="1" applyBorder="1" applyAlignment="1" applyProtection="1">
      <alignment horizontal="left" vertical="top"/>
    </xf>
    <xf numFmtId="4" fontId="8" fillId="70" borderId="0" xfId="0" applyNumberFormat="1" applyFont="1" applyFill="1" applyBorder="1" applyAlignment="1" applyProtection="1">
      <alignment vertical="top"/>
      <protection locked="0"/>
    </xf>
    <xf numFmtId="39" fontId="8" fillId="70" borderId="0" xfId="993" applyNumberFormat="1" applyFont="1" applyFill="1" applyBorder="1" applyAlignment="1">
      <alignment vertical="top"/>
    </xf>
    <xf numFmtId="4" fontId="20" fillId="70" borderId="204" xfId="759" applyNumberFormat="1" applyFont="1" applyFill="1" applyBorder="1" applyAlignment="1" applyProtection="1">
      <alignment horizontal="right" vertical="top" wrapText="1"/>
    </xf>
    <xf numFmtId="4" fontId="8" fillId="0" borderId="0" xfId="970" applyNumberFormat="1" applyFont="1" applyFill="1" applyAlignment="1">
      <alignment vertical="top"/>
    </xf>
    <xf numFmtId="1" fontId="9" fillId="70" borderId="204" xfId="0" applyNumberFormat="1" applyFont="1" applyFill="1" applyBorder="1" applyAlignment="1" applyProtection="1">
      <alignment horizontal="right" vertical="top"/>
    </xf>
    <xf numFmtId="0" fontId="8" fillId="70" borderId="204" xfId="0" applyFont="1" applyFill="1" applyBorder="1" applyAlignment="1" applyProtection="1">
      <alignment horizontal="justify" vertical="top" wrapText="1"/>
    </xf>
    <xf numFmtId="0" fontId="8" fillId="70" borderId="204" xfId="0" applyNumberFormat="1" applyFont="1" applyFill="1" applyBorder="1" applyAlignment="1" applyProtection="1">
      <alignment horizontal="justify" vertical="top" wrapText="1"/>
    </xf>
    <xf numFmtId="0" fontId="9" fillId="70" borderId="204" xfId="970" applyFont="1" applyFill="1" applyBorder="1" applyAlignment="1" applyProtection="1">
      <alignment horizontal="right" vertical="top"/>
    </xf>
    <xf numFmtId="0" fontId="9" fillId="70" borderId="204" xfId="0" applyFont="1" applyFill="1" applyBorder="1" applyAlignment="1" applyProtection="1">
      <alignment horizontal="left" vertical="top" wrapText="1"/>
    </xf>
    <xf numFmtId="0" fontId="9" fillId="70" borderId="204" xfId="970" applyFont="1" applyFill="1" applyBorder="1" applyAlignment="1" applyProtection="1">
      <alignment horizontal="right" vertical="top" wrapText="1"/>
    </xf>
    <xf numFmtId="193" fontId="8" fillId="70" borderId="204" xfId="970" applyNumberFormat="1" applyFont="1" applyFill="1" applyBorder="1" applyAlignment="1" applyProtection="1">
      <alignment horizontal="right" vertical="top"/>
    </xf>
    <xf numFmtId="0" fontId="8" fillId="70" borderId="204" xfId="0" applyFont="1" applyFill="1" applyBorder="1" applyAlignment="1" applyProtection="1">
      <alignment vertical="top"/>
    </xf>
    <xf numFmtId="0" fontId="138" fillId="0" borderId="0" xfId="970" applyFont="1" applyFill="1" applyAlignment="1">
      <alignment vertical="center"/>
    </xf>
    <xf numFmtId="4" fontId="8" fillId="0" borderId="0" xfId="0" applyNumberFormat="1" applyFont="1" applyFill="1" applyBorder="1" applyAlignment="1" applyProtection="1">
      <alignment vertical="top"/>
      <protection locked="0"/>
    </xf>
    <xf numFmtId="0" fontId="9" fillId="70" borderId="213" xfId="0" applyFont="1" applyFill="1" applyBorder="1" applyAlignment="1" applyProtection="1">
      <alignment horizontal="right" vertical="top"/>
    </xf>
    <xf numFmtId="0" fontId="9" fillId="70" borderId="213" xfId="993" applyNumberFormat="1" applyFont="1" applyFill="1" applyBorder="1" applyAlignment="1" applyProtection="1">
      <alignment horizontal="left" vertical="top" wrapText="1"/>
    </xf>
    <xf numFmtId="4" fontId="8" fillId="70" borderId="213" xfId="0" applyNumberFormat="1" applyFont="1" applyFill="1" applyBorder="1" applyAlignment="1" applyProtection="1">
      <alignment vertical="top"/>
    </xf>
    <xf numFmtId="0" fontId="8" fillId="70" borderId="213" xfId="0" applyFont="1" applyFill="1" applyBorder="1" applyAlignment="1" applyProtection="1">
      <alignment horizontal="center" vertical="top"/>
    </xf>
    <xf numFmtId="0" fontId="8" fillId="70" borderId="213" xfId="0" applyFont="1" applyFill="1" applyBorder="1" applyAlignment="1" applyProtection="1">
      <alignment horizontal="left" vertical="top" wrapText="1"/>
    </xf>
    <xf numFmtId="0" fontId="146" fillId="65" borderId="209" xfId="0" applyFont="1" applyFill="1" applyBorder="1" applyAlignment="1" applyProtection="1">
      <alignment horizontal="center" vertical="top"/>
      <protection locked="0"/>
    </xf>
    <xf numFmtId="4" fontId="146" fillId="65" borderId="210" xfId="0" applyNumberFormat="1" applyFont="1" applyFill="1" applyBorder="1" applyAlignment="1" applyProtection="1">
      <alignment horizontal="center" vertical="top"/>
      <protection locked="0"/>
    </xf>
    <xf numFmtId="40" fontId="8" fillId="70" borderId="213" xfId="705" applyFont="1" applyFill="1" applyBorder="1" applyAlignment="1" applyProtection="1">
      <alignment vertical="top"/>
      <protection locked="0"/>
    </xf>
    <xf numFmtId="4" fontId="140" fillId="65" borderId="206" xfId="868" applyNumberFormat="1" applyFont="1" applyFill="1" applyBorder="1" applyAlignment="1" applyProtection="1">
      <alignment vertical="top" wrapText="1"/>
      <protection locked="0"/>
    </xf>
    <xf numFmtId="4" fontId="140" fillId="0" borderId="206" xfId="868" applyNumberFormat="1" applyFont="1" applyFill="1" applyBorder="1" applyAlignment="1" applyProtection="1">
      <alignment vertical="top" wrapText="1"/>
      <protection locked="0"/>
    </xf>
    <xf numFmtId="0" fontId="146" fillId="65" borderId="206" xfId="0" applyFont="1" applyFill="1" applyBorder="1" applyAlignment="1" applyProtection="1">
      <alignment vertical="top"/>
      <protection locked="0"/>
    </xf>
    <xf numFmtId="4" fontId="140" fillId="0" borderId="204" xfId="868" applyNumberFormat="1" applyFont="1" applyFill="1" applyBorder="1" applyAlignment="1" applyProtection="1">
      <alignment vertical="top" wrapText="1"/>
      <protection locked="0"/>
    </xf>
    <xf numFmtId="4" fontId="146" fillId="0" borderId="204" xfId="0" applyNumberFormat="1" applyFont="1" applyFill="1" applyBorder="1" applyAlignment="1" applyProtection="1">
      <alignment vertical="top"/>
      <protection locked="0"/>
    </xf>
    <xf numFmtId="174" fontId="140" fillId="70" borderId="204" xfId="0" applyNumberFormat="1" applyFont="1" applyFill="1" applyBorder="1" applyAlignment="1" applyProtection="1">
      <alignment horizontal="right" vertical="top" wrapText="1"/>
      <protection locked="0"/>
    </xf>
    <xf numFmtId="4" fontId="140" fillId="70" borderId="204" xfId="759" applyNumberFormat="1" applyFont="1" applyFill="1" applyBorder="1" applyAlignment="1" applyProtection="1">
      <alignment horizontal="right" vertical="top"/>
      <protection locked="0"/>
    </xf>
    <xf numFmtId="0" fontId="140" fillId="82" borderId="204" xfId="0" applyFont="1" applyFill="1" applyBorder="1" applyAlignment="1" applyProtection="1">
      <alignment vertical="top"/>
      <protection locked="0"/>
    </xf>
    <xf numFmtId="0" fontId="140" fillId="0" borderId="204" xfId="0" applyFont="1" applyFill="1" applyBorder="1" applyAlignment="1" applyProtection="1">
      <alignment vertical="top"/>
      <protection locked="0"/>
    </xf>
    <xf numFmtId="0" fontId="140" fillId="69" borderId="206" xfId="0" applyFont="1" applyFill="1" applyBorder="1" applyAlignment="1" applyProtection="1">
      <alignment vertical="top"/>
      <protection locked="0"/>
    </xf>
    <xf numFmtId="4" fontId="8" fillId="70" borderId="0" xfId="970" applyNumberFormat="1" applyFont="1" applyFill="1" applyAlignment="1">
      <alignment vertical="top"/>
    </xf>
    <xf numFmtId="0" fontId="178" fillId="70" borderId="204" xfId="0" applyFont="1" applyFill="1" applyBorder="1" applyAlignment="1" applyProtection="1">
      <alignment vertical="top" wrapText="1"/>
    </xf>
    <xf numFmtId="4" fontId="8" fillId="70" borderId="0" xfId="0" applyNumberFormat="1" applyFont="1" applyFill="1" applyAlignment="1">
      <alignment vertical="top"/>
    </xf>
    <xf numFmtId="37" fontId="9" fillId="70" borderId="204" xfId="0" applyNumberFormat="1" applyFont="1" applyFill="1" applyBorder="1" applyAlignment="1" applyProtection="1">
      <alignment vertical="top" wrapText="1"/>
    </xf>
    <xf numFmtId="0" fontId="14" fillId="70" borderId="204" xfId="0" applyFont="1" applyFill="1" applyBorder="1" applyAlignment="1" applyProtection="1">
      <alignment vertical="top" wrapText="1"/>
    </xf>
    <xf numFmtId="0" fontId="0" fillId="0" borderId="0" xfId="0"/>
    <xf numFmtId="0" fontId="0" fillId="0" borderId="0" xfId="0" applyAlignment="1">
      <alignment horizontal="center"/>
    </xf>
    <xf numFmtId="0" fontId="8" fillId="48" borderId="0" xfId="1763" applyFill="1" applyAlignment="1" applyProtection="1">
      <alignment horizontal="left" vertical="top"/>
    </xf>
    <xf numFmtId="0" fontId="8" fillId="48" borderId="0" xfId="1763" quotePrefix="1" applyFill="1" applyAlignment="1" applyProtection="1">
      <alignment horizontal="left" vertical="top"/>
    </xf>
    <xf numFmtId="0" fontId="9" fillId="48" borderId="0" xfId="1763" applyFont="1" applyFill="1" applyAlignment="1" applyProtection="1">
      <alignment horizontal="center" vertical="top" wrapText="1"/>
    </xf>
    <xf numFmtId="0" fontId="8" fillId="48" borderId="0" xfId="1763" applyFill="1" applyAlignment="1" applyProtection="1">
      <alignment horizontal="left" vertical="top" wrapText="1"/>
    </xf>
    <xf numFmtId="0" fontId="9" fillId="66" borderId="0" xfId="1110" applyFont="1" applyFill="1" applyAlignment="1">
      <alignment horizontal="center"/>
    </xf>
    <xf numFmtId="0" fontId="61" fillId="48" borderId="0" xfId="1110" applyFont="1" applyFill="1" applyAlignment="1">
      <alignment horizontal="center"/>
    </xf>
    <xf numFmtId="0" fontId="165" fillId="48" borderId="0" xfId="1110" applyFont="1" applyFill="1" applyAlignment="1">
      <alignment horizontal="center"/>
    </xf>
    <xf numFmtId="3" fontId="165" fillId="48" borderId="36" xfId="1110" applyNumberFormat="1" applyFont="1" applyFill="1" applyBorder="1" applyAlignment="1">
      <alignment horizontal="center"/>
    </xf>
    <xf numFmtId="4" fontId="170" fillId="70" borderId="0" xfId="1110" applyNumberFormat="1" applyFont="1" applyFill="1" applyAlignment="1">
      <alignment horizontal="left" vertical="top" wrapText="1"/>
    </xf>
    <xf numFmtId="0" fontId="158" fillId="0" borderId="106" xfId="1497" applyFont="1" applyBorder="1" applyAlignment="1">
      <alignment horizontal="center" vertical="center"/>
    </xf>
    <xf numFmtId="0" fontId="158" fillId="0" borderId="25" xfId="1497" applyFont="1" applyBorder="1" applyAlignment="1">
      <alignment horizontal="center" vertical="center"/>
    </xf>
    <xf numFmtId="0" fontId="158" fillId="66" borderId="107" xfId="1497" applyFont="1" applyFill="1" applyBorder="1" applyAlignment="1">
      <alignment horizontal="center" vertical="center"/>
    </xf>
    <xf numFmtId="0" fontId="158" fillId="66" borderId="95" xfId="1497" applyFont="1" applyFill="1" applyBorder="1" applyAlignment="1">
      <alignment horizontal="center" vertical="center"/>
    </xf>
    <xf numFmtId="0" fontId="4" fillId="0" borderId="32" xfId="1497" applyBorder="1" applyAlignment="1">
      <alignment horizontal="center"/>
    </xf>
    <xf numFmtId="0" fontId="158" fillId="0" borderId="19" xfId="1497" applyFont="1" applyBorder="1" applyAlignment="1">
      <alignment horizontal="center" vertical="center"/>
    </xf>
    <xf numFmtId="0" fontId="158" fillId="0" borderId="102" xfId="1497" applyFont="1" applyBorder="1" applyAlignment="1">
      <alignment horizontal="center" vertical="center"/>
    </xf>
    <xf numFmtId="0" fontId="158" fillId="66" borderId="101" xfId="1497" applyFont="1" applyFill="1" applyBorder="1" applyAlignment="1">
      <alignment horizontal="center" vertical="center"/>
    </xf>
    <xf numFmtId="0" fontId="158" fillId="66" borderId="104" xfId="1497" applyFont="1" applyFill="1" applyBorder="1" applyAlignment="1">
      <alignment horizontal="center" vertical="center"/>
    </xf>
    <xf numFmtId="4" fontId="4" fillId="0" borderId="32" xfId="1497" applyNumberFormat="1" applyBorder="1" applyAlignment="1">
      <alignment horizontal="center"/>
    </xf>
    <xf numFmtId="0" fontId="158" fillId="0" borderId="105" xfId="1497" applyFont="1" applyFill="1" applyBorder="1" applyAlignment="1">
      <alignment horizontal="center" vertical="center"/>
    </xf>
    <xf numFmtId="0" fontId="158" fillId="0" borderId="100" xfId="1497" applyFont="1" applyFill="1" applyBorder="1" applyAlignment="1">
      <alignment horizontal="center" vertical="center"/>
    </xf>
    <xf numFmtId="2" fontId="158" fillId="0" borderId="106" xfId="1497" applyNumberFormat="1" applyFont="1" applyFill="1" applyBorder="1" applyAlignment="1">
      <alignment horizontal="center" vertical="center"/>
    </xf>
    <xf numFmtId="2" fontId="158" fillId="0" borderId="19" xfId="1497" applyNumberFormat="1" applyFont="1" applyFill="1" applyBorder="1" applyAlignment="1">
      <alignment horizontal="center" vertical="center"/>
    </xf>
    <xf numFmtId="0" fontId="158" fillId="0" borderId="107" xfId="1497" applyFont="1" applyFill="1" applyBorder="1" applyAlignment="1">
      <alignment horizontal="center" vertical="center"/>
    </xf>
    <xf numFmtId="0" fontId="158" fillId="0" borderId="101" xfId="1497" applyFont="1" applyFill="1" applyBorder="1" applyAlignment="1">
      <alignment horizontal="center" vertical="center"/>
    </xf>
    <xf numFmtId="0" fontId="158" fillId="0" borderId="103" xfId="1497" applyFont="1" applyFill="1" applyBorder="1" applyAlignment="1">
      <alignment horizontal="center" vertical="center"/>
    </xf>
    <xf numFmtId="0" fontId="158" fillId="0" borderId="106" xfId="1497" applyFont="1" applyFill="1" applyBorder="1" applyAlignment="1">
      <alignment horizontal="center" vertical="center"/>
    </xf>
    <xf numFmtId="0" fontId="158" fillId="0" borderId="19" xfId="1497" applyFont="1" applyFill="1" applyBorder="1" applyAlignment="1">
      <alignment horizontal="center" vertical="center"/>
    </xf>
    <xf numFmtId="0" fontId="158" fillId="0" borderId="102" xfId="1497" applyFont="1" applyFill="1" applyBorder="1" applyAlignment="1">
      <alignment horizontal="center" vertical="center"/>
    </xf>
    <xf numFmtId="0" fontId="156" fillId="0" borderId="0" xfId="1497" applyFont="1" applyBorder="1" applyAlignment="1">
      <alignment horizontal="center"/>
    </xf>
    <xf numFmtId="0" fontId="156" fillId="0" borderId="0" xfId="1497" applyFont="1" applyAlignment="1">
      <alignment horizontal="center"/>
    </xf>
    <xf numFmtId="0" fontId="157" fillId="62" borderId="105" xfId="1497" applyFont="1" applyFill="1" applyBorder="1" applyAlignment="1">
      <alignment horizontal="center" vertical="center" wrapText="1"/>
    </xf>
    <xf numFmtId="0" fontId="157" fillId="62" borderId="100" xfId="1497" applyFont="1" applyFill="1" applyBorder="1" applyAlignment="1">
      <alignment horizontal="center" vertical="center" wrapText="1"/>
    </xf>
    <xf numFmtId="0" fontId="157" fillId="62" borderId="87" xfId="1497" applyFont="1" applyFill="1" applyBorder="1" applyAlignment="1">
      <alignment horizontal="center" vertical="center" wrapText="1"/>
    </xf>
    <xf numFmtId="0" fontId="157" fillId="62" borderId="150" xfId="1497" applyFont="1" applyFill="1" applyBorder="1" applyAlignment="1">
      <alignment horizontal="center" vertical="center" wrapText="1"/>
    </xf>
    <xf numFmtId="0" fontId="157" fillId="62" borderId="163" xfId="1497" applyFont="1" applyFill="1" applyBorder="1" applyAlignment="1">
      <alignment horizontal="center" vertical="center" wrapText="1"/>
    </xf>
    <xf numFmtId="0" fontId="157" fillId="62" borderId="145" xfId="1497" applyFont="1" applyFill="1" applyBorder="1" applyAlignment="1">
      <alignment horizontal="center" vertical="center" wrapText="1"/>
    </xf>
    <xf numFmtId="0" fontId="157" fillId="62" borderId="106" xfId="1497" applyFont="1" applyFill="1" applyBorder="1" applyAlignment="1">
      <alignment horizontal="center" vertical="center" wrapText="1"/>
    </xf>
    <xf numFmtId="0" fontId="157" fillId="62" borderId="19" xfId="1497" applyFont="1" applyFill="1" applyBorder="1" applyAlignment="1">
      <alignment horizontal="center" vertical="center" wrapText="1"/>
    </xf>
    <xf numFmtId="0" fontId="157" fillId="62" borderId="167" xfId="1497" applyFont="1" applyFill="1" applyBorder="1" applyAlignment="1">
      <alignment horizontal="center" vertical="center" wrapText="1"/>
    </xf>
    <xf numFmtId="0" fontId="158" fillId="0" borderId="150" xfId="1497" applyFont="1" applyFill="1" applyBorder="1" applyAlignment="1">
      <alignment horizontal="center" vertical="center"/>
    </xf>
    <xf numFmtId="0" fontId="158" fillId="0" borderId="173" xfId="1497" applyFont="1" applyFill="1" applyBorder="1" applyAlignment="1">
      <alignment horizontal="center" vertical="center"/>
    </xf>
    <xf numFmtId="0" fontId="158" fillId="0" borderId="104" xfId="1497" applyFont="1" applyFill="1" applyBorder="1" applyAlignment="1">
      <alignment horizontal="center" vertical="center"/>
    </xf>
    <xf numFmtId="0" fontId="158" fillId="0" borderId="29" xfId="1497" applyFont="1" applyFill="1" applyBorder="1" applyAlignment="1">
      <alignment horizontal="center" vertical="center"/>
    </xf>
    <xf numFmtId="0" fontId="158" fillId="0" borderId="32" xfId="1497" applyFont="1" applyFill="1" applyBorder="1" applyAlignment="1">
      <alignment horizontal="center" vertical="center"/>
    </xf>
    <xf numFmtId="0" fontId="158" fillId="0" borderId="22" xfId="1497" applyFont="1" applyFill="1" applyBorder="1" applyAlignment="1">
      <alignment horizontal="center" vertical="center"/>
    </xf>
    <xf numFmtId="0" fontId="158" fillId="0" borderId="177" xfId="1497" applyFont="1" applyFill="1" applyBorder="1" applyAlignment="1">
      <alignment horizontal="center" vertical="center"/>
    </xf>
    <xf numFmtId="0" fontId="158" fillId="0" borderId="160" xfId="1497" applyFont="1" applyFill="1" applyBorder="1" applyAlignment="1">
      <alignment horizontal="center" vertical="center"/>
    </xf>
    <xf numFmtId="0" fontId="158" fillId="0" borderId="180" xfId="1497" applyFont="1" applyFill="1" applyBorder="1" applyAlignment="1">
      <alignment horizontal="center" vertical="center"/>
    </xf>
    <xf numFmtId="4" fontId="158" fillId="0" borderId="106" xfId="1497" applyNumberFormat="1" applyFont="1" applyFill="1" applyBorder="1" applyAlignment="1">
      <alignment horizontal="center" vertical="center"/>
    </xf>
    <xf numFmtId="4" fontId="158" fillId="0" borderId="19" xfId="1497" applyNumberFormat="1" applyFont="1" applyFill="1" applyBorder="1" applyAlignment="1">
      <alignment horizontal="center" vertical="center"/>
    </xf>
    <xf numFmtId="4" fontId="158" fillId="0" borderId="102" xfId="1497" applyNumberFormat="1" applyFont="1" applyFill="1" applyBorder="1" applyAlignment="1">
      <alignment horizontal="center" vertical="center"/>
    </xf>
    <xf numFmtId="0" fontId="158" fillId="0" borderId="178" xfId="1497" applyFont="1" applyFill="1" applyBorder="1" applyAlignment="1">
      <alignment horizontal="center" vertical="center"/>
    </xf>
    <xf numFmtId="0" fontId="158" fillId="0" borderId="179" xfId="1497" applyFont="1" applyFill="1" applyBorder="1" applyAlignment="1">
      <alignment horizontal="center" vertical="center"/>
    </xf>
    <xf numFmtId="0" fontId="158" fillId="0" borderId="181" xfId="1497" applyFont="1" applyFill="1" applyBorder="1" applyAlignment="1">
      <alignment horizontal="center" vertical="center"/>
    </xf>
    <xf numFmtId="0" fontId="158" fillId="0" borderId="25" xfId="1497" applyFont="1" applyFill="1" applyBorder="1" applyAlignment="1">
      <alignment horizontal="center" vertical="center"/>
    </xf>
    <xf numFmtId="0" fontId="158" fillId="0" borderId="95" xfId="1497" applyFont="1" applyFill="1" applyBorder="1" applyAlignment="1">
      <alignment horizontal="center" vertical="center"/>
    </xf>
    <xf numFmtId="0" fontId="157" fillId="62" borderId="103" xfId="1497" applyFont="1" applyFill="1" applyBorder="1" applyAlignment="1">
      <alignment horizontal="center" vertical="center" wrapText="1"/>
    </xf>
    <xf numFmtId="0" fontId="157" fillId="62" borderId="166" xfId="1497" applyFont="1" applyFill="1" applyBorder="1" applyAlignment="1">
      <alignment horizontal="center" vertical="center" wrapText="1"/>
    </xf>
    <xf numFmtId="0" fontId="157" fillId="62" borderId="164" xfId="1497" applyFont="1" applyFill="1" applyBorder="1" applyAlignment="1">
      <alignment horizontal="center" vertical="center" wrapText="1"/>
    </xf>
    <xf numFmtId="0" fontId="157" fillId="62" borderId="168" xfId="1497" applyFont="1" applyFill="1" applyBorder="1" applyAlignment="1">
      <alignment horizontal="center" vertical="center" wrapText="1"/>
    </xf>
    <xf numFmtId="0" fontId="157" fillId="62" borderId="165" xfId="1497" applyFont="1" applyFill="1" applyBorder="1" applyAlignment="1">
      <alignment horizontal="center" vertical="center" wrapText="1"/>
    </xf>
    <xf numFmtId="0" fontId="157" fillId="62" borderId="169" xfId="1497" applyFont="1" applyFill="1" applyBorder="1" applyAlignment="1">
      <alignment horizontal="center" vertical="center" wrapText="1"/>
    </xf>
    <xf numFmtId="0" fontId="158" fillId="0" borderId="163" xfId="1497" applyFont="1" applyFill="1" applyBorder="1" applyAlignment="1">
      <alignment horizontal="center" vertical="center"/>
    </xf>
    <xf numFmtId="0" fontId="158" fillId="0" borderId="176" xfId="1497" applyFont="1" applyFill="1" applyBorder="1" applyAlignment="1">
      <alignment horizontal="center" vertical="center"/>
    </xf>
    <xf numFmtId="0" fontId="158" fillId="0" borderId="145" xfId="1497" applyFont="1" applyFill="1" applyBorder="1" applyAlignment="1">
      <alignment horizontal="center" vertical="center"/>
    </xf>
    <xf numFmtId="0" fontId="158" fillId="66" borderId="106" xfId="1497" applyFont="1" applyFill="1" applyBorder="1" applyAlignment="1">
      <alignment horizontal="center" vertical="center"/>
    </xf>
    <xf numFmtId="0" fontId="158" fillId="66" borderId="25" xfId="1497" applyFont="1" applyFill="1" applyBorder="1" applyAlignment="1">
      <alignment horizontal="center" vertical="center"/>
    </xf>
    <xf numFmtId="0" fontId="158" fillId="0" borderId="106" xfId="1497" applyFont="1" applyFill="1" applyBorder="1" applyAlignment="1">
      <alignment horizontal="left" vertical="center" wrapText="1"/>
    </xf>
    <xf numFmtId="0" fontId="158" fillId="0" borderId="25" xfId="1497" applyFont="1" applyFill="1" applyBorder="1" applyAlignment="1">
      <alignment horizontal="left" vertical="center" wrapText="1"/>
    </xf>
    <xf numFmtId="0" fontId="162" fillId="0" borderId="106" xfId="1497" applyFont="1" applyFill="1" applyBorder="1" applyAlignment="1">
      <alignment horizontal="center" vertical="center"/>
    </xf>
    <xf numFmtId="0" fontId="162" fillId="0" borderId="25" xfId="1497" applyFont="1" applyFill="1" applyBorder="1" applyAlignment="1">
      <alignment horizontal="center" vertical="center"/>
    </xf>
    <xf numFmtId="0" fontId="158" fillId="0" borderId="31" xfId="1497" applyFont="1" applyFill="1" applyBorder="1" applyAlignment="1">
      <alignment horizontal="center" vertical="center"/>
    </xf>
    <xf numFmtId="0" fontId="158" fillId="0" borderId="33" xfId="1497" applyFont="1" applyFill="1" applyBorder="1" applyAlignment="1">
      <alignment horizontal="center" vertical="center"/>
    </xf>
    <xf numFmtId="0" fontId="158" fillId="0" borderId="37" xfId="1497" applyFont="1" applyFill="1" applyBorder="1" applyAlignment="1">
      <alignment horizontal="center" vertical="center"/>
    </xf>
    <xf numFmtId="0" fontId="162" fillId="0" borderId="150" xfId="1497" applyFont="1" applyFill="1" applyBorder="1" applyAlignment="1">
      <alignment horizontal="center" vertical="center"/>
    </xf>
    <xf numFmtId="0" fontId="162" fillId="0" borderId="19" xfId="1497" applyFont="1" applyFill="1" applyBorder="1" applyAlignment="1">
      <alignment horizontal="center" vertical="center"/>
    </xf>
    <xf numFmtId="0" fontId="162" fillId="0" borderId="102" xfId="1497" applyFont="1" applyFill="1" applyBorder="1" applyAlignment="1">
      <alignment horizontal="center" vertical="center"/>
    </xf>
    <xf numFmtId="0" fontId="158" fillId="0" borderId="175" xfId="1497" applyFont="1" applyFill="1" applyBorder="1" applyAlignment="1">
      <alignment horizontal="center" vertical="center"/>
    </xf>
    <xf numFmtId="0" fontId="158" fillId="0" borderId="141" xfId="1497" applyFont="1" applyFill="1" applyBorder="1" applyAlignment="1">
      <alignment horizontal="center" vertical="center"/>
    </xf>
    <xf numFmtId="0" fontId="158" fillId="0" borderId="174" xfId="1497" applyFont="1" applyFill="1" applyBorder="1" applyAlignment="1">
      <alignment horizontal="center" vertical="center"/>
    </xf>
    <xf numFmtId="0" fontId="158" fillId="0" borderId="150" xfId="1497" applyFont="1" applyBorder="1" applyAlignment="1">
      <alignment horizontal="center" vertical="center"/>
    </xf>
    <xf numFmtId="0" fontId="158" fillId="0" borderId="141" xfId="1497" applyFont="1" applyFill="1" applyBorder="1" applyAlignment="1">
      <alignment horizontal="center" vertical="center" wrapText="1"/>
    </xf>
    <xf numFmtId="0" fontId="158" fillId="0" borderId="144" xfId="1497" applyFont="1" applyFill="1" applyBorder="1" applyAlignment="1">
      <alignment horizontal="center" vertical="center" wrapText="1"/>
    </xf>
    <xf numFmtId="0" fontId="158" fillId="0" borderId="144" xfId="1497" applyFont="1" applyFill="1" applyBorder="1" applyAlignment="1">
      <alignment horizontal="center" vertical="center"/>
    </xf>
    <xf numFmtId="0" fontId="158" fillId="81" borderId="100" xfId="1497" applyFont="1" applyFill="1" applyBorder="1" applyAlignment="1">
      <alignment horizontal="center" vertical="center"/>
    </xf>
    <xf numFmtId="0" fontId="158" fillId="81" borderId="103" xfId="1497" applyFont="1" applyFill="1" applyBorder="1" applyAlignment="1">
      <alignment horizontal="center" vertical="center"/>
    </xf>
    <xf numFmtId="0" fontId="158" fillId="81" borderId="19" xfId="1497" applyFont="1" applyFill="1" applyBorder="1" applyAlignment="1">
      <alignment horizontal="center" vertical="center"/>
    </xf>
    <xf numFmtId="0" fontId="158" fillId="81" borderId="101" xfId="1497" applyFont="1" applyFill="1" applyBorder="1" applyAlignment="1">
      <alignment horizontal="center" vertical="center"/>
    </xf>
    <xf numFmtId="0" fontId="158" fillId="81" borderId="150" xfId="1497" applyFont="1" applyFill="1" applyBorder="1" applyAlignment="1">
      <alignment horizontal="center"/>
    </xf>
    <xf numFmtId="0" fontId="158" fillId="81" borderId="102" xfId="1497" applyFont="1" applyFill="1" applyBorder="1" applyAlignment="1">
      <alignment horizontal="center"/>
    </xf>
    <xf numFmtId="0" fontId="158" fillId="81" borderId="173" xfId="1497" applyFont="1" applyFill="1" applyBorder="1" applyAlignment="1">
      <alignment horizontal="center" vertical="center"/>
    </xf>
    <xf numFmtId="0" fontId="158" fillId="81" borderId="104" xfId="1497" applyFont="1" applyFill="1" applyBorder="1" applyAlignment="1">
      <alignment horizontal="center" vertical="center"/>
    </xf>
    <xf numFmtId="0" fontId="158" fillId="0" borderId="143" xfId="1497" applyFont="1" applyFill="1" applyBorder="1" applyAlignment="1">
      <alignment horizontal="center" vertical="center"/>
    </xf>
    <xf numFmtId="2" fontId="158" fillId="0" borderId="106" xfId="1497" applyNumberFormat="1" applyFont="1" applyBorder="1" applyAlignment="1">
      <alignment horizontal="center" vertical="center"/>
    </xf>
    <xf numFmtId="0" fontId="158" fillId="0" borderId="88" xfId="1497" applyFont="1" applyBorder="1" applyAlignment="1">
      <alignment horizontal="center" vertical="center"/>
    </xf>
    <xf numFmtId="0" fontId="158" fillId="0" borderId="172" xfId="1497" applyFont="1" applyBorder="1" applyAlignment="1">
      <alignment horizontal="center" vertical="center"/>
    </xf>
    <xf numFmtId="0" fontId="158" fillId="0" borderId="173" xfId="1497" applyFont="1" applyBorder="1" applyAlignment="1">
      <alignment horizontal="center" vertical="center"/>
    </xf>
    <xf numFmtId="0" fontId="158" fillId="66" borderId="19" xfId="1497" applyFont="1" applyFill="1" applyBorder="1" applyAlignment="1">
      <alignment horizontal="center" vertical="center"/>
    </xf>
    <xf numFmtId="0" fontId="158" fillId="0" borderId="170" xfId="1497" applyFont="1" applyFill="1" applyBorder="1" applyAlignment="1">
      <alignment horizontal="center" vertical="center"/>
    </xf>
    <xf numFmtId="0" fontId="158" fillId="0" borderId="78" xfId="1497" applyFont="1" applyFill="1" applyBorder="1" applyAlignment="1">
      <alignment horizontal="center" vertical="center"/>
    </xf>
    <xf numFmtId="0" fontId="158" fillId="0" borderId="138" xfId="1497" applyFont="1" applyFill="1" applyBorder="1" applyAlignment="1">
      <alignment horizontal="center" vertical="center"/>
    </xf>
    <xf numFmtId="0" fontId="158" fillId="66" borderId="102" xfId="1497" applyFont="1" applyFill="1" applyBorder="1" applyAlignment="1">
      <alignment horizontal="center" vertical="center"/>
    </xf>
    <xf numFmtId="0" fontId="157" fillId="62" borderId="29" xfId="1497" applyFont="1" applyFill="1" applyBorder="1" applyAlignment="1">
      <alignment horizontal="center" vertical="center" wrapText="1"/>
    </xf>
    <xf numFmtId="0" fontId="157" fillId="62" borderId="22" xfId="1497" applyFont="1" applyFill="1" applyBorder="1" applyAlignment="1">
      <alignment horizontal="center" vertical="center" wrapText="1"/>
    </xf>
    <xf numFmtId="0" fontId="157" fillId="62" borderId="102" xfId="1497" applyFont="1" applyFill="1" applyBorder="1" applyAlignment="1">
      <alignment horizontal="center" vertical="center" wrapText="1"/>
    </xf>
    <xf numFmtId="0" fontId="157" fillId="62" borderId="88" xfId="1497" applyFont="1" applyFill="1" applyBorder="1" applyAlignment="1">
      <alignment horizontal="center" vertical="center" wrapText="1"/>
    </xf>
    <xf numFmtId="0" fontId="157" fillId="62" borderId="171" xfId="1497" applyFont="1" applyFill="1" applyBorder="1" applyAlignment="1">
      <alignment horizontal="center" vertical="center" wrapText="1"/>
    </xf>
    <xf numFmtId="0" fontId="61" fillId="0" borderId="0" xfId="0" applyFont="1" applyFill="1" applyAlignment="1">
      <alignment horizontal="center" vertical="top"/>
    </xf>
    <xf numFmtId="0" fontId="61" fillId="0" borderId="0" xfId="0" applyFont="1" applyFill="1" applyAlignment="1">
      <alignment horizontal="left" vertical="top"/>
    </xf>
    <xf numFmtId="0" fontId="71" fillId="0" borderId="0" xfId="0" applyFont="1" applyFill="1" applyAlignment="1">
      <alignment vertical="top"/>
    </xf>
    <xf numFmtId="0" fontId="71" fillId="0" borderId="0" xfId="0" applyFont="1" applyFill="1" applyAlignment="1">
      <alignment horizontal="left" vertical="top"/>
    </xf>
    <xf numFmtId="2" fontId="71" fillId="0" borderId="0" xfId="0" applyNumberFormat="1" applyFont="1" applyFill="1" applyAlignment="1">
      <alignment horizontal="left" vertical="top"/>
    </xf>
    <xf numFmtId="0" fontId="61" fillId="0" borderId="0" xfId="1040" applyFont="1" applyFill="1" applyBorder="1" applyAlignment="1" applyProtection="1">
      <alignment horizontal="center" vertical="top"/>
    </xf>
    <xf numFmtId="0" fontId="71" fillId="0" borderId="0" xfId="2030" applyNumberFormat="1" applyFont="1" applyFill="1" applyBorder="1" applyAlignment="1" applyProtection="1">
      <alignment horizontal="center" vertical="top"/>
    </xf>
    <xf numFmtId="2" fontId="8" fillId="0" borderId="0" xfId="0" applyNumberFormat="1" applyFont="1" applyAlignment="1" applyProtection="1">
      <alignment horizontal="left" vertical="top"/>
    </xf>
    <xf numFmtId="0" fontId="9" fillId="0" borderId="0" xfId="0" applyFont="1" applyAlignment="1" applyProtection="1">
      <alignment horizontal="left" vertical="top" wrapText="1"/>
    </xf>
    <xf numFmtId="4" fontId="0" fillId="66" borderId="150" xfId="0" applyNumberFormat="1" applyFill="1" applyBorder="1" applyAlignment="1">
      <alignment horizontal="center" vertical="center"/>
    </xf>
    <xf numFmtId="4" fontId="0" fillId="66" borderId="25" xfId="0" applyNumberFormat="1" applyFill="1" applyBorder="1" applyAlignment="1">
      <alignment horizontal="center" vertical="center"/>
    </xf>
    <xf numFmtId="4" fontId="0" fillId="66" borderId="19" xfId="0" applyNumberFormat="1" applyFill="1" applyBorder="1" applyAlignment="1">
      <alignment horizontal="center" vertical="center"/>
    </xf>
    <xf numFmtId="4" fontId="0" fillId="0" borderId="150" xfId="0" applyNumberFormat="1" applyBorder="1" applyAlignment="1">
      <alignment horizontal="center" vertical="center"/>
    </xf>
    <xf numFmtId="4" fontId="0" fillId="0" borderId="19" xfId="0" applyNumberFormat="1" applyBorder="1" applyAlignment="1">
      <alignment horizontal="center" vertical="center"/>
    </xf>
    <xf numFmtId="4" fontId="0" fillId="0" borderId="25" xfId="0" applyNumberFormat="1" applyBorder="1" applyAlignment="1">
      <alignment horizontal="center" vertical="center"/>
    </xf>
    <xf numFmtId="4" fontId="0" fillId="0" borderId="0" xfId="0" applyNumberFormat="1" applyAlignment="1">
      <alignment horizontal="center"/>
    </xf>
    <xf numFmtId="4" fontId="0" fillId="0" borderId="149" xfId="0" applyNumberFormat="1" applyBorder="1" applyAlignment="1">
      <alignment horizontal="center" vertical="center"/>
    </xf>
    <xf numFmtId="0" fontId="8" fillId="0" borderId="0" xfId="970"/>
    <xf numFmtId="0" fontId="30" fillId="48" borderId="148" xfId="1293" applyFont="1" applyFill="1" applyBorder="1" applyAlignment="1">
      <alignment horizontal="right"/>
    </xf>
    <xf numFmtId="0" fontId="30" fillId="70" borderId="148" xfId="1293" applyFont="1" applyFill="1" applyBorder="1" applyAlignment="1">
      <alignment horizontal="right"/>
    </xf>
    <xf numFmtId="0" fontId="30" fillId="70" borderId="154" xfId="1293" applyFont="1" applyFill="1" applyBorder="1" applyAlignment="1">
      <alignment horizontal="right"/>
    </xf>
    <xf numFmtId="0" fontId="30" fillId="70" borderId="153" xfId="1293" applyFont="1" applyFill="1" applyBorder="1" applyAlignment="1">
      <alignment horizontal="right"/>
    </xf>
    <xf numFmtId="0" fontId="8" fillId="0" borderId="47" xfId="1293" applyFont="1" applyFill="1" applyBorder="1" applyAlignment="1">
      <alignment horizontal="left"/>
    </xf>
    <xf numFmtId="0" fontId="14" fillId="0" borderId="0" xfId="1293" applyFont="1" applyFill="1" applyBorder="1" applyAlignment="1">
      <alignment horizontal="center"/>
    </xf>
    <xf numFmtId="0" fontId="26" fillId="0" borderId="0" xfId="1293" applyFont="1" applyFill="1" applyBorder="1" applyAlignment="1">
      <alignment horizontal="center"/>
    </xf>
    <xf numFmtId="0" fontId="9" fillId="0" borderId="0" xfId="1293" applyFont="1" applyFill="1" applyBorder="1" applyAlignment="1">
      <alignment horizontal="center"/>
    </xf>
    <xf numFmtId="0" fontId="141" fillId="0" borderId="0" xfId="1293" applyFont="1" applyFill="1" applyBorder="1" applyAlignment="1">
      <alignment horizontal="left"/>
    </xf>
    <xf numFmtId="0" fontId="9" fillId="0" borderId="24" xfId="992" applyFont="1" applyFill="1" applyBorder="1" applyAlignment="1">
      <alignment horizontal="right" vertical="top"/>
    </xf>
    <xf numFmtId="0" fontId="9" fillId="0" borderId="63" xfId="0" applyFont="1" applyFill="1" applyBorder="1" applyAlignment="1">
      <alignment horizontal="right" vertical="top"/>
    </xf>
    <xf numFmtId="0" fontId="26" fillId="0" borderId="47" xfId="1293" applyFont="1" applyFill="1" applyBorder="1" applyAlignment="1">
      <alignment horizontal="center" vertical="center" wrapText="1"/>
    </xf>
    <xf numFmtId="4" fontId="9" fillId="0" borderId="24" xfId="0" applyNumberFormat="1" applyFont="1" applyFill="1" applyBorder="1" applyAlignment="1">
      <alignment horizontal="right"/>
    </xf>
    <xf numFmtId="4" fontId="9" fillId="0" borderId="45" xfId="0" applyNumberFormat="1" applyFont="1" applyFill="1" applyBorder="1" applyAlignment="1">
      <alignment horizontal="right"/>
    </xf>
    <xf numFmtId="173" fontId="140" fillId="0" borderId="66" xfId="1452" applyFont="1" applyFill="1" applyBorder="1" applyAlignment="1">
      <alignment horizontal="center"/>
    </xf>
    <xf numFmtId="173" fontId="140" fillId="0" borderId="99" xfId="1452" applyFont="1" applyFill="1" applyBorder="1" applyAlignment="1">
      <alignment horizontal="center"/>
    </xf>
    <xf numFmtId="173" fontId="140" fillId="0" borderId="50" xfId="1452" applyFont="1" applyFill="1" applyBorder="1" applyAlignment="1">
      <alignment horizontal="center"/>
    </xf>
    <xf numFmtId="173" fontId="146" fillId="0" borderId="66" xfId="1452" applyFont="1" applyFill="1" applyBorder="1" applyAlignment="1">
      <alignment horizontal="center"/>
    </xf>
    <xf numFmtId="173" fontId="146" fillId="0" borderId="99" xfId="1452" applyFont="1" applyFill="1" applyBorder="1" applyAlignment="1">
      <alignment horizontal="center"/>
    </xf>
    <xf numFmtId="173" fontId="146" fillId="0" borderId="50" xfId="1452" applyFont="1" applyFill="1" applyBorder="1" applyAlignment="1">
      <alignment horizontal="center"/>
    </xf>
    <xf numFmtId="174" fontId="45" fillId="0" borderId="24" xfId="0" applyNumberFormat="1" applyFont="1" applyFill="1" applyBorder="1" applyAlignment="1">
      <alignment horizontal="right"/>
    </xf>
    <xf numFmtId="0" fontId="9" fillId="0" borderId="47" xfId="1489" applyFont="1" applyFill="1" applyBorder="1" applyAlignment="1">
      <alignment horizontal="left" vertical="top"/>
    </xf>
    <xf numFmtId="0" fontId="14" fillId="0" borderId="34" xfId="1293" applyFont="1" applyFill="1" applyBorder="1" applyAlignment="1">
      <alignment horizontal="center"/>
    </xf>
    <xf numFmtId="4" fontId="9" fillId="0" borderId="22" xfId="1051" applyNumberFormat="1" applyFont="1" applyFill="1" applyBorder="1" applyAlignment="1">
      <alignment horizontal="left"/>
    </xf>
    <xf numFmtId="4" fontId="9" fillId="0" borderId="36" xfId="1051" applyNumberFormat="1" applyFont="1" applyFill="1" applyBorder="1" applyAlignment="1">
      <alignment horizontal="left"/>
    </xf>
    <xf numFmtId="4" fontId="9" fillId="0" borderId="138" xfId="1051" applyNumberFormat="1" applyFont="1" applyFill="1" applyBorder="1" applyAlignment="1">
      <alignment horizontal="left"/>
    </xf>
    <xf numFmtId="0" fontId="146"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9" fillId="0" borderId="69" xfId="0" applyFont="1" applyFill="1" applyBorder="1"/>
    <xf numFmtId="0" fontId="8" fillId="0" borderId="0" xfId="0" applyFont="1" applyFill="1" applyAlignment="1">
      <alignment horizontal="center" wrapText="1"/>
    </xf>
    <xf numFmtId="4" fontId="9" fillId="0" borderId="26" xfId="1051" applyNumberFormat="1" applyFont="1" applyFill="1" applyBorder="1" applyAlignment="1">
      <alignment horizontal="left" wrapText="1"/>
    </xf>
    <xf numFmtId="4" fontId="9" fillId="0" borderId="28" xfId="1051" applyNumberFormat="1" applyFont="1" applyFill="1" applyBorder="1" applyAlignment="1">
      <alignment horizontal="left" wrapText="1"/>
    </xf>
    <xf numFmtId="4" fontId="9" fillId="0" borderId="139" xfId="1051" applyNumberFormat="1" applyFont="1" applyFill="1" applyBorder="1" applyAlignment="1">
      <alignment horizontal="left" wrapText="1"/>
    </xf>
    <xf numFmtId="4" fontId="9" fillId="0" borderId="26" xfId="1051" applyNumberFormat="1" applyFont="1" applyFill="1" applyBorder="1" applyAlignment="1">
      <alignment horizontal="left"/>
    </xf>
    <xf numFmtId="4" fontId="9" fillId="0" borderId="28" xfId="1051" applyNumberFormat="1" applyFont="1" applyFill="1" applyBorder="1" applyAlignment="1">
      <alignment horizontal="left"/>
    </xf>
    <xf numFmtId="4" fontId="9" fillId="0" borderId="139" xfId="1051" applyNumberFormat="1" applyFont="1" applyFill="1" applyBorder="1" applyAlignment="1">
      <alignment horizontal="left"/>
    </xf>
    <xf numFmtId="0" fontId="0" fillId="0" borderId="0" xfId="0" applyFill="1"/>
    <xf numFmtId="0" fontId="30" fillId="48" borderId="115" xfId="1293" applyFont="1" applyFill="1" applyBorder="1" applyAlignment="1">
      <alignment horizontal="right"/>
    </xf>
    <xf numFmtId="0" fontId="30" fillId="70" borderId="124" xfId="1293" applyFont="1" applyFill="1" applyBorder="1" applyAlignment="1">
      <alignment horizontal="right"/>
    </xf>
    <xf numFmtId="0" fontId="30" fillId="70" borderId="123" xfId="1293" applyFont="1" applyFill="1" applyBorder="1" applyAlignment="1">
      <alignment horizontal="right"/>
    </xf>
    <xf numFmtId="39" fontId="8" fillId="68" borderId="108" xfId="1047" applyNumberFormat="1" applyFont="1" applyFill="1" applyBorder="1" applyAlignment="1">
      <alignment horizontal="left" vertical="top" wrapText="1"/>
    </xf>
    <xf numFmtId="39" fontId="8" fillId="68" borderId="47" xfId="1047" applyNumberFormat="1" applyFont="1" applyFill="1" applyBorder="1" applyAlignment="1">
      <alignment horizontal="left" vertical="top" wrapText="1"/>
    </xf>
    <xf numFmtId="39" fontId="8" fillId="68" borderId="109" xfId="1047" applyNumberFormat="1" applyFont="1" applyFill="1" applyBorder="1" applyAlignment="1">
      <alignment horizontal="left" vertical="top" wrapText="1"/>
    </xf>
    <xf numFmtId="40" fontId="140" fillId="70" borderId="204" xfId="705" applyFont="1" applyFill="1" applyBorder="1" applyAlignment="1" applyProtection="1">
      <alignment vertical="top"/>
    </xf>
    <xf numFmtId="0" fontId="8" fillId="70" borderId="213" xfId="0" applyFont="1" applyFill="1" applyBorder="1" applyAlignment="1" applyProtection="1">
      <alignment vertical="top"/>
    </xf>
    <xf numFmtId="174" fontId="140" fillId="70" borderId="204" xfId="0" applyNumberFormat="1" applyFont="1" applyFill="1" applyBorder="1" applyAlignment="1" applyProtection="1">
      <alignment vertical="top" wrapText="1"/>
    </xf>
    <xf numFmtId="39" fontId="140" fillId="70" borderId="204" xfId="0" applyNumberFormat="1" applyFont="1" applyFill="1" applyBorder="1" applyAlignment="1" applyProtection="1">
      <alignment vertical="top"/>
    </xf>
    <xf numFmtId="4" fontId="140" fillId="70" borderId="204" xfId="728" applyNumberFormat="1" applyFont="1" applyFill="1" applyBorder="1" applyAlignment="1" applyProtection="1">
      <alignment vertical="top"/>
    </xf>
    <xf numFmtId="4" fontId="140" fillId="70" borderId="204" xfId="743" applyNumberFormat="1" applyFont="1" applyFill="1" applyBorder="1" applyAlignment="1" applyProtection="1">
      <alignment vertical="top"/>
    </xf>
    <xf numFmtId="4" fontId="140" fillId="70" borderId="204" xfId="1305" applyNumberFormat="1" applyFont="1" applyFill="1" applyBorder="1" applyAlignment="1" applyProtection="1">
      <alignment horizontal="right" vertical="top"/>
    </xf>
    <xf numFmtId="4" fontId="140" fillId="70" borderId="204" xfId="728" applyNumberFormat="1" applyFont="1" applyFill="1" applyBorder="1" applyAlignment="1" applyProtection="1">
      <alignment vertical="top" wrapText="1"/>
    </xf>
    <xf numFmtId="4" fontId="146" fillId="65" borderId="204" xfId="728" applyNumberFormat="1" applyFont="1" applyFill="1" applyBorder="1" applyAlignment="1" applyProtection="1">
      <alignment vertical="top"/>
    </xf>
    <xf numFmtId="4" fontId="140" fillId="70" borderId="204" xfId="840" applyNumberFormat="1" applyFont="1" applyFill="1" applyBorder="1" applyAlignment="1" applyProtection="1">
      <alignment vertical="top"/>
    </xf>
    <xf numFmtId="4" fontId="140" fillId="70" borderId="204" xfId="1493" applyNumberFormat="1" applyFont="1" applyFill="1" applyBorder="1" applyAlignment="1" applyProtection="1">
      <alignment vertical="top" wrapText="1"/>
    </xf>
    <xf numFmtId="4" fontId="146" fillId="65" borderId="204" xfId="1493" applyNumberFormat="1" applyFont="1" applyFill="1" applyBorder="1" applyAlignment="1" applyProtection="1">
      <alignment vertical="top" wrapText="1"/>
    </xf>
    <xf numFmtId="4" fontId="146" fillId="65" borderId="207" xfId="0" applyNumberFormat="1" applyFont="1" applyFill="1" applyBorder="1" applyAlignment="1" applyProtection="1">
      <alignment vertical="top"/>
    </xf>
    <xf numFmtId="4" fontId="146" fillId="0" borderId="207" xfId="0" applyNumberFormat="1" applyFont="1" applyFill="1" applyBorder="1" applyAlignment="1" applyProtection="1">
      <alignment vertical="top"/>
    </xf>
    <xf numFmtId="4" fontId="140" fillId="0" borderId="204" xfId="0" applyNumberFormat="1" applyFont="1" applyFill="1" applyBorder="1" applyAlignment="1" applyProtection="1">
      <alignment vertical="top"/>
    </xf>
    <xf numFmtId="4" fontId="146" fillId="0" borderId="204" xfId="0" applyNumberFormat="1" applyFont="1" applyFill="1" applyBorder="1" applyAlignment="1" applyProtection="1">
      <alignment vertical="top"/>
    </xf>
    <xf numFmtId="174" fontId="140" fillId="70" borderId="204" xfId="0" applyNumberFormat="1" applyFont="1" applyFill="1" applyBorder="1" applyAlignment="1" applyProtection="1">
      <alignment horizontal="right" vertical="top" wrapText="1"/>
    </xf>
    <xf numFmtId="4" fontId="146" fillId="82" borderId="204" xfId="0" applyNumberFormat="1" applyFont="1" applyFill="1" applyBorder="1" applyAlignment="1" applyProtection="1">
      <alignment vertical="top"/>
    </xf>
    <xf numFmtId="4" fontId="146" fillId="0" borderId="212" xfId="0" applyNumberFormat="1" applyFont="1" applyFill="1" applyBorder="1" applyAlignment="1" applyProtection="1">
      <alignment vertical="top"/>
    </xf>
    <xf numFmtId="4" fontId="146" fillId="69" borderId="207" xfId="0" applyNumberFormat="1" applyFont="1" applyFill="1" applyBorder="1" applyAlignment="1" applyProtection="1">
      <alignment vertical="top"/>
    </xf>
  </cellXfs>
  <cellStyles count="2032">
    <cellStyle name="_x000d__x000a_JournalTemplate=C:\COMFO\CTALK\JOURSTD.TPL_x000d__x000a_LbStateAddress=3 3 0 251 1 89 2 311_x000d__x000a_LbStateJou" xfId="1"/>
    <cellStyle name="20% - Accent1" xfId="2"/>
    <cellStyle name="20% - Accent1 2" xfId="3"/>
    <cellStyle name="20% - Accent1 2 2" xfId="4"/>
    <cellStyle name="20% - Accent1 3" xfId="5"/>
    <cellStyle name="20% - Accent1 4" xfId="6"/>
    <cellStyle name="20% - Accent1 5" xfId="7"/>
    <cellStyle name="20% - Accent2" xfId="8"/>
    <cellStyle name="20% - Accent2 2" xfId="9"/>
    <cellStyle name="20% - Accent2 2 2" xfId="10"/>
    <cellStyle name="20% - Accent2 3" xfId="11"/>
    <cellStyle name="20% - Accent2 4" xfId="12"/>
    <cellStyle name="20% - Accent2 5" xfId="13"/>
    <cellStyle name="20% - Accent3" xfId="14"/>
    <cellStyle name="20% - Accent3 2" xfId="15"/>
    <cellStyle name="20% - Accent3 2 2" xfId="16"/>
    <cellStyle name="20% - Accent3 3" xfId="17"/>
    <cellStyle name="20% - Accent3 4" xfId="18"/>
    <cellStyle name="20% - Accent3 5" xfId="19"/>
    <cellStyle name="20% - Accent4" xfId="20"/>
    <cellStyle name="20% - Accent4 2" xfId="21"/>
    <cellStyle name="20% - Accent4 2 2" xfId="22"/>
    <cellStyle name="20% - Accent4 3" xfId="23"/>
    <cellStyle name="20% - Accent4 4" xfId="24"/>
    <cellStyle name="20% - Accent4 5" xfId="25"/>
    <cellStyle name="20% - Accent5" xfId="26"/>
    <cellStyle name="20% - Accent5 2" xfId="27"/>
    <cellStyle name="20% - Accent6" xfId="28"/>
    <cellStyle name="20% - Accent6 2" xfId="29"/>
    <cellStyle name="20% - Accent6 2 2" xfId="30"/>
    <cellStyle name="20% - Accent6 3" xfId="31"/>
    <cellStyle name="20% - Accent6 4" xfId="32"/>
    <cellStyle name="20% - Accent6 5" xfId="33"/>
    <cellStyle name="20% - Énfasis1 2" xfId="34"/>
    <cellStyle name="20% - Énfasis1 2 2" xfId="35"/>
    <cellStyle name="20% - Énfasis1 3" xfId="36"/>
    <cellStyle name="20% - Énfasis1 3 2" xfId="37"/>
    <cellStyle name="20% - Énfasis1 4" xfId="38"/>
    <cellStyle name="20% - Énfasis2 2" xfId="39"/>
    <cellStyle name="20% - Énfasis2 2 2" xfId="40"/>
    <cellStyle name="20% - Énfasis2 3" xfId="41"/>
    <cellStyle name="20% - Énfasis2 3 2" xfId="42"/>
    <cellStyle name="20% - Énfasis2 4" xfId="43"/>
    <cellStyle name="20% - Énfasis3 2" xfId="44"/>
    <cellStyle name="20% - Énfasis3 2 2" xfId="45"/>
    <cellStyle name="20% - Énfasis3 3" xfId="46"/>
    <cellStyle name="20% - Énfasis3 3 2" xfId="47"/>
    <cellStyle name="20% - Énfasis3 4" xfId="48"/>
    <cellStyle name="20% - Énfasis4 2" xfId="49"/>
    <cellStyle name="20% - Énfasis4 2 2" xfId="50"/>
    <cellStyle name="20% - Énfasis4 3" xfId="51"/>
    <cellStyle name="20% - Énfasis4 3 2" xfId="52"/>
    <cellStyle name="20% - Énfasis4 4" xfId="53"/>
    <cellStyle name="20% - Énfasis5 2" xfId="54"/>
    <cellStyle name="20% - Énfasis5 2 2" xfId="55"/>
    <cellStyle name="20% - Énfasis5 3" xfId="56"/>
    <cellStyle name="20% - Énfasis5 3 2" xfId="57"/>
    <cellStyle name="20% - Énfasis5 4" xfId="58"/>
    <cellStyle name="20% - Énfasis6 2" xfId="59"/>
    <cellStyle name="20% - Énfasis6 2 2" xfId="60"/>
    <cellStyle name="20% - Énfasis6 3" xfId="61"/>
    <cellStyle name="20% - Énfasis6 3 2" xfId="62"/>
    <cellStyle name="20% - Énfasis6 4" xfId="63"/>
    <cellStyle name="40% - Accent1" xfId="64"/>
    <cellStyle name="40% - Accent1 2" xfId="65"/>
    <cellStyle name="40% - Accent1 2 2" xfId="66"/>
    <cellStyle name="40% - Accent1 3" xfId="67"/>
    <cellStyle name="40% - Accent1 4" xfId="68"/>
    <cellStyle name="40% - Accent1 5" xfId="69"/>
    <cellStyle name="40% - Accent2" xfId="70"/>
    <cellStyle name="40% - Accent2 2" xfId="71"/>
    <cellStyle name="40% - Accent3" xfId="72"/>
    <cellStyle name="40% - Accent3 2" xfId="73"/>
    <cellStyle name="40% - Accent3 2 2" xfId="74"/>
    <cellStyle name="40% - Accent3 3" xfId="75"/>
    <cellStyle name="40% - Accent3 4" xfId="76"/>
    <cellStyle name="40% - Accent3 5" xfId="77"/>
    <cellStyle name="40% - Accent4" xfId="78"/>
    <cellStyle name="40% - Accent4 2" xfId="79"/>
    <cellStyle name="40% - Accent4 2 2" xfId="80"/>
    <cellStyle name="40% - Accent4 3" xfId="81"/>
    <cellStyle name="40% - Accent4 4" xfId="82"/>
    <cellStyle name="40% - Accent4 5" xfId="83"/>
    <cellStyle name="40% - Accent5" xfId="84"/>
    <cellStyle name="40% - Accent5 2" xfId="85"/>
    <cellStyle name="40% - Accent5 2 2" xfId="86"/>
    <cellStyle name="40% - Accent5 3" xfId="87"/>
    <cellStyle name="40% - Accent5 4" xfId="88"/>
    <cellStyle name="40% - Accent5 5" xfId="89"/>
    <cellStyle name="40% - Accent6" xfId="90"/>
    <cellStyle name="40% - Accent6 2" xfId="91"/>
    <cellStyle name="40% - Accent6 2 2" xfId="92"/>
    <cellStyle name="40% - Accent6 3" xfId="93"/>
    <cellStyle name="40% - Accent6 4" xfId="94"/>
    <cellStyle name="40% - Accent6 5" xfId="95"/>
    <cellStyle name="40% - Énfasis1 2" xfId="96"/>
    <cellStyle name="40% - Énfasis1 2 2" xfId="97"/>
    <cellStyle name="40% - Énfasis1 3" xfId="98"/>
    <cellStyle name="40% - Énfasis1 3 2" xfId="99"/>
    <cellStyle name="40% - Énfasis1 4" xfId="100"/>
    <cellStyle name="40% - Énfasis2 2" xfId="101"/>
    <cellStyle name="40% - Énfasis2 2 2" xfId="102"/>
    <cellStyle name="40% - Énfasis2 3" xfId="103"/>
    <cellStyle name="40% - Énfasis2 3 2" xfId="104"/>
    <cellStyle name="40% - Énfasis2 4" xfId="105"/>
    <cellStyle name="40% - Énfasis3 2" xfId="106"/>
    <cellStyle name="40% - Énfasis3 2 2" xfId="107"/>
    <cellStyle name="40% - Énfasis3 3" xfId="108"/>
    <cellStyle name="40% - Énfasis3 3 2" xfId="109"/>
    <cellStyle name="40% - Énfasis3 4" xfId="110"/>
    <cellStyle name="40% - Énfasis4 2" xfId="111"/>
    <cellStyle name="40% - Énfasis4 2 2" xfId="112"/>
    <cellStyle name="40% - Énfasis4 3" xfId="113"/>
    <cellStyle name="40% - Énfasis4 3 2" xfId="114"/>
    <cellStyle name="40% - Énfasis4 4" xfId="115"/>
    <cellStyle name="40% - Énfasis5 2" xfId="116"/>
    <cellStyle name="40% - Énfasis5 2 2" xfId="117"/>
    <cellStyle name="40% - Énfasis5 3" xfId="118"/>
    <cellStyle name="40% - Énfasis5 3 2" xfId="119"/>
    <cellStyle name="40% - Énfasis5 4" xfId="120"/>
    <cellStyle name="40% - Énfasis6 2" xfId="121"/>
    <cellStyle name="40% - Énfasis6 2 2" xfId="122"/>
    <cellStyle name="40% - Énfasis6 3" xfId="123"/>
    <cellStyle name="40% - Énfasis6 3 2" xfId="124"/>
    <cellStyle name="40% - Énfasis6 4" xfId="125"/>
    <cellStyle name="60% - Accent1" xfId="126"/>
    <cellStyle name="60% - Accent1 2" xfId="127"/>
    <cellStyle name="60% - Accent1 2 2" xfId="128"/>
    <cellStyle name="60% - Accent1 3" xfId="129"/>
    <cellStyle name="60% - Accent1 4" xfId="130"/>
    <cellStyle name="60% - Accent1 5" xfId="131"/>
    <cellStyle name="60% - Accent2" xfId="132"/>
    <cellStyle name="60% - Accent2 2" xfId="133"/>
    <cellStyle name="60% - Accent2 2 2" xfId="134"/>
    <cellStyle name="60% - Accent2 3" xfId="135"/>
    <cellStyle name="60% - Accent2 4" xfId="136"/>
    <cellStyle name="60% - Accent2 5" xfId="137"/>
    <cellStyle name="60% - Accent3" xfId="138"/>
    <cellStyle name="60% - Accent3 2" xfId="139"/>
    <cellStyle name="60% - Accent3 2 2" xfId="140"/>
    <cellStyle name="60% - Accent3 3" xfId="141"/>
    <cellStyle name="60% - Accent3 4" xfId="142"/>
    <cellStyle name="60% - Accent3 5" xfId="143"/>
    <cellStyle name="60% - Accent4" xfId="144"/>
    <cellStyle name="60% - Accent4 2" xfId="145"/>
    <cellStyle name="60% - Accent4 2 2" xfId="146"/>
    <cellStyle name="60% - Accent4 3" xfId="147"/>
    <cellStyle name="60% - Accent4 4" xfId="148"/>
    <cellStyle name="60% - Accent4 5" xfId="149"/>
    <cellStyle name="60% - Accent5" xfId="150"/>
    <cellStyle name="60% - Accent5 2" xfId="151"/>
    <cellStyle name="60% - Accent5 2 2" xfId="152"/>
    <cellStyle name="60% - Accent5 3" xfId="153"/>
    <cellStyle name="60% - Accent5 4" xfId="154"/>
    <cellStyle name="60% - Accent5 5" xfId="155"/>
    <cellStyle name="60% - Accent6" xfId="156"/>
    <cellStyle name="60% - Accent6 2" xfId="157"/>
    <cellStyle name="60% - Accent6 2 2" xfId="158"/>
    <cellStyle name="60% - Accent6 3" xfId="159"/>
    <cellStyle name="60% - Accent6 4" xfId="160"/>
    <cellStyle name="60% - Accent6 5" xfId="161"/>
    <cellStyle name="60% - Énfasis1 2" xfId="162"/>
    <cellStyle name="60% - Énfasis1 2 2" xfId="163"/>
    <cellStyle name="60% - Énfasis1 3" xfId="164"/>
    <cellStyle name="60% - Énfasis1 3 2" xfId="165"/>
    <cellStyle name="60% - Énfasis1 4" xfId="166"/>
    <cellStyle name="60% - Énfasis2 2" xfId="167"/>
    <cellStyle name="60% - Énfasis2 2 2" xfId="168"/>
    <cellStyle name="60% - Énfasis2 3" xfId="169"/>
    <cellStyle name="60% - Énfasis2 3 2" xfId="170"/>
    <cellStyle name="60% - Énfasis2 4" xfId="171"/>
    <cellStyle name="60% - Énfasis3 2" xfId="172"/>
    <cellStyle name="60% - Énfasis3 2 2" xfId="173"/>
    <cellStyle name="60% - Énfasis3 3" xfId="174"/>
    <cellStyle name="60% - Énfasis3 3 2" xfId="175"/>
    <cellStyle name="60% - Énfasis3 4" xfId="176"/>
    <cellStyle name="60% - Énfasis4 2" xfId="177"/>
    <cellStyle name="60% - Énfasis4 2 2" xfId="178"/>
    <cellStyle name="60% - Énfasis4 3" xfId="179"/>
    <cellStyle name="60% - Énfasis4 3 2" xfId="180"/>
    <cellStyle name="60% - Énfasis4 4" xfId="181"/>
    <cellStyle name="60% - Énfasis5 2" xfId="182"/>
    <cellStyle name="60% - Énfasis5 2 2" xfId="183"/>
    <cellStyle name="60% - Énfasis5 3" xfId="184"/>
    <cellStyle name="60% - Énfasis5 3 2" xfId="185"/>
    <cellStyle name="60% - Énfasis5 4" xfId="186"/>
    <cellStyle name="60% - Énfasis6 2" xfId="187"/>
    <cellStyle name="60% - Énfasis6 2 2" xfId="188"/>
    <cellStyle name="60% - Énfasis6 3" xfId="189"/>
    <cellStyle name="60% - Énfasis6 3 2" xfId="190"/>
    <cellStyle name="60% - Énfasis6 4" xfId="191"/>
    <cellStyle name="Accent1" xfId="192"/>
    <cellStyle name="Accent1 - 20%" xfId="193"/>
    <cellStyle name="Accent1 - 20% 2" xfId="194"/>
    <cellStyle name="Accent1 - 20% 3" xfId="195"/>
    <cellStyle name="Accent1 - 40%" xfId="196"/>
    <cellStyle name="Accent1 - 40% 2" xfId="197"/>
    <cellStyle name="Accent1 - 40% 3" xfId="198"/>
    <cellStyle name="Accent1 - 60%" xfId="199"/>
    <cellStyle name="Accent1 - 60% 2" xfId="200"/>
    <cellStyle name="Accent1 - 60% 3" xfId="201"/>
    <cellStyle name="Accent1 10" xfId="202"/>
    <cellStyle name="Accent1 11" xfId="203"/>
    <cellStyle name="Accent1 12" xfId="204"/>
    <cellStyle name="Accent1 13" xfId="205"/>
    <cellStyle name="Accent1 14" xfId="206"/>
    <cellStyle name="Accent1 15" xfId="207"/>
    <cellStyle name="Accent1 16" xfId="208"/>
    <cellStyle name="Accent1 17" xfId="209"/>
    <cellStyle name="Accent1 18" xfId="210"/>
    <cellStyle name="Accent1 19" xfId="211"/>
    <cellStyle name="Accent1 2" xfId="212"/>
    <cellStyle name="Accent1 2 2" xfId="213"/>
    <cellStyle name="Accent1 20" xfId="214"/>
    <cellStyle name="Accent1 21" xfId="215"/>
    <cellStyle name="Accent1 22" xfId="1445"/>
    <cellStyle name="Accent1 23" xfId="1469"/>
    <cellStyle name="Accent1 24" xfId="1478"/>
    <cellStyle name="Accent1 3" xfId="216"/>
    <cellStyle name="Accent1 4" xfId="217"/>
    <cellStyle name="Accent1 5" xfId="218"/>
    <cellStyle name="Accent1 6" xfId="219"/>
    <cellStyle name="Accent1 7" xfId="220"/>
    <cellStyle name="Accent1 8" xfId="221"/>
    <cellStyle name="Accent1 9" xfId="222"/>
    <cellStyle name="Accent1_ANALISIS PARA PRESENTAR OPRET" xfId="223"/>
    <cellStyle name="Accent2" xfId="224"/>
    <cellStyle name="Accent2 - 20%" xfId="225"/>
    <cellStyle name="Accent2 - 20% 2" xfId="226"/>
    <cellStyle name="Accent2 - 20% 3" xfId="227"/>
    <cellStyle name="Accent2 - 40%" xfId="228"/>
    <cellStyle name="Accent2 - 40% 2" xfId="229"/>
    <cellStyle name="Accent2 - 60%" xfId="230"/>
    <cellStyle name="Accent2 - 60% 2" xfId="231"/>
    <cellStyle name="Accent2 10" xfId="232"/>
    <cellStyle name="Accent2 11" xfId="233"/>
    <cellStyle name="Accent2 12" xfId="234"/>
    <cellStyle name="Accent2 13" xfId="235"/>
    <cellStyle name="Accent2 14" xfId="236"/>
    <cellStyle name="Accent2 15" xfId="237"/>
    <cellStyle name="Accent2 16" xfId="238"/>
    <cellStyle name="Accent2 17" xfId="239"/>
    <cellStyle name="Accent2 18" xfId="240"/>
    <cellStyle name="Accent2 19" xfId="241"/>
    <cellStyle name="Accent2 2" xfId="242"/>
    <cellStyle name="Accent2 2 2" xfId="243"/>
    <cellStyle name="Accent2 20" xfId="244"/>
    <cellStyle name="Accent2 21" xfId="245"/>
    <cellStyle name="Accent2 22" xfId="1446"/>
    <cellStyle name="Accent2 23" xfId="1468"/>
    <cellStyle name="Accent2 24" xfId="1477"/>
    <cellStyle name="Accent2 3" xfId="246"/>
    <cellStyle name="Accent2 4" xfId="247"/>
    <cellStyle name="Accent2 5" xfId="248"/>
    <cellStyle name="Accent2 6" xfId="249"/>
    <cellStyle name="Accent2 7" xfId="250"/>
    <cellStyle name="Accent2 8" xfId="251"/>
    <cellStyle name="Accent2 9" xfId="252"/>
    <cellStyle name="Accent2_ANALISIS PARA PRESENTAR OPRET" xfId="253"/>
    <cellStyle name="Accent3" xfId="254"/>
    <cellStyle name="Accent3 - 20%" xfId="255"/>
    <cellStyle name="Accent3 - 20% 2" xfId="256"/>
    <cellStyle name="Accent3 - 20% 3" xfId="257"/>
    <cellStyle name="Accent3 - 40%" xfId="258"/>
    <cellStyle name="Accent3 - 40% 2" xfId="259"/>
    <cellStyle name="Accent3 - 40% 3" xfId="260"/>
    <cellStyle name="Accent3 - 60%" xfId="261"/>
    <cellStyle name="Accent3 - 60% 2" xfId="262"/>
    <cellStyle name="Accent3 10" xfId="263"/>
    <cellStyle name="Accent3 11" xfId="264"/>
    <cellStyle name="Accent3 12" xfId="265"/>
    <cellStyle name="Accent3 13" xfId="266"/>
    <cellStyle name="Accent3 14" xfId="267"/>
    <cellStyle name="Accent3 15" xfId="268"/>
    <cellStyle name="Accent3 16" xfId="269"/>
    <cellStyle name="Accent3 17" xfId="270"/>
    <cellStyle name="Accent3 18" xfId="271"/>
    <cellStyle name="Accent3 19" xfId="272"/>
    <cellStyle name="Accent3 2" xfId="273"/>
    <cellStyle name="Accent3 2 2" xfId="274"/>
    <cellStyle name="Accent3 20" xfId="275"/>
    <cellStyle name="Accent3 21" xfId="276"/>
    <cellStyle name="Accent3 22" xfId="1447"/>
    <cellStyle name="Accent3 23" xfId="1467"/>
    <cellStyle name="Accent3 24" xfId="1476"/>
    <cellStyle name="Accent3 3" xfId="277"/>
    <cellStyle name="Accent3 4" xfId="278"/>
    <cellStyle name="Accent3 5" xfId="279"/>
    <cellStyle name="Accent3 6" xfId="280"/>
    <cellStyle name="Accent3 7" xfId="281"/>
    <cellStyle name="Accent3 8" xfId="282"/>
    <cellStyle name="Accent3 9" xfId="283"/>
    <cellStyle name="Accent3_ANALISIS PARA PRESENTAR OPRET" xfId="284"/>
    <cellStyle name="Accent4" xfId="285"/>
    <cellStyle name="Accent4 - 20%" xfId="286"/>
    <cellStyle name="Accent4 - 20% 2" xfId="287"/>
    <cellStyle name="Accent4 - 20% 3" xfId="288"/>
    <cellStyle name="Accent4 - 40%" xfId="289"/>
    <cellStyle name="Accent4 - 40% 2" xfId="290"/>
    <cellStyle name="Accent4 - 60%" xfId="291"/>
    <cellStyle name="Accent4 - 60% 2" xfId="292"/>
    <cellStyle name="Accent4 - 60% 3" xfId="293"/>
    <cellStyle name="Accent4 10" xfId="294"/>
    <cellStyle name="Accent4 11" xfId="295"/>
    <cellStyle name="Accent4 12" xfId="296"/>
    <cellStyle name="Accent4 13" xfId="297"/>
    <cellStyle name="Accent4 14" xfId="298"/>
    <cellStyle name="Accent4 15" xfId="299"/>
    <cellStyle name="Accent4 16" xfId="300"/>
    <cellStyle name="Accent4 17" xfId="301"/>
    <cellStyle name="Accent4 18" xfId="302"/>
    <cellStyle name="Accent4 19" xfId="303"/>
    <cellStyle name="Accent4 2" xfId="304"/>
    <cellStyle name="Accent4 2 2" xfId="305"/>
    <cellStyle name="Accent4 20" xfId="306"/>
    <cellStyle name="Accent4 21" xfId="307"/>
    <cellStyle name="Accent4 22" xfId="1448"/>
    <cellStyle name="Accent4 23" xfId="1466"/>
    <cellStyle name="Accent4 24" xfId="1475"/>
    <cellStyle name="Accent4 3" xfId="308"/>
    <cellStyle name="Accent4 4" xfId="309"/>
    <cellStyle name="Accent4 5" xfId="310"/>
    <cellStyle name="Accent4 6" xfId="311"/>
    <cellStyle name="Accent4 7" xfId="312"/>
    <cellStyle name="Accent4 8" xfId="313"/>
    <cellStyle name="Accent4 9" xfId="314"/>
    <cellStyle name="Accent4_ANALISIS PARA PRESENTAR OPRET" xfId="315"/>
    <cellStyle name="Accent5" xfId="316"/>
    <cellStyle name="Accent5 - 20%" xfId="317"/>
    <cellStyle name="Accent5 - 20% 2" xfId="318"/>
    <cellStyle name="Accent5 - 20% 3" xfId="319"/>
    <cellStyle name="Accent5 - 40%" xfId="320"/>
    <cellStyle name="Accent5 - 40% 2" xfId="321"/>
    <cellStyle name="Accent5 - 40% 3" xfId="322"/>
    <cellStyle name="Accent5 - 60%" xfId="323"/>
    <cellStyle name="Accent5 - 60% 2" xfId="324"/>
    <cellStyle name="Accent5 - 60% 3" xfId="325"/>
    <cellStyle name="Accent5 2" xfId="326"/>
    <cellStyle name="Accent5_ANALISIS PARA PRESENTAR OPRET" xfId="327"/>
    <cellStyle name="Accent6" xfId="328"/>
    <cellStyle name="Accent6 - 20%" xfId="329"/>
    <cellStyle name="Accent6 - 20% 2" xfId="330"/>
    <cellStyle name="Accent6 - 20% 3" xfId="331"/>
    <cellStyle name="Accent6 - 40%" xfId="332"/>
    <cellStyle name="Accent6 - 40% 2" xfId="333"/>
    <cellStyle name="Accent6 - 40% 3" xfId="334"/>
    <cellStyle name="Accent6 - 60%" xfId="335"/>
    <cellStyle name="Accent6 - 60% 2" xfId="336"/>
    <cellStyle name="Accent6 - 60% 3" xfId="337"/>
    <cellStyle name="Accent6 10" xfId="338"/>
    <cellStyle name="Accent6 11" xfId="339"/>
    <cellStyle name="Accent6 12" xfId="340"/>
    <cellStyle name="Accent6 13" xfId="341"/>
    <cellStyle name="Accent6 14" xfId="342"/>
    <cellStyle name="Accent6 15" xfId="343"/>
    <cellStyle name="Accent6 16" xfId="344"/>
    <cellStyle name="Accent6 17" xfId="345"/>
    <cellStyle name="Accent6 18" xfId="346"/>
    <cellStyle name="Accent6 19" xfId="347"/>
    <cellStyle name="Accent6 2" xfId="348"/>
    <cellStyle name="Accent6 2 2" xfId="349"/>
    <cellStyle name="Accent6 20" xfId="350"/>
    <cellStyle name="Accent6 21" xfId="351"/>
    <cellStyle name="Accent6 22" xfId="1449"/>
    <cellStyle name="Accent6 23" xfId="1463"/>
    <cellStyle name="Accent6 24" xfId="1474"/>
    <cellStyle name="Accent6 3" xfId="352"/>
    <cellStyle name="Accent6 4" xfId="353"/>
    <cellStyle name="Accent6 5" xfId="354"/>
    <cellStyle name="Accent6 6" xfId="355"/>
    <cellStyle name="Accent6 7" xfId="356"/>
    <cellStyle name="Accent6 8" xfId="357"/>
    <cellStyle name="Accent6 9" xfId="358"/>
    <cellStyle name="Accent6_ANALISIS PARA PRESENTAR OPRET" xfId="359"/>
    <cellStyle name="Bad" xfId="360"/>
    <cellStyle name="Bad 2" xfId="361"/>
    <cellStyle name="Bad 2 2" xfId="362"/>
    <cellStyle name="Bad 3" xfId="363"/>
    <cellStyle name="Bad 4" xfId="364"/>
    <cellStyle name="Bad 5" xfId="365"/>
    <cellStyle name="Buena 2" xfId="366"/>
    <cellStyle name="Buena 2 2" xfId="367"/>
    <cellStyle name="Buena 3" xfId="368"/>
    <cellStyle name="Buena 3 2" xfId="369"/>
    <cellStyle name="Buena 4" xfId="370"/>
    <cellStyle name="Calculation" xfId="371"/>
    <cellStyle name="Calculation 2" xfId="372"/>
    <cellStyle name="Calculation 2 2" xfId="373"/>
    <cellStyle name="Calculation 2 2 2" xfId="1507"/>
    <cellStyle name="Calculation 2 3" xfId="1506"/>
    <cellStyle name="Calculation 3" xfId="374"/>
    <cellStyle name="Calculation 3 2" xfId="1508"/>
    <cellStyle name="Calculation 4" xfId="375"/>
    <cellStyle name="Calculation 4 2" xfId="1509"/>
    <cellStyle name="Calculation 5" xfId="376"/>
    <cellStyle name="Calculation 5 2" xfId="1510"/>
    <cellStyle name="Calculation 6" xfId="1505"/>
    <cellStyle name="Cálculo 2" xfId="377"/>
    <cellStyle name="Cálculo 2 2" xfId="378"/>
    <cellStyle name="Cálculo 2 2 2" xfId="1512"/>
    <cellStyle name="Cálculo 2 3" xfId="1511"/>
    <cellStyle name="Cálculo 3" xfId="379"/>
    <cellStyle name="Cálculo 3 2" xfId="380"/>
    <cellStyle name="Cálculo 3 2 2" xfId="1514"/>
    <cellStyle name="Cálculo 3 3" xfId="1513"/>
    <cellStyle name="Cálculo 4" xfId="381"/>
    <cellStyle name="Cálculo 4 2" xfId="1515"/>
    <cellStyle name="Celda de comprobación 2" xfId="382"/>
    <cellStyle name="Celda de comprobación 2 2" xfId="383"/>
    <cellStyle name="Celda de comprobación 3" xfId="384"/>
    <cellStyle name="Celda de comprobación 3 2" xfId="385"/>
    <cellStyle name="Celda de comprobación 4" xfId="386"/>
    <cellStyle name="Celda vinculada 2" xfId="387"/>
    <cellStyle name="Celda vinculada 2 2" xfId="388"/>
    <cellStyle name="Celda vinculada 2 2 2" xfId="1771"/>
    <cellStyle name="Celda vinculada 2 3" xfId="1770"/>
    <cellStyle name="Celda vinculada 3" xfId="389"/>
    <cellStyle name="Celda vinculada 3 2" xfId="390"/>
    <cellStyle name="Celda vinculada 3 2 2" xfId="1773"/>
    <cellStyle name="Celda vinculada 3 3" xfId="1772"/>
    <cellStyle name="Celda vinculada 4" xfId="391"/>
    <cellStyle name="Celda vinculada 4 2" xfId="1774"/>
    <cellStyle name="Check Cell" xfId="392"/>
    <cellStyle name="Check Cell 2" xfId="393"/>
    <cellStyle name="Comma 10" xfId="394"/>
    <cellStyle name="Comma 11" xfId="395"/>
    <cellStyle name="Comma 12" xfId="396"/>
    <cellStyle name="Comma 13" xfId="397"/>
    <cellStyle name="Comma 14" xfId="1756"/>
    <cellStyle name="Comma 2" xfId="398"/>
    <cellStyle name="Comma 2 10" xfId="399"/>
    <cellStyle name="Comma 2 10 2" xfId="1516"/>
    <cellStyle name="Comma 2 11" xfId="400"/>
    <cellStyle name="Comma 2 12" xfId="401"/>
    <cellStyle name="Comma 2 12 2" xfId="1517"/>
    <cellStyle name="Comma 2 13" xfId="402"/>
    <cellStyle name="Comma 2 14" xfId="403"/>
    <cellStyle name="Comma 2 15" xfId="404"/>
    <cellStyle name="Comma 2 2" xfId="405"/>
    <cellStyle name="Comma 2 2 2" xfId="406"/>
    <cellStyle name="Comma 2 2 3" xfId="407"/>
    <cellStyle name="Comma 2 2 3 2" xfId="408"/>
    <cellStyle name="Comma 2 2 3 2 2" xfId="1519"/>
    <cellStyle name="Comma 2 2 3 3" xfId="1518"/>
    <cellStyle name="Comma 2 2 4" xfId="409"/>
    <cellStyle name="Comma 2 2 5" xfId="410"/>
    <cellStyle name="Comma 2 2 6" xfId="411"/>
    <cellStyle name="Comma 2 3" xfId="412"/>
    <cellStyle name="Comma 2 3 2" xfId="413"/>
    <cellStyle name="Comma 2 3 3" xfId="414"/>
    <cellStyle name="Comma 2 3 3 2" xfId="415"/>
    <cellStyle name="Comma 2 3 3 2 2" xfId="1521"/>
    <cellStyle name="Comma 2 3 3 3" xfId="1520"/>
    <cellStyle name="Comma 2 3 4" xfId="416"/>
    <cellStyle name="Comma 2 3 5" xfId="417"/>
    <cellStyle name="Comma 2 4" xfId="418"/>
    <cellStyle name="Comma 2 4 2" xfId="419"/>
    <cellStyle name="Comma 2 4 2 2" xfId="1523"/>
    <cellStyle name="Comma 2 4 3" xfId="420"/>
    <cellStyle name="Comma 2 4 3 2" xfId="1524"/>
    <cellStyle name="Comma 2 4 4" xfId="421"/>
    <cellStyle name="Comma 2 4 4 2" xfId="1525"/>
    <cellStyle name="Comma 2 4 5" xfId="422"/>
    <cellStyle name="Comma 2 4 5 2" xfId="1526"/>
    <cellStyle name="Comma 2 4 6" xfId="423"/>
    <cellStyle name="Comma 2 4 6 2" xfId="1527"/>
    <cellStyle name="Comma 2 4 7" xfId="1522"/>
    <cellStyle name="Comma 2 5" xfId="424"/>
    <cellStyle name="Comma 2 5 2" xfId="425"/>
    <cellStyle name="Comma 2 5 2 2" xfId="1529"/>
    <cellStyle name="Comma 2 5 3" xfId="426"/>
    <cellStyle name="Comma 2 5 3 2" xfId="1530"/>
    <cellStyle name="Comma 2 5 4" xfId="427"/>
    <cellStyle name="Comma 2 5 4 2" xfId="1531"/>
    <cellStyle name="Comma 2 5 5" xfId="428"/>
    <cellStyle name="Comma 2 5 5 2" xfId="1532"/>
    <cellStyle name="Comma 2 5 6" xfId="429"/>
    <cellStyle name="Comma 2 5 6 2" xfId="1533"/>
    <cellStyle name="Comma 2 5 7" xfId="1528"/>
    <cellStyle name="Comma 2 6" xfId="430"/>
    <cellStyle name="Comma 2 7" xfId="431"/>
    <cellStyle name="Comma 2 7 2" xfId="1534"/>
    <cellStyle name="Comma 2 8" xfId="432"/>
    <cellStyle name="Comma 2 8 2" xfId="1535"/>
    <cellStyle name="Comma 2 9" xfId="433"/>
    <cellStyle name="Comma 2 9 2" xfId="1536"/>
    <cellStyle name="Comma 3" xfId="434"/>
    <cellStyle name="Comma 3 2" xfId="435"/>
    <cellStyle name="Comma 3 2 2" xfId="436"/>
    <cellStyle name="Comma 3 2 3" xfId="437"/>
    <cellStyle name="Comma 3 2 4" xfId="438"/>
    <cellStyle name="Comma 3 3" xfId="439"/>
    <cellStyle name="Comma 3 3 2" xfId="440"/>
    <cellStyle name="Comma 3 4" xfId="441"/>
    <cellStyle name="Comma 3 4 2" xfId="1537"/>
    <cellStyle name="Comma 3 5" xfId="442"/>
    <cellStyle name="Comma 3 6" xfId="443"/>
    <cellStyle name="Comma 3 7" xfId="444"/>
    <cellStyle name="Comma 3_Adicional No. 1  Edificio Biblioteca y Verja y parqueos  Universidad ITECO" xfId="445"/>
    <cellStyle name="Comma 4" xfId="446"/>
    <cellStyle name="Comma 4 2" xfId="447"/>
    <cellStyle name="Comma 4 3" xfId="448"/>
    <cellStyle name="Comma 4_Presupuesto_remodelacion vivienda en cancino pe" xfId="449"/>
    <cellStyle name="Comma 5" xfId="450"/>
    <cellStyle name="Comma 5 2" xfId="451"/>
    <cellStyle name="Comma 6" xfId="452"/>
    <cellStyle name="Comma 6 2" xfId="453"/>
    <cellStyle name="Comma 7" xfId="454"/>
    <cellStyle name="Comma 7 2" xfId="455"/>
    <cellStyle name="Comma 8" xfId="456"/>
    <cellStyle name="Comma 8 2" xfId="457"/>
    <cellStyle name="Comma 8 2 2" xfId="458"/>
    <cellStyle name="Comma 8 3" xfId="459"/>
    <cellStyle name="Comma 9" xfId="460"/>
    <cellStyle name="Comma_ANALISIS EL PUERTO 2" xfId="461"/>
    <cellStyle name="Comma_ANALISIS EL PUERTO 2 2" xfId="462"/>
    <cellStyle name="Comma_ANALISIS EL PUERTO 3" xfId="1488"/>
    <cellStyle name="Comma_ANALISIS EL PUERTO_PRES. 62-08 ACUEDUCTO SABANA YEGUA Y TABARA ABAJO, AZUA (desenlazado)" xfId="463"/>
    <cellStyle name="Comma_ANALISIS EL PUERTO_PRES. 62-08 ACUEDUCTO SABANA YEGUA Y TABARA ABAJO, AZUA (desenlazado) 2" xfId="1443"/>
    <cellStyle name="Currency 2" xfId="464"/>
    <cellStyle name="Currency 2 2" xfId="465"/>
    <cellStyle name="Currency 2 3" xfId="466"/>
    <cellStyle name="Currency 3" xfId="467"/>
    <cellStyle name="Currency 4" xfId="468"/>
    <cellStyle name="Emphasis 1" xfId="469"/>
    <cellStyle name="Emphasis 1 2" xfId="470"/>
    <cellStyle name="Emphasis 2" xfId="471"/>
    <cellStyle name="Emphasis 2 2" xfId="472"/>
    <cellStyle name="Emphasis 2 3" xfId="473"/>
    <cellStyle name="Emphasis 3" xfId="474"/>
    <cellStyle name="Emphasis 3 2" xfId="475"/>
    <cellStyle name="Encabezado 1 2" xfId="476"/>
    <cellStyle name="Encabezado 4 2" xfId="477"/>
    <cellStyle name="Encabezado 4 2 2" xfId="478"/>
    <cellStyle name="Encabezado 4 3" xfId="479"/>
    <cellStyle name="Encabezado 4 3 2" xfId="480"/>
    <cellStyle name="Encabezado 4 4" xfId="481"/>
    <cellStyle name="Énfasis 1" xfId="482"/>
    <cellStyle name="Énfasis 2" xfId="483"/>
    <cellStyle name="Énfasis 3" xfId="484"/>
    <cellStyle name="Énfasis1 - 20%" xfId="485"/>
    <cellStyle name="Énfasis1 - 40%" xfId="486"/>
    <cellStyle name="Énfasis1 - 60%" xfId="487"/>
    <cellStyle name="Énfasis1 10" xfId="488"/>
    <cellStyle name="Énfasis1 11" xfId="489"/>
    <cellStyle name="Énfasis1 12" xfId="490"/>
    <cellStyle name="Énfasis1 13" xfId="491"/>
    <cellStyle name="Énfasis1 14" xfId="492"/>
    <cellStyle name="Énfasis1 15" xfId="493"/>
    <cellStyle name="Énfasis1 16" xfId="494"/>
    <cellStyle name="Énfasis1 2" xfId="495"/>
    <cellStyle name="Énfasis1 2 2" xfId="496"/>
    <cellStyle name="Énfasis1 3" xfId="497"/>
    <cellStyle name="Énfasis1 3 2" xfId="498"/>
    <cellStyle name="Énfasis1 4" xfId="499"/>
    <cellStyle name="Énfasis1 5" xfId="500"/>
    <cellStyle name="Énfasis1 6" xfId="501"/>
    <cellStyle name="Énfasis1 7" xfId="502"/>
    <cellStyle name="Énfasis1 8" xfId="503"/>
    <cellStyle name="Énfasis1 9" xfId="504"/>
    <cellStyle name="Énfasis2 - 20%" xfId="505"/>
    <cellStyle name="Énfasis2 - 40%" xfId="506"/>
    <cellStyle name="Énfasis2 - 60%" xfId="507"/>
    <cellStyle name="Énfasis2 10" xfId="508"/>
    <cellStyle name="Énfasis2 11" xfId="509"/>
    <cellStyle name="Énfasis2 12" xfId="510"/>
    <cellStyle name="Énfasis2 13" xfId="511"/>
    <cellStyle name="Énfasis2 14" xfId="512"/>
    <cellStyle name="Énfasis2 15" xfId="513"/>
    <cellStyle name="Énfasis2 16" xfId="514"/>
    <cellStyle name="Énfasis2 2" xfId="515"/>
    <cellStyle name="Énfasis2 2 2" xfId="516"/>
    <cellStyle name="Énfasis2 3" xfId="517"/>
    <cellStyle name="Énfasis2 3 2" xfId="518"/>
    <cellStyle name="Énfasis2 4" xfId="519"/>
    <cellStyle name="Énfasis2 5" xfId="520"/>
    <cellStyle name="Énfasis2 6" xfId="521"/>
    <cellStyle name="Énfasis2 7" xfId="522"/>
    <cellStyle name="Énfasis2 8" xfId="523"/>
    <cellStyle name="Énfasis2 9" xfId="524"/>
    <cellStyle name="Énfasis3 - 20%" xfId="525"/>
    <cellStyle name="Énfasis3 - 40%" xfId="526"/>
    <cellStyle name="Énfasis3 - 60%" xfId="527"/>
    <cellStyle name="Énfasis3 10" xfId="528"/>
    <cellStyle name="Énfasis3 11" xfId="529"/>
    <cellStyle name="Énfasis3 12" xfId="530"/>
    <cellStyle name="Énfasis3 13" xfId="531"/>
    <cellStyle name="Énfasis3 14" xfId="532"/>
    <cellStyle name="Énfasis3 15" xfId="533"/>
    <cellStyle name="Énfasis3 16" xfId="534"/>
    <cellStyle name="Énfasis3 2" xfId="535"/>
    <cellStyle name="Énfasis3 2 2" xfId="536"/>
    <cellStyle name="Énfasis3 3" xfId="537"/>
    <cellStyle name="Énfasis3 3 2" xfId="538"/>
    <cellStyle name="Énfasis3 4" xfId="539"/>
    <cellStyle name="Énfasis3 5" xfId="540"/>
    <cellStyle name="Énfasis3 6" xfId="541"/>
    <cellStyle name="Énfasis3 7" xfId="542"/>
    <cellStyle name="Énfasis3 8" xfId="543"/>
    <cellStyle name="Énfasis3 9" xfId="544"/>
    <cellStyle name="Énfasis4 - 20%" xfId="545"/>
    <cellStyle name="Énfasis4 - 40%" xfId="546"/>
    <cellStyle name="Énfasis4 - 60%" xfId="547"/>
    <cellStyle name="Énfasis4 10" xfId="548"/>
    <cellStyle name="Énfasis4 11" xfId="549"/>
    <cellStyle name="Énfasis4 12" xfId="550"/>
    <cellStyle name="Énfasis4 13" xfId="551"/>
    <cellStyle name="Énfasis4 14" xfId="552"/>
    <cellStyle name="Énfasis4 15" xfId="553"/>
    <cellStyle name="Énfasis4 16" xfId="554"/>
    <cellStyle name="Énfasis4 2" xfId="555"/>
    <cellStyle name="Énfasis4 2 2" xfId="556"/>
    <cellStyle name="Énfasis4 3" xfId="557"/>
    <cellStyle name="Énfasis4 3 2" xfId="558"/>
    <cellStyle name="Énfasis4 4" xfId="559"/>
    <cellStyle name="Énfasis4 5" xfId="560"/>
    <cellStyle name="Énfasis4 6" xfId="561"/>
    <cellStyle name="Énfasis4 7" xfId="562"/>
    <cellStyle name="Énfasis4 8" xfId="563"/>
    <cellStyle name="Énfasis4 9" xfId="564"/>
    <cellStyle name="Énfasis5 - 20%" xfId="565"/>
    <cellStyle name="Énfasis5 - 40%" xfId="566"/>
    <cellStyle name="Énfasis5 - 60%" xfId="567"/>
    <cellStyle name="Énfasis5 10" xfId="568"/>
    <cellStyle name="Énfasis5 11" xfId="569"/>
    <cellStyle name="Énfasis5 12" xfId="570"/>
    <cellStyle name="Énfasis5 13" xfId="571"/>
    <cellStyle name="Énfasis5 14" xfId="572"/>
    <cellStyle name="Énfasis5 15" xfId="573"/>
    <cellStyle name="Énfasis5 16" xfId="574"/>
    <cellStyle name="Énfasis5 2" xfId="575"/>
    <cellStyle name="Énfasis5 2 2" xfId="576"/>
    <cellStyle name="Énfasis5 3" xfId="577"/>
    <cellStyle name="Énfasis5 3 2" xfId="578"/>
    <cellStyle name="Énfasis5 4" xfId="579"/>
    <cellStyle name="Énfasis5 5" xfId="580"/>
    <cellStyle name="Énfasis5 6" xfId="581"/>
    <cellStyle name="Énfasis5 7" xfId="582"/>
    <cellStyle name="Énfasis5 8" xfId="583"/>
    <cellStyle name="Énfasis5 9" xfId="584"/>
    <cellStyle name="Énfasis6 - 20%" xfId="585"/>
    <cellStyle name="Énfasis6 - 40%" xfId="586"/>
    <cellStyle name="Énfasis6 - 60%" xfId="587"/>
    <cellStyle name="Énfasis6 10" xfId="588"/>
    <cellStyle name="Énfasis6 11" xfId="589"/>
    <cellStyle name="Énfasis6 12" xfId="590"/>
    <cellStyle name="Énfasis6 13" xfId="591"/>
    <cellStyle name="Énfasis6 14" xfId="592"/>
    <cellStyle name="Énfasis6 15" xfId="593"/>
    <cellStyle name="Énfasis6 16" xfId="594"/>
    <cellStyle name="Énfasis6 2" xfId="595"/>
    <cellStyle name="Énfasis6 2 2" xfId="596"/>
    <cellStyle name="Énfasis6 3" xfId="597"/>
    <cellStyle name="Énfasis6 3 2" xfId="598"/>
    <cellStyle name="Énfasis6 4" xfId="599"/>
    <cellStyle name="Énfasis6 5" xfId="600"/>
    <cellStyle name="Énfasis6 6" xfId="601"/>
    <cellStyle name="Énfasis6 7" xfId="602"/>
    <cellStyle name="Énfasis6 8" xfId="603"/>
    <cellStyle name="Énfasis6 9" xfId="604"/>
    <cellStyle name="Entrada 2" xfId="605"/>
    <cellStyle name="Entrada 2 2" xfId="606"/>
    <cellStyle name="Entrada 2 2 2" xfId="1539"/>
    <cellStyle name="Entrada 2 3" xfId="1538"/>
    <cellStyle name="Entrada 3" xfId="607"/>
    <cellStyle name="Entrada 3 2" xfId="608"/>
    <cellStyle name="Entrada 3 2 2" xfId="1541"/>
    <cellStyle name="Entrada 3 3" xfId="1540"/>
    <cellStyle name="Entrada 4" xfId="609"/>
    <cellStyle name="Entrada 4 2" xfId="1542"/>
    <cellStyle name="Euro" xfId="610"/>
    <cellStyle name="Euro 2" xfId="611"/>
    <cellStyle name="Euro 2 2" xfId="612"/>
    <cellStyle name="Euro 2 2 2" xfId="613"/>
    <cellStyle name="Euro 2 2 3" xfId="614"/>
    <cellStyle name="Euro 2 3" xfId="615"/>
    <cellStyle name="Euro 2 3 2" xfId="616"/>
    <cellStyle name="Euro 2 4" xfId="617"/>
    <cellStyle name="Euro 2 5" xfId="618"/>
    <cellStyle name="Euro 3" xfId="619"/>
    <cellStyle name="Euro 3 2" xfId="620"/>
    <cellStyle name="Euro 3 3" xfId="621"/>
    <cellStyle name="Euro 4" xfId="622"/>
    <cellStyle name="Euro 4 2" xfId="623"/>
    <cellStyle name="Euro 5" xfId="624"/>
    <cellStyle name="Euro 6" xfId="625"/>
    <cellStyle name="Euro 7" xfId="626"/>
    <cellStyle name="Euro 8" xfId="1450"/>
    <cellStyle name="Euro_act 102-11 al 46-11 REH OT, EST BOM, PT Y DR AC CASTILLO LOS CAFES" xfId="627"/>
    <cellStyle name="Excel Built-in Comma" xfId="628"/>
    <cellStyle name="Excel Built-in Normal" xfId="629"/>
    <cellStyle name="Explanatory Text" xfId="630"/>
    <cellStyle name="Explanatory Text 2" xfId="631"/>
    <cellStyle name="F2" xfId="632"/>
    <cellStyle name="F2 2" xfId="633"/>
    <cellStyle name="F2_act 102-11 al 46-11 REH OT, EST BOM, PT Y DR AC CASTILLO LOS CAFES" xfId="634"/>
    <cellStyle name="F3" xfId="635"/>
    <cellStyle name="F3 2" xfId="636"/>
    <cellStyle name="F3_act 102-11 al 46-11 REH OT, EST BOM, PT Y DR AC CASTILLO LOS CAFES" xfId="637"/>
    <cellStyle name="F4" xfId="638"/>
    <cellStyle name="F4 2" xfId="639"/>
    <cellStyle name="F4_act 102-11 al 46-11 REH OT, EST BOM, PT Y DR AC CASTILLO LOS CAFES" xfId="640"/>
    <cellStyle name="F5" xfId="641"/>
    <cellStyle name="F5 2" xfId="642"/>
    <cellStyle name="F5_act 102-11 al 46-11 REH OT, EST BOM, PT Y DR AC CASTILLO LOS CAFES" xfId="643"/>
    <cellStyle name="F6" xfId="644"/>
    <cellStyle name="F6 2" xfId="645"/>
    <cellStyle name="F6_act 102-11 al 46-11 REH OT, EST BOM, PT Y DR AC CASTILLO LOS CAFES" xfId="646"/>
    <cellStyle name="F7" xfId="647"/>
    <cellStyle name="F7 2" xfId="648"/>
    <cellStyle name="F7_act 102-11 al 46-11 REH OT, EST BOM, PT Y DR AC CASTILLO LOS CAFES" xfId="649"/>
    <cellStyle name="F8" xfId="650"/>
    <cellStyle name="F8 2" xfId="651"/>
    <cellStyle name="F8_act 102-11 al 46-11 REH OT, EST BOM, PT Y DR AC CASTILLO LOS CAFES" xfId="652"/>
    <cellStyle name="Followed Hyperlink" xfId="653"/>
    <cellStyle name="Good" xfId="654"/>
    <cellStyle name="Good 2" xfId="655"/>
    <cellStyle name="Good 2 2" xfId="656"/>
    <cellStyle name="Good 3" xfId="657"/>
    <cellStyle name="Good 4" xfId="658"/>
    <cellStyle name="Heading 1" xfId="659"/>
    <cellStyle name="Heading 1 2" xfId="660"/>
    <cellStyle name="Heading 1 2 2" xfId="661"/>
    <cellStyle name="Heading 1 3" xfId="662"/>
    <cellStyle name="Heading 1 4" xfId="663"/>
    <cellStyle name="Heading 1 5" xfId="664"/>
    <cellStyle name="Heading 2" xfId="665"/>
    <cellStyle name="Heading 2 2" xfId="666"/>
    <cellStyle name="Heading 2 2 2" xfId="667"/>
    <cellStyle name="Heading 2 3" xfId="668"/>
    <cellStyle name="Heading 2 4" xfId="669"/>
    <cellStyle name="Heading 2 5" xfId="670"/>
    <cellStyle name="Heading 3" xfId="671"/>
    <cellStyle name="Heading 3 2" xfId="672"/>
    <cellStyle name="Heading 3 2 2" xfId="673"/>
    <cellStyle name="Heading 3 3" xfId="674"/>
    <cellStyle name="Heading 3 4" xfId="675"/>
    <cellStyle name="Heading 3 5" xfId="676"/>
    <cellStyle name="Heading 4" xfId="677"/>
    <cellStyle name="Heading 4 2" xfId="678"/>
    <cellStyle name="Heading 4 2 2" xfId="679"/>
    <cellStyle name="Heading 4 3" xfId="680"/>
    <cellStyle name="Heading 4 4" xfId="681"/>
    <cellStyle name="Hipervínculo visitado 2" xfId="682"/>
    <cellStyle name="Hyperlink" xfId="683"/>
    <cellStyle name="Incorrecto 2" xfId="684"/>
    <cellStyle name="Incorrecto 2 2" xfId="685"/>
    <cellStyle name="Incorrecto 3" xfId="686"/>
    <cellStyle name="Incorrecto 3 2" xfId="687"/>
    <cellStyle name="Incorrecto 4" xfId="688"/>
    <cellStyle name="Input" xfId="689"/>
    <cellStyle name="Input 2" xfId="690"/>
    <cellStyle name="Input 2 2" xfId="691"/>
    <cellStyle name="Input 2 2 2" xfId="1545"/>
    <cellStyle name="Input 2 3" xfId="1544"/>
    <cellStyle name="Input 3" xfId="692"/>
    <cellStyle name="Input 3 2" xfId="1546"/>
    <cellStyle name="Input 4" xfId="693"/>
    <cellStyle name="Input 4 2" xfId="1547"/>
    <cellStyle name="Input 5" xfId="1543"/>
    <cellStyle name="Linked Cell" xfId="694"/>
    <cellStyle name="Linked Cell 2" xfId="695"/>
    <cellStyle name="Linked Cell 2 2" xfId="696"/>
    <cellStyle name="Linked Cell 2 2 2" xfId="1777"/>
    <cellStyle name="Linked Cell 2 3" xfId="1776"/>
    <cellStyle name="Linked Cell 3" xfId="697"/>
    <cellStyle name="Linked Cell 3 2" xfId="1778"/>
    <cellStyle name="Linked Cell 4" xfId="698"/>
    <cellStyle name="Linked Cell 4 2" xfId="1779"/>
    <cellStyle name="Linked Cell 5" xfId="1775"/>
    <cellStyle name="Millares" xfId="699" builtinId="3"/>
    <cellStyle name="Millares [0] 3" xfId="700"/>
    <cellStyle name="Millares [0] 5" xfId="701"/>
    <cellStyle name="Millares 10" xfId="702"/>
    <cellStyle name="Millares 10 2" xfId="703"/>
    <cellStyle name="Millares 10 2 2" xfId="704"/>
    <cellStyle name="Millares 10 2 2 2" xfId="1498"/>
    <cellStyle name="Millares 10 2 2 3" xfId="1502"/>
    <cellStyle name="Millares 10 2 3" xfId="705"/>
    <cellStyle name="Millares 10 2 4" xfId="706"/>
    <cellStyle name="Millares 10 3" xfId="707"/>
    <cellStyle name="Millares 10 3 2" xfId="1548"/>
    <cellStyle name="Millares 10 4" xfId="708"/>
    <cellStyle name="Millares 10 5" xfId="709"/>
    <cellStyle name="Millares 10 6" xfId="710"/>
    <cellStyle name="Millares 10 7" xfId="711"/>
    <cellStyle name="Millares 10 7 2" xfId="1549"/>
    <cellStyle name="Millares 10 8" xfId="1452"/>
    <cellStyle name="Millares 10 9" xfId="1753"/>
    <cellStyle name="Millares 11" xfId="712"/>
    <cellStyle name="Millares 11 2" xfId="713"/>
    <cellStyle name="Millares 11 3" xfId="714"/>
    <cellStyle name="Millares 11 4" xfId="715"/>
    <cellStyle name="Millares 11 5" xfId="716"/>
    <cellStyle name="Millares 12" xfId="717"/>
    <cellStyle name="Millares 12 2" xfId="718"/>
    <cellStyle name="Millares 12 2 2" xfId="719"/>
    <cellStyle name="Millares 12 3" xfId="720"/>
    <cellStyle name="Millares 13" xfId="721"/>
    <cellStyle name="Millares 13 2" xfId="722"/>
    <cellStyle name="Millares 13 3" xfId="723"/>
    <cellStyle name="Millares 13 4" xfId="724"/>
    <cellStyle name="Millares 14" xfId="725"/>
    <cellStyle name="Millares 14 2" xfId="1550"/>
    <cellStyle name="Millares 15" xfId="726"/>
    <cellStyle name="Millares 15 2" xfId="727"/>
    <cellStyle name="Millares 16" xfId="728"/>
    <cellStyle name="Millares 16 2" xfId="729"/>
    <cellStyle name="Millares 17" xfId="730"/>
    <cellStyle name="Millares 17 2" xfId="731"/>
    <cellStyle name="Millares 18" xfId="732"/>
    <cellStyle name="Millares 18 2" xfId="733"/>
    <cellStyle name="Millares 18 3" xfId="1551"/>
    <cellStyle name="Millares 19" xfId="734"/>
    <cellStyle name="Millares 19 2" xfId="735"/>
    <cellStyle name="Millares 2" xfId="736"/>
    <cellStyle name="Millares 2 10" xfId="737"/>
    <cellStyle name="Millares 2 11" xfId="738"/>
    <cellStyle name="Millares 2 12" xfId="739"/>
    <cellStyle name="Millares 2 13" xfId="1750"/>
    <cellStyle name="Millares 2 2" xfId="740"/>
    <cellStyle name="Millares 2 2 2" xfId="741"/>
    <cellStyle name="Millares 2 2 2 2" xfId="742"/>
    <cellStyle name="Millares 2 2 2 2 2" xfId="743"/>
    <cellStyle name="Millares 2 2 2 2 3" xfId="2029"/>
    <cellStyle name="Millares 2 2 2 3" xfId="744"/>
    <cellStyle name="Millares 2 2 2 4" xfId="745"/>
    <cellStyle name="Millares 2 2 2 5" xfId="1454"/>
    <cellStyle name="Millares 2 2 2 6" xfId="1755"/>
    <cellStyle name="Millares 2 2 3" xfId="746"/>
    <cellStyle name="Millares 2 2 3 2" xfId="747"/>
    <cellStyle name="Millares 2 2 3 3" xfId="748"/>
    <cellStyle name="Millares 2 2 3 4" xfId="749"/>
    <cellStyle name="Millares 2 2 4" xfId="750"/>
    <cellStyle name="Millares 2 3" xfId="751"/>
    <cellStyle name="Millares 2 3 2" xfId="752"/>
    <cellStyle name="Millares 2 3 2 2" xfId="753"/>
    <cellStyle name="Millares 2 3 3" xfId="754"/>
    <cellStyle name="Millares 2 3 4" xfId="755"/>
    <cellStyle name="Millares 2 3 5" xfId="756"/>
    <cellStyle name="Millares 2 3 6" xfId="757"/>
    <cellStyle name="Millares 2 3 7" xfId="758"/>
    <cellStyle name="Millares 2 4" xfId="759"/>
    <cellStyle name="Millares 2 4 2" xfId="760"/>
    <cellStyle name="Millares 2 4 2 2" xfId="761"/>
    <cellStyle name="Millares 2 4 2 3" xfId="762"/>
    <cellStyle name="Millares 2 4 3" xfId="763"/>
    <cellStyle name="Millares 2 4 4" xfId="764"/>
    <cellStyle name="Millares 2 4 5" xfId="765"/>
    <cellStyle name="Millares 2 5" xfId="766"/>
    <cellStyle name="Millares 2 5 2" xfId="767"/>
    <cellStyle name="Millares 2 5 3" xfId="768"/>
    <cellStyle name="Millares 2 5 4" xfId="769"/>
    <cellStyle name="Millares 2 6" xfId="770"/>
    <cellStyle name="Millares 2 6 2" xfId="771"/>
    <cellStyle name="Millares 2 6 2 2" xfId="1552"/>
    <cellStyle name="Millares 2 7" xfId="772"/>
    <cellStyle name="Millares 2 7 2" xfId="1553"/>
    <cellStyle name="Millares 2 8" xfId="773"/>
    <cellStyle name="Millares 2 8 2" xfId="1554"/>
    <cellStyle name="Millares 2 9" xfId="774"/>
    <cellStyle name="Millares 2 9 2" xfId="1555"/>
    <cellStyle name="Millares 2_111-12 ac neyba zona alta" xfId="775"/>
    <cellStyle name="Millares 20" xfId="776"/>
    <cellStyle name="Millares 21" xfId="777"/>
    <cellStyle name="Millares 22" xfId="778"/>
    <cellStyle name="Millares 23" xfId="779"/>
    <cellStyle name="Millares 23 2" xfId="780"/>
    <cellStyle name="Millares 23 3" xfId="1556"/>
    <cellStyle name="Millares 24" xfId="781"/>
    <cellStyle name="Millares 24 2" xfId="782"/>
    <cellStyle name="Millares 24 3" xfId="1557"/>
    <cellStyle name="Millares 25" xfId="783"/>
    <cellStyle name="Millares 25 2" xfId="784"/>
    <cellStyle name="Millares 26" xfId="785"/>
    <cellStyle name="Millares 26 2" xfId="786"/>
    <cellStyle name="Millares 26 2 2" xfId="1558"/>
    <cellStyle name="Millares 27" xfId="787"/>
    <cellStyle name="Millares 27 2" xfId="1559"/>
    <cellStyle name="Millares 28" xfId="788"/>
    <cellStyle name="Millares 29" xfId="789"/>
    <cellStyle name="Millares 3" xfId="790"/>
    <cellStyle name="Millares 3 11" xfId="791"/>
    <cellStyle name="Millares 3 2" xfId="792"/>
    <cellStyle name="Millares 3 2 2" xfId="793"/>
    <cellStyle name="Millares 3 2 2 2" xfId="794"/>
    <cellStyle name="Millares 3 2 2 2 2" xfId="795"/>
    <cellStyle name="Millares 3 2 2 3" xfId="796"/>
    <cellStyle name="Millares 3 2 2 4" xfId="797"/>
    <cellStyle name="Millares 3 2 3" xfId="798"/>
    <cellStyle name="Millares 3 2 3 2" xfId="799"/>
    <cellStyle name="Millares 3 2 3 3" xfId="800"/>
    <cellStyle name="Millares 3 2 4" xfId="801"/>
    <cellStyle name="Millares 3 2 5" xfId="802"/>
    <cellStyle name="Millares 3 2 6" xfId="803"/>
    <cellStyle name="Millares 3 2 7" xfId="804"/>
    <cellStyle name="Millares 3 2 8" xfId="1455"/>
    <cellStyle name="Millares 3 3" xfId="805"/>
    <cellStyle name="Millares 3 3 2" xfId="806"/>
    <cellStyle name="Millares 3 3 2 2" xfId="807"/>
    <cellStyle name="Millares 3 3 2 3" xfId="808"/>
    <cellStyle name="Millares 3 3 3" xfId="809"/>
    <cellStyle name="Millares 3 3 3 2" xfId="810"/>
    <cellStyle name="Millares 3 3 4" xfId="811"/>
    <cellStyle name="Millares 3 3 5" xfId="812"/>
    <cellStyle name="Millares 3 3 6" xfId="813"/>
    <cellStyle name="Millares 3 3 7" xfId="2028"/>
    <cellStyle name="Millares 3 4" xfId="814"/>
    <cellStyle name="Millares 3 4 2" xfId="815"/>
    <cellStyle name="Millares 3 4 2 2" xfId="816"/>
    <cellStyle name="Millares 3 4 2 3" xfId="1560"/>
    <cellStyle name="Millares 3 4 3" xfId="817"/>
    <cellStyle name="Millares 3 5" xfId="818"/>
    <cellStyle name="Millares 3 5 2" xfId="819"/>
    <cellStyle name="Millares 3 5 2 2" xfId="1561"/>
    <cellStyle name="Millares 3 5 3" xfId="820"/>
    <cellStyle name="Millares 3 5 3 2" xfId="1562"/>
    <cellStyle name="Millares 3 5 4" xfId="821"/>
    <cellStyle name="Millares 3 6" xfId="822"/>
    <cellStyle name="Millares 3 6 2" xfId="1563"/>
    <cellStyle name="Millares 3 7" xfId="823"/>
    <cellStyle name="Millares 3 7 2" xfId="824"/>
    <cellStyle name="Millares 3 7 3" xfId="1564"/>
    <cellStyle name="Millares 3 8" xfId="825"/>
    <cellStyle name="Millares 3 9" xfId="826"/>
    <cellStyle name="Millares 3_111-12 ac neyba zona alta" xfId="827"/>
    <cellStyle name="Millares 30" xfId="828"/>
    <cellStyle name="Millares 31" xfId="829"/>
    <cellStyle name="Millares 32" xfId="830"/>
    <cellStyle name="Millares 33" xfId="831"/>
    <cellStyle name="Millares 34" xfId="832"/>
    <cellStyle name="Millares 34 2" xfId="1565"/>
    <cellStyle name="Millares 35" xfId="833"/>
    <cellStyle name="Millares 36" xfId="834"/>
    <cellStyle name="Millares 37" xfId="835"/>
    <cellStyle name="Millares 38" xfId="836"/>
    <cellStyle name="Millares 39" xfId="837"/>
    <cellStyle name="Millares 4" xfId="838"/>
    <cellStyle name="Millares 4 2" xfId="839"/>
    <cellStyle name="Millares 4 2 2" xfId="840"/>
    <cellStyle name="Millares 4 2 2 2" xfId="841"/>
    <cellStyle name="Millares 4 2 2 3" xfId="842"/>
    <cellStyle name="Millares 4 2 3" xfId="843"/>
    <cellStyle name="Millares 4 2 4" xfId="844"/>
    <cellStyle name="Millares 4 2 5" xfId="845"/>
    <cellStyle name="Millares 4 3" xfId="846"/>
    <cellStyle name="Millares 4 3 2" xfId="847"/>
    <cellStyle name="Millares 4 3 2 2" xfId="848"/>
    <cellStyle name="Millares 4 3 3" xfId="849"/>
    <cellStyle name="Millares 4 3 4" xfId="850"/>
    <cellStyle name="Millares 4 4" xfId="851"/>
    <cellStyle name="Millares 4 4 2" xfId="852"/>
    <cellStyle name="Millares 4 5" xfId="853"/>
    <cellStyle name="Millares 4 6" xfId="854"/>
    <cellStyle name="Millares 4_Presupuesto Construccion edificio oficina gubernamentales de san juan" xfId="855"/>
    <cellStyle name="Millares 40" xfId="856"/>
    <cellStyle name="Millares 41" xfId="857"/>
    <cellStyle name="Millares 42" xfId="858"/>
    <cellStyle name="Millares 43" xfId="859"/>
    <cellStyle name="Millares 44" xfId="860"/>
    <cellStyle name="Millares 45" xfId="861"/>
    <cellStyle name="Millares 46" xfId="862"/>
    <cellStyle name="Millares 47" xfId="863"/>
    <cellStyle name="Millares 47 2" xfId="1566"/>
    <cellStyle name="Millares 48" xfId="864"/>
    <cellStyle name="Millares 48 2" xfId="1567"/>
    <cellStyle name="Millares 49" xfId="1451"/>
    <cellStyle name="Millares 5" xfId="865"/>
    <cellStyle name="Millares 5 2" xfId="866"/>
    <cellStyle name="Millares 5 2 2" xfId="867"/>
    <cellStyle name="Millares 5 2 2 2" xfId="1457"/>
    <cellStyle name="Millares 5 2 3" xfId="1456"/>
    <cellStyle name="Millares 5 2 4" xfId="1494"/>
    <cellStyle name="Millares 5 2 4 2" xfId="1736"/>
    <cellStyle name="Millares 5 2 4 2 2" xfId="2023"/>
    <cellStyle name="Millares 5 2 4 3" xfId="1901"/>
    <cellStyle name="Millares 5 3" xfId="868"/>
    <cellStyle name="Millares 5 3 2" xfId="869"/>
    <cellStyle name="Millares 5 3 2 2" xfId="2031"/>
    <cellStyle name="Millares 5 3 3" xfId="870"/>
    <cellStyle name="Millares 5 3 4" xfId="871"/>
    <cellStyle name="Millares 5 3 5" xfId="1749"/>
    <cellStyle name="Millares 5 4" xfId="872"/>
    <cellStyle name="Millares 5 5" xfId="873"/>
    <cellStyle name="Millares 5 6" xfId="874"/>
    <cellStyle name="Millares 5 7" xfId="1493"/>
    <cellStyle name="Millares 5 7 2" xfId="1735"/>
    <cellStyle name="Millares 5 7 2 2" xfId="2022"/>
    <cellStyle name="Millares 5 7 3" xfId="1900"/>
    <cellStyle name="Millares 50" xfId="1453"/>
    <cellStyle name="Millares 51" xfId="1473"/>
    <cellStyle name="Millares 52" xfId="1780"/>
    <cellStyle name="Millares 6" xfId="875"/>
    <cellStyle name="Millares 6 2" xfId="876"/>
    <cellStyle name="Millares 6 2 2" xfId="877"/>
    <cellStyle name="Millares 6 2 3" xfId="878"/>
    <cellStyle name="Millares 6 2 4" xfId="1458"/>
    <cellStyle name="Millares 6 3" xfId="879"/>
    <cellStyle name="Millares 6 4" xfId="880"/>
    <cellStyle name="Millares 6 5" xfId="881"/>
    <cellStyle name="Millares 7" xfId="882"/>
    <cellStyle name="Millares 7 2" xfId="883"/>
    <cellStyle name="Millares 7 2 10" xfId="884"/>
    <cellStyle name="Millares 7 2 2" xfId="885"/>
    <cellStyle name="Millares 7 2 2 2" xfId="886"/>
    <cellStyle name="Millares 7 2 3" xfId="887"/>
    <cellStyle name="Millares 7 2 4" xfId="888"/>
    <cellStyle name="Millares 7 2 5" xfId="889"/>
    <cellStyle name="Millares 7 2 6" xfId="890"/>
    <cellStyle name="Millares 7 2 7" xfId="891"/>
    <cellStyle name="Millares 7 2 8" xfId="892"/>
    <cellStyle name="Millares 7 2 9" xfId="893"/>
    <cellStyle name="Millares 7 3" xfId="894"/>
    <cellStyle name="Millares 7 3 2" xfId="895"/>
    <cellStyle name="Millares 7 3 3" xfId="896"/>
    <cellStyle name="Millares 7 3 4" xfId="897"/>
    <cellStyle name="Millares 7 4" xfId="898"/>
    <cellStyle name="Millares 7 6" xfId="899"/>
    <cellStyle name="Millares 8" xfId="900"/>
    <cellStyle name="Millares 8 2" xfId="901"/>
    <cellStyle name="Millares 8 2 2" xfId="902"/>
    <cellStyle name="Millares 8 2 3" xfId="903"/>
    <cellStyle name="Millares 8 2 4" xfId="904"/>
    <cellStyle name="Millares 8 3" xfId="905"/>
    <cellStyle name="Millares 8 4" xfId="906"/>
    <cellStyle name="Millares 8 5" xfId="907"/>
    <cellStyle name="Millares 8 6" xfId="1459"/>
    <cellStyle name="Millares 9" xfId="908"/>
    <cellStyle name="Millares 9 2" xfId="909"/>
    <cellStyle name="Millares 9 2 2" xfId="910"/>
    <cellStyle name="Millares 9 2 2 2" xfId="1568"/>
    <cellStyle name="Millares 9 2 3" xfId="911"/>
    <cellStyle name="Millares 9 2 4" xfId="1503"/>
    <cellStyle name="Millares 9 3" xfId="912"/>
    <cellStyle name="Millares 9 4" xfId="913"/>
    <cellStyle name="Millares_114-08 PRESUP. ADICIONALES OBRA DE TOMA RIO SOCO SAN PEDRO 2" xfId="914"/>
    <cellStyle name="Millares_ALCANTARILLADO SANITARIO - LA DESCUBIERTA -EGB" xfId="915"/>
    <cellStyle name="Millares_ALCANTARILLADO SANITARIO DE GUAYMATE REV." xfId="916"/>
    <cellStyle name="Millares_ANALISIS  ACUEDUCTO LA CUEVA DE CEVICOS" xfId="917"/>
    <cellStyle name="Millares_analisis el pino junumucú" xfId="1481"/>
    <cellStyle name="Millares_analisis el pino junumucú 3" xfId="1490"/>
    <cellStyle name="Millares_ANALISIS SANTIAGO RODRIGUEZ I" xfId="918"/>
    <cellStyle name="Millares_CUB04 F.N. AC.VILLA BAO" xfId="919"/>
    <cellStyle name="Millares_ESTACION BOMBEO" xfId="920"/>
    <cellStyle name="Millares_mejoramiento instalaciones fisicas ac. guanito, sabana alta. (version 1)" xfId="921"/>
    <cellStyle name="Millares_planta cayetano germosen" xfId="1482"/>
    <cellStyle name="Millares_PLANTA TRATAMIENTO DE TIREO CONSTANZA" xfId="1487"/>
    <cellStyle name="Millares_PRES 059-09 REHABIL. PLANTA DE TRATAMIENTO DE 80 LPS RAPIDA, AC. HATO DEL YAQUE" xfId="1500"/>
    <cellStyle name="Millares_pres. elab. 232-09 Desvio de la linea matriz del Acueducto  San Juan de la Maguana" xfId="1486"/>
    <cellStyle name="Millares_PRES. PTA. TRAT. COSTA SUR DOM., S.A. maria para ana 2" xfId="1483"/>
    <cellStyle name="Millares_PRESUPUESTO" xfId="922"/>
    <cellStyle name="Millares_rec 1#57-06  al 160-05 2da. terminacion ac. carenero, villa clara, juana vicenta y los cocos" xfId="1485"/>
    <cellStyle name="Millares_rec. 1 al 314-04 ac. mult. sabana larga-hato viejo-potroso" xfId="923"/>
    <cellStyle name="Millares_rec. 1 al 314-04 ac. mult. sabana larga-hato viejo-potroso 2" xfId="924"/>
    <cellStyle name="Millares_rec. 77-05  #1  53-05Terminacionl  acueducto de Corral Grande, Partido y Mariano Cestero" xfId="1480"/>
    <cellStyle name="Millares_rec.No.57-03 481-01 alc.sanitario del seibo red colectora y pta. trat. #2" xfId="925"/>
    <cellStyle name="Moneda [0] 2" xfId="926"/>
    <cellStyle name="Moneda 18" xfId="927"/>
    <cellStyle name="Moneda 2" xfId="928"/>
    <cellStyle name="Moneda 2 2" xfId="929"/>
    <cellStyle name="Moneda 2 2 2" xfId="930"/>
    <cellStyle name="Moneda 2 2 2 2" xfId="931"/>
    <cellStyle name="Moneda 2 2 3" xfId="932"/>
    <cellStyle name="Moneda 2 2 4" xfId="933"/>
    <cellStyle name="Moneda 2 2 5" xfId="934"/>
    <cellStyle name="Moneda 2 3" xfId="935"/>
    <cellStyle name="Moneda 2 3 2" xfId="936"/>
    <cellStyle name="Moneda 2 4" xfId="937"/>
    <cellStyle name="Moneda 2 4 2" xfId="938"/>
    <cellStyle name="Moneda 2 5" xfId="939"/>
    <cellStyle name="Moneda 2 5 2" xfId="1569"/>
    <cellStyle name="Moneda 2 6" xfId="940"/>
    <cellStyle name="Moneda 2 6 2" xfId="1570"/>
    <cellStyle name="Moneda 2 7" xfId="941"/>
    <cellStyle name="Moneda 2 7 2" xfId="1571"/>
    <cellStyle name="Moneda 2 8" xfId="942"/>
    <cellStyle name="Moneda 2_ANALISIS COSTOS PORTICOS GRAN TECHO" xfId="943"/>
    <cellStyle name="Moneda 3" xfId="944"/>
    <cellStyle name="Moneda 3 2" xfId="945"/>
    <cellStyle name="Moneda 3 3" xfId="946"/>
    <cellStyle name="Moneda 3 4" xfId="947"/>
    <cellStyle name="Moneda 3 5" xfId="1460"/>
    <cellStyle name="Moneda 4" xfId="948"/>
    <cellStyle name="Moneda 4 2" xfId="949"/>
    <cellStyle name="Moneda 4 3" xfId="950"/>
    <cellStyle name="Moneda 5" xfId="951"/>
    <cellStyle name="Moneda 5 2" xfId="952"/>
    <cellStyle name="Moneda 5 3" xfId="953"/>
    <cellStyle name="Moneda 6" xfId="954"/>
    <cellStyle name="Moneda 6 2" xfId="955"/>
    <cellStyle name="Moneda 6 3" xfId="956"/>
    <cellStyle name="Moneda 7" xfId="957"/>
    <cellStyle name="Moneda 7 2" xfId="958"/>
    <cellStyle name="Moneda 8" xfId="959"/>
    <cellStyle name="Moneda 8 2" xfId="1572"/>
    <cellStyle name="Neutral 2" xfId="960"/>
    <cellStyle name="Neutral 2 2" xfId="961"/>
    <cellStyle name="Neutral 2 3" xfId="962"/>
    <cellStyle name="Neutral 3" xfId="963"/>
    <cellStyle name="Neutral 3 2" xfId="964"/>
    <cellStyle name="Neutral 4" xfId="965"/>
    <cellStyle name="Neutral 4 2" xfId="966"/>
    <cellStyle name="No-definido" xfId="967"/>
    <cellStyle name="No-definido 2" xfId="968"/>
    <cellStyle name="Normal" xfId="0" builtinId="0"/>
    <cellStyle name="Normal - Style1" xfId="969"/>
    <cellStyle name="Normal 10" xfId="970"/>
    <cellStyle name="Normal 10 2" xfId="971"/>
    <cellStyle name="Normal 10 2 2" xfId="972"/>
    <cellStyle name="Normal 10 2 3" xfId="973"/>
    <cellStyle name="Normal 10 2 4" xfId="1751"/>
    <cellStyle name="Normal 10 3" xfId="974"/>
    <cellStyle name="Normal 10 4" xfId="975"/>
    <cellStyle name="Normal 10 5" xfId="976"/>
    <cellStyle name="Normal 10 6" xfId="977"/>
    <cellStyle name="Normal 10 7" xfId="1461"/>
    <cellStyle name="Normal 10 7 2" xfId="1734"/>
    <cellStyle name="Normal 10 7 2 2" xfId="2021"/>
    <cellStyle name="Normal 10 7 3" xfId="1899"/>
    <cellStyle name="Normal 11" xfId="978"/>
    <cellStyle name="Normal 11 2" xfId="979"/>
    <cellStyle name="Normal 11 3" xfId="980"/>
    <cellStyle name="Normal 12" xfId="981"/>
    <cellStyle name="Normal 12 2" xfId="982"/>
    <cellStyle name="Normal 12 2 2" xfId="983"/>
    <cellStyle name="Normal 12 2 2 2" xfId="1573"/>
    <cellStyle name="Normal 12 2 2 2 2" xfId="1904"/>
    <cellStyle name="Normal 12 2 2 3" xfId="1781"/>
    <cellStyle name="Normal 12 2 3" xfId="984"/>
    <cellStyle name="Normal 12 2 3 2" xfId="1574"/>
    <cellStyle name="Normal 12 2 3 2 2" xfId="1905"/>
    <cellStyle name="Normal 12 2 3 3" xfId="1782"/>
    <cellStyle name="Normal 12 2 4" xfId="985"/>
    <cellStyle name="Normal 12 3" xfId="986"/>
    <cellStyle name="Normal 12 3 2" xfId="987"/>
    <cellStyle name="Normal 12 3 2 2" xfId="1575"/>
    <cellStyle name="Normal 12 3 2 2 2" xfId="1906"/>
    <cellStyle name="Normal 12 3 2 3" xfId="1783"/>
    <cellStyle name="Normal 12 4" xfId="988"/>
    <cellStyle name="Normal 12 5" xfId="989"/>
    <cellStyle name="Normal 12 6" xfId="990"/>
    <cellStyle name="Normal 12 6 2" xfId="1576"/>
    <cellStyle name="Normal 12 6 2 2" xfId="1907"/>
    <cellStyle name="Normal 12 6 3" xfId="1784"/>
    <cellStyle name="Normal 13" xfId="991"/>
    <cellStyle name="Normal 13 2" xfId="992"/>
    <cellStyle name="Normal 13 2 2" xfId="993"/>
    <cellStyle name="Normal 13 2 2 2" xfId="994"/>
    <cellStyle name="Normal 13 2 2 2 2" xfId="1577"/>
    <cellStyle name="Normal 13 2 2 2 2 2" xfId="1908"/>
    <cellStyle name="Normal 13 2 2 2 3" xfId="1785"/>
    <cellStyle name="Normal 13 2 3" xfId="995"/>
    <cellStyle name="Normal 13 2 3 2" xfId="1578"/>
    <cellStyle name="Normal 13 2 3 2 2" xfId="1909"/>
    <cellStyle name="Normal 13 2 3 3" xfId="1786"/>
    <cellStyle name="Normal 13 2 4" xfId="1752"/>
    <cellStyle name="Normal 13 3" xfId="996"/>
    <cellStyle name="Normal 13 3 2" xfId="997"/>
    <cellStyle name="Normal 13 3 2 2" xfId="1580"/>
    <cellStyle name="Normal 13 3 2 2 2" xfId="1911"/>
    <cellStyle name="Normal 13 3 2 3" xfId="1788"/>
    <cellStyle name="Normal 13 3 3" xfId="1579"/>
    <cellStyle name="Normal 13 3 3 2" xfId="1910"/>
    <cellStyle name="Normal 13 3 4" xfId="1787"/>
    <cellStyle name="Normal 13 4" xfId="998"/>
    <cellStyle name="Normal 13 4 2" xfId="1581"/>
    <cellStyle name="Normal 13 4 2 2" xfId="1912"/>
    <cellStyle name="Normal 13 4 3" xfId="1789"/>
    <cellStyle name="Normal 13 5" xfId="999"/>
    <cellStyle name="Normal 13 5 2" xfId="1582"/>
    <cellStyle name="Normal 13 5 2 2" xfId="1913"/>
    <cellStyle name="Normal 13 5 3" xfId="1790"/>
    <cellStyle name="Normal 13 6" xfId="1000"/>
    <cellStyle name="Normal 13 6 2" xfId="1583"/>
    <cellStyle name="Normal 13 6 2 2" xfId="1914"/>
    <cellStyle name="Normal 13 6 3" xfId="1791"/>
    <cellStyle name="Normal 13 7" xfId="1001"/>
    <cellStyle name="Normal 13 7 2" xfId="1584"/>
    <cellStyle name="Normal 13 7 2 2" xfId="1915"/>
    <cellStyle name="Normal 13 7 3" xfId="1792"/>
    <cellStyle name="Normal 13 8" xfId="1002"/>
    <cellStyle name="Normal 13 9" xfId="1003"/>
    <cellStyle name="Normal 13 9 2" xfId="1585"/>
    <cellStyle name="Normal 13 9 2 2" xfId="1916"/>
    <cellStyle name="Normal 13 9 3" xfId="1793"/>
    <cellStyle name="Normal 14" xfId="1004"/>
    <cellStyle name="Normal 14 2" xfId="1005"/>
    <cellStyle name="Normal 14 2 2" xfId="1006"/>
    <cellStyle name="Normal 14 2 2 2" xfId="1007"/>
    <cellStyle name="Normal 14 2 2 2 2" xfId="1586"/>
    <cellStyle name="Normal 14 2 2 2 2 2" xfId="1917"/>
    <cellStyle name="Normal 14 2 2 2 3" xfId="1794"/>
    <cellStyle name="Normal 14 2 3" xfId="1008"/>
    <cellStyle name="Normal 14 2 3 2" xfId="1587"/>
    <cellStyle name="Normal 14 2 3 2 2" xfId="1918"/>
    <cellStyle name="Normal 14 2 3 3" xfId="1795"/>
    <cellStyle name="Normal 14 3" xfId="1009"/>
    <cellStyle name="Normal 14 3 2" xfId="1010"/>
    <cellStyle name="Normal 14 3 2 2" xfId="1589"/>
    <cellStyle name="Normal 14 3 2 2 2" xfId="1920"/>
    <cellStyle name="Normal 14 3 2 3" xfId="1797"/>
    <cellStyle name="Normal 14 3 3" xfId="1588"/>
    <cellStyle name="Normal 14 3 3 2" xfId="1919"/>
    <cellStyle name="Normal 14 3 4" xfId="1796"/>
    <cellStyle name="Normal 14 4" xfId="1011"/>
    <cellStyle name="Normal 14 4 2" xfId="1590"/>
    <cellStyle name="Normal 14 4 2 2" xfId="1921"/>
    <cellStyle name="Normal 14 4 3" xfId="1798"/>
    <cellStyle name="Normal 14 5" xfId="1012"/>
    <cellStyle name="Normal 14 5 2" xfId="1591"/>
    <cellStyle name="Normal 14 5 2 2" xfId="1922"/>
    <cellStyle name="Normal 14 5 3" xfId="1799"/>
    <cellStyle name="Normal 14 6" xfId="1013"/>
    <cellStyle name="Normal 14 6 2" xfId="1592"/>
    <cellStyle name="Normal 14 6 2 2" xfId="1923"/>
    <cellStyle name="Normal 14 6 3" xfId="1800"/>
    <cellStyle name="Normal 14 7" xfId="1014"/>
    <cellStyle name="Normal 14 8" xfId="1015"/>
    <cellStyle name="Normal 14 8 2" xfId="1593"/>
    <cellStyle name="Normal 14 8 2 2" xfId="1924"/>
    <cellStyle name="Normal 14 8 3" xfId="1801"/>
    <cellStyle name="Normal 15" xfId="1016"/>
    <cellStyle name="Normal 15 2" xfId="1017"/>
    <cellStyle name="Normal 15 2 2" xfId="1018"/>
    <cellStyle name="Normal 15 2 2 2" xfId="1595"/>
    <cellStyle name="Normal 15 2 2 2 2" xfId="1926"/>
    <cellStyle name="Normal 15 2 2 3" xfId="1803"/>
    <cellStyle name="Normal 15 2 3" xfId="1019"/>
    <cellStyle name="Normal 15 2 3 2" xfId="1596"/>
    <cellStyle name="Normal 15 2 3 2 2" xfId="1927"/>
    <cellStyle name="Normal 15 2 3 3" xfId="1804"/>
    <cellStyle name="Normal 15 2 4" xfId="1501"/>
    <cellStyle name="Normal 15 3" xfId="1020"/>
    <cellStyle name="Normal 15 3 2" xfId="1597"/>
    <cellStyle name="Normal 15 3 2 2" xfId="1928"/>
    <cellStyle name="Normal 15 3 3" xfId="1805"/>
    <cellStyle name="Normal 15 4" xfId="1021"/>
    <cellStyle name="Normal 15 4 2" xfId="1598"/>
    <cellStyle name="Normal 15 4 2 2" xfId="1929"/>
    <cellStyle name="Normal 15 4 3" xfId="1806"/>
    <cellStyle name="Normal 15 5" xfId="1022"/>
    <cellStyle name="Normal 15 6" xfId="1594"/>
    <cellStyle name="Normal 15 6 2" xfId="1925"/>
    <cellStyle name="Normal 15 7" xfId="1802"/>
    <cellStyle name="Normal 16" xfId="1023"/>
    <cellStyle name="Normal 16 2" xfId="1024"/>
    <cellStyle name="Normal 16 2 2" xfId="1025"/>
    <cellStyle name="Normal 16 2 2 2" xfId="1599"/>
    <cellStyle name="Normal 16 2 2 2 2" xfId="1930"/>
    <cellStyle name="Normal 16 2 2 3" xfId="1807"/>
    <cellStyle name="Normal 16 2 3" xfId="1026"/>
    <cellStyle name="Normal 16 2 3 2" xfId="1600"/>
    <cellStyle name="Normal 16 2 3 2 2" xfId="1931"/>
    <cellStyle name="Normal 16 2 3 3" xfId="1808"/>
    <cellStyle name="Normal 16 3" xfId="1027"/>
    <cellStyle name="Normal 16 3 2" xfId="1028"/>
    <cellStyle name="Normal 16 3 2 2" xfId="1601"/>
    <cellStyle name="Normal 16 3 2 2 2" xfId="1932"/>
    <cellStyle name="Normal 16 3 2 3" xfId="1809"/>
    <cellStyle name="Normal 16 4" xfId="1029"/>
    <cellStyle name="Normal 16 4 2" xfId="1602"/>
    <cellStyle name="Normal 16 4 2 2" xfId="1933"/>
    <cellStyle name="Normal 16 4 3" xfId="1810"/>
    <cellStyle name="Normal 17" xfId="1030"/>
    <cellStyle name="Normal 17 2" xfId="1031"/>
    <cellStyle name="Normal 17 2 2" xfId="1032"/>
    <cellStyle name="Normal 17 2 2 2" xfId="1603"/>
    <cellStyle name="Normal 17 2 2 2 2" xfId="1934"/>
    <cellStyle name="Normal 17 2 2 3" xfId="1811"/>
    <cellStyle name="Normal 17 2 3" xfId="1033"/>
    <cellStyle name="Normal 17 2 3 2" xfId="1604"/>
    <cellStyle name="Normal 17 2 3 2 2" xfId="1935"/>
    <cellStyle name="Normal 17 2 3 3" xfId="1812"/>
    <cellStyle name="Normal 17 3" xfId="1034"/>
    <cellStyle name="Normal 17 3 2" xfId="1035"/>
    <cellStyle name="Normal 17 3 2 2" xfId="1605"/>
    <cellStyle name="Normal 17 3 2 2 2" xfId="1936"/>
    <cellStyle name="Normal 17 3 2 3" xfId="1813"/>
    <cellStyle name="Normal 17 4" xfId="1036"/>
    <cellStyle name="Normal 17 4 2" xfId="1606"/>
    <cellStyle name="Normal 17 4 2 2" xfId="1937"/>
    <cellStyle name="Normal 17 4 3" xfId="1814"/>
    <cellStyle name="Normal 18" xfId="1037"/>
    <cellStyle name="Normal 18 2" xfId="1038"/>
    <cellStyle name="Normal 18 2 2" xfId="1039"/>
    <cellStyle name="Normal 18 3" xfId="1040"/>
    <cellStyle name="Normal 18 4" xfId="1041"/>
    <cellStyle name="Normal 19" xfId="1042"/>
    <cellStyle name="Normal 19 2" xfId="1043"/>
    <cellStyle name="Normal 19 2 2" xfId="1044"/>
    <cellStyle name="Normal 19 3" xfId="1045"/>
    <cellStyle name="Normal 19 3 2" xfId="1608"/>
    <cellStyle name="Normal 19 3 2 2" xfId="1939"/>
    <cellStyle name="Normal 19 3 3" xfId="1816"/>
    <cellStyle name="Normal 19 4" xfId="1046"/>
    <cellStyle name="Normal 19 5" xfId="1607"/>
    <cellStyle name="Normal 19 5 2" xfId="1938"/>
    <cellStyle name="Normal 19 6" xfId="1815"/>
    <cellStyle name="Normal 2" xfId="1047"/>
    <cellStyle name="Normal 2 10" xfId="1048"/>
    <cellStyle name="Normal 2 11" xfId="1049"/>
    <cellStyle name="Normal 2 12" xfId="1462"/>
    <cellStyle name="Normal 2 2" xfId="1050"/>
    <cellStyle name="Normal 2 2 2" xfId="1051"/>
    <cellStyle name="Normal 2 2 2 2" xfId="1052"/>
    <cellStyle name="Normal 2 2 2 2 2" xfId="1609"/>
    <cellStyle name="Normal 2 2 2 2 2 2" xfId="1940"/>
    <cellStyle name="Normal 2 2 2 2 3" xfId="1817"/>
    <cellStyle name="Normal 2 2 2 3 2" xfId="2030"/>
    <cellStyle name="Normal 2 2 3" xfId="1053"/>
    <cellStyle name="Normal 2 2 3 2" xfId="1054"/>
    <cellStyle name="Normal 2 2 4" xfId="1055"/>
    <cellStyle name="Normal 2 2 4 2" xfId="1056"/>
    <cellStyle name="Normal 2 2 4 2 2" xfId="1611"/>
    <cellStyle name="Normal 2 2 4 2 2 2" xfId="1942"/>
    <cellStyle name="Normal 2 2 4 2 3" xfId="1819"/>
    <cellStyle name="Normal 2 2 4 3" xfId="1610"/>
    <cellStyle name="Normal 2 2 4 3 2" xfId="1941"/>
    <cellStyle name="Normal 2 2 4 4" xfId="1818"/>
    <cellStyle name="Normal 2 2 5" xfId="1057"/>
    <cellStyle name="Normal 2 2 6" xfId="1058"/>
    <cellStyle name="Normal 2 2_Copia de AC. LINEA NOROESTE trabajo de inocencio" xfId="1059"/>
    <cellStyle name="Normal 2 3" xfId="1060"/>
    <cellStyle name="Normal 2 3 2" xfId="1061"/>
    <cellStyle name="Normal 2 3 2 2" xfId="2027"/>
    <cellStyle name="Normal 2 3 3" xfId="1062"/>
    <cellStyle name="Normal 2 3 4" xfId="1063"/>
    <cellStyle name="Normal 2 3 5" xfId="1064"/>
    <cellStyle name="Normal 2 4" xfId="1065"/>
    <cellStyle name="Normal 2 4 2" xfId="1066"/>
    <cellStyle name="Normal 2 4 2 2" xfId="1067"/>
    <cellStyle name="Normal 2 4 2 3" xfId="1612"/>
    <cellStyle name="Normal 2 4 2 3 2" xfId="1943"/>
    <cellStyle name="Normal 2 4 2 4" xfId="1820"/>
    <cellStyle name="Normal 2 4 3" xfId="1068"/>
    <cellStyle name="Normal 2 4 3 2" xfId="1069"/>
    <cellStyle name="Normal 2 4 3 2 2" xfId="1614"/>
    <cellStyle name="Normal 2 4 3 3" xfId="1613"/>
    <cellStyle name="Normal 2 4 3 3 2" xfId="1944"/>
    <cellStyle name="Normal 2 4 3 4" xfId="1821"/>
    <cellStyle name="Normal 2 4 4" xfId="1070"/>
    <cellStyle name="Normal 2 4 4 2" xfId="1615"/>
    <cellStyle name="Normal 2 4 5" xfId="1071"/>
    <cellStyle name="Normal 2 5" xfId="1072"/>
    <cellStyle name="Normal 2 5 2" xfId="1073"/>
    <cellStyle name="Normal 2 5 2 2" xfId="1616"/>
    <cellStyle name="Normal 2 5 2 2 2" xfId="1945"/>
    <cellStyle name="Normal 2 5 2 3" xfId="1822"/>
    <cellStyle name="Normal 2 6" xfId="1074"/>
    <cellStyle name="Normal 2 6 2" xfId="1617"/>
    <cellStyle name="Normal 2 6 2 2" xfId="1946"/>
    <cellStyle name="Normal 2 6 3" xfId="1823"/>
    <cellStyle name="Normal 2 7" xfId="1075"/>
    <cellStyle name="Normal 2 7 2" xfId="1618"/>
    <cellStyle name="Normal 2 7 2 2" xfId="1947"/>
    <cellStyle name="Normal 2 7 3" xfId="1824"/>
    <cellStyle name="Normal 2 8" xfId="1076"/>
    <cellStyle name="Normal 2 8 2" xfId="1619"/>
    <cellStyle name="Normal 2 8 2 2" xfId="1948"/>
    <cellStyle name="Normal 2 8 3" xfId="1825"/>
    <cellStyle name="Normal 2 9" xfId="1077"/>
    <cellStyle name="Normal 2 9 2" xfId="1620"/>
    <cellStyle name="Normal 2 9 2 2" xfId="1949"/>
    <cellStyle name="Normal 2 9 3" xfId="1826"/>
    <cellStyle name="Normal 2_07-09 presupu..." xfId="1078"/>
    <cellStyle name="Normal 20" xfId="1079"/>
    <cellStyle name="Normal 20 2" xfId="1080"/>
    <cellStyle name="Normal 20 2 2" xfId="1491"/>
    <cellStyle name="Normal 20 2 3" xfId="1622"/>
    <cellStyle name="Normal 20 2 3 2" xfId="1951"/>
    <cellStyle name="Normal 20 2 4" xfId="1828"/>
    <cellStyle name="Normal 20 3" xfId="1081"/>
    <cellStyle name="Normal 20 4" xfId="1082"/>
    <cellStyle name="Normal 20 4 2" xfId="1623"/>
    <cellStyle name="Normal 20 4 2 2" xfId="1952"/>
    <cellStyle name="Normal 20 4 3" xfId="1829"/>
    <cellStyle name="Normal 20 5" xfId="1083"/>
    <cellStyle name="Normal 20 6" xfId="1621"/>
    <cellStyle name="Normal 20 6 2" xfId="1950"/>
    <cellStyle name="Normal 20 7" xfId="1827"/>
    <cellStyle name="Normal 21" xfId="1084"/>
    <cellStyle name="Normal 21 2" xfId="1085"/>
    <cellStyle name="Normal 21 3" xfId="1086"/>
    <cellStyle name="Normal 21 4" xfId="1087"/>
    <cellStyle name="Normal 22" xfId="1088"/>
    <cellStyle name="Normal 22 2" xfId="1089"/>
    <cellStyle name="Normal 22 2 2" xfId="1624"/>
    <cellStyle name="Normal 22 2 2 2" xfId="1953"/>
    <cellStyle name="Normal 22 2 3" xfId="1830"/>
    <cellStyle name="Normal 22 3" xfId="1090"/>
    <cellStyle name="Normal 23" xfId="1091"/>
    <cellStyle name="Normal 24" xfId="1092"/>
    <cellStyle name="Normal 24 2" xfId="1093"/>
    <cellStyle name="Normal 24 2 2" xfId="1625"/>
    <cellStyle name="Normal 24 2 2 2" xfId="1954"/>
    <cellStyle name="Normal 24 2 3" xfId="1831"/>
    <cellStyle name="Normal 24 3" xfId="1094"/>
    <cellStyle name="Normal 24 3 2" xfId="1626"/>
    <cellStyle name="Normal 24 3 2 2" xfId="1955"/>
    <cellStyle name="Normal 24 3 3" xfId="1832"/>
    <cellStyle name="Normal 24 4" xfId="1095"/>
    <cellStyle name="Normal 25" xfId="1096"/>
    <cellStyle name="Normal 25 2" xfId="1097"/>
    <cellStyle name="Normal 25 3" xfId="1627"/>
    <cellStyle name="Normal 25 3 2" xfId="1956"/>
    <cellStyle name="Normal 25 4" xfId="1833"/>
    <cellStyle name="Normal 26" xfId="1098"/>
    <cellStyle name="Normal 26 2" xfId="1099"/>
    <cellStyle name="Normal 26 3" xfId="1100"/>
    <cellStyle name="Normal 26 4" xfId="1101"/>
    <cellStyle name="Normal 26 4 2" xfId="1629"/>
    <cellStyle name="Normal 26 4 2 2" xfId="1958"/>
    <cellStyle name="Normal 26 4 3" xfId="1835"/>
    <cellStyle name="Normal 26 5" xfId="1628"/>
    <cellStyle name="Normal 26 5 2" xfId="1957"/>
    <cellStyle name="Normal 26 6" xfId="1834"/>
    <cellStyle name="Normal 27" xfId="1102"/>
    <cellStyle name="Normal 27 2" xfId="1103"/>
    <cellStyle name="Normal 27 3" xfId="1104"/>
    <cellStyle name="Normal 28" xfId="1105"/>
    <cellStyle name="Normal 28 2" xfId="1106"/>
    <cellStyle name="Normal 29" xfId="1107"/>
    <cellStyle name="Normal 29 2" xfId="1108"/>
    <cellStyle name="Normal 29 2 2" xfId="1630"/>
    <cellStyle name="Normal 29 2 2 2" xfId="1959"/>
    <cellStyle name="Normal 29 2 3" xfId="1836"/>
    <cellStyle name="Normal 3" xfId="1109"/>
    <cellStyle name="Normal 3 10" xfId="1110"/>
    <cellStyle name="Normal 3 11" xfId="1111"/>
    <cellStyle name="Normal 3 12" xfId="1464"/>
    <cellStyle name="Normal 3 12 2" xfId="1499"/>
    <cellStyle name="Normal 3 13" xfId="1747"/>
    <cellStyle name="Normal 3 2" xfId="1112"/>
    <cellStyle name="Normal 3 2 2" xfId="1113"/>
    <cellStyle name="Normal 3 2 2 2" xfId="1114"/>
    <cellStyle name="Normal 3 2 2 2 2" xfId="1631"/>
    <cellStyle name="Normal 3 2 2 2 2 2" xfId="1960"/>
    <cellStyle name="Normal 3 2 2 2 3" xfId="1837"/>
    <cellStyle name="Normal 3 2 2 3" xfId="1115"/>
    <cellStyle name="Normal 3 2 2 3 2" xfId="1632"/>
    <cellStyle name="Normal 3 2 2 3 2 2" xfId="1961"/>
    <cellStyle name="Normal 3 2 2 3 3" xfId="1838"/>
    <cellStyle name="Normal 3 2 2 4" xfId="1116"/>
    <cellStyle name="Normal 3 2 2 4 2" xfId="1633"/>
    <cellStyle name="Normal 3 2 2 4 2 2" xfId="1962"/>
    <cellStyle name="Normal 3 2 2 4 3" xfId="1839"/>
    <cellStyle name="Normal 3 2 2 5" xfId="1117"/>
    <cellStyle name="Normal 3 2 2 5 2" xfId="1634"/>
    <cellStyle name="Normal 3 2 2 5 2 2" xfId="1963"/>
    <cellStyle name="Normal 3 2 2 5 3" xfId="1840"/>
    <cellStyle name="Normal 3 2 2 6" xfId="1118"/>
    <cellStyle name="Normal 3 2 3" xfId="1119"/>
    <cellStyle name="Normal 3 2 4" xfId="1120"/>
    <cellStyle name="Normal 3 2 4 2" xfId="1121"/>
    <cellStyle name="Normal 3 2 4 3" xfId="1635"/>
    <cellStyle name="Normal 3 2 4 3 2" xfId="1964"/>
    <cellStyle name="Normal 3 2 4 4" xfId="1841"/>
    <cellStyle name="Normal 3 2 5" xfId="1122"/>
    <cellStyle name="Normal 3 2 6" xfId="1123"/>
    <cellStyle name="Normal 3 2 7" xfId="1124"/>
    <cellStyle name="Normal 3 2 8" xfId="1465"/>
    <cellStyle name="Normal 3 3" xfId="1125"/>
    <cellStyle name="Normal 3 3 2" xfId="1126"/>
    <cellStyle name="Normal 3 3 2 2" xfId="1636"/>
    <cellStyle name="Normal 3 3 2 2 2" xfId="1965"/>
    <cellStyle name="Normal 3 3 2 3" xfId="1842"/>
    <cellStyle name="Normal 3 3 3" xfId="1127"/>
    <cellStyle name="Normal 3 3 4" xfId="1128"/>
    <cellStyle name="Normal 3 4" xfId="1129"/>
    <cellStyle name="Normal 3 4 2" xfId="1130"/>
    <cellStyle name="Normal 3 4 2 2" xfId="1638"/>
    <cellStyle name="Normal 3 4 2 2 2" xfId="1967"/>
    <cellStyle name="Normal 3 4 2 3" xfId="1844"/>
    <cellStyle name="Normal 3 4 3" xfId="1131"/>
    <cellStyle name="Normal 3 4 4" xfId="1637"/>
    <cellStyle name="Normal 3 4 4 2" xfId="1966"/>
    <cellStyle name="Normal 3 4 5" xfId="1843"/>
    <cellStyle name="Normal 3 5" xfId="1132"/>
    <cellStyle name="Normal 3 5 2" xfId="1639"/>
    <cellStyle name="Normal 3 5 2 2" xfId="1968"/>
    <cellStyle name="Normal 3 5 3" xfId="1845"/>
    <cellStyle name="Normal 3 6" xfId="1133"/>
    <cellStyle name="Normal 3 6 2" xfId="1640"/>
    <cellStyle name="Normal 3 6 2 2" xfId="1969"/>
    <cellStyle name="Normal 3 6 3" xfId="1846"/>
    <cellStyle name="Normal 3 7" xfId="1134"/>
    <cellStyle name="Normal 3 7 2" xfId="1641"/>
    <cellStyle name="Normal 3 7 2 2" xfId="1970"/>
    <cellStyle name="Normal 3 7 3" xfId="1847"/>
    <cellStyle name="Normal 3 8" xfId="1135"/>
    <cellStyle name="Normal 3 8 2" xfId="1642"/>
    <cellStyle name="Normal 3 8 2 2" xfId="1971"/>
    <cellStyle name="Normal 3 8 3" xfId="1848"/>
    <cellStyle name="Normal 3 9" xfId="1136"/>
    <cellStyle name="Normal 3 9 2" xfId="1643"/>
    <cellStyle name="Normal 3 9 2 2" xfId="1972"/>
    <cellStyle name="Normal 3 9 3" xfId="1849"/>
    <cellStyle name="Normal 3_PRESUPTO CALLES DEL MUNIC. DE GUERRA" xfId="1137"/>
    <cellStyle name="Normal 30" xfId="1138"/>
    <cellStyle name="Normal 30 2" xfId="1492"/>
    <cellStyle name="Normal 30 3" xfId="1644"/>
    <cellStyle name="Normal 30 3 2" xfId="1973"/>
    <cellStyle name="Normal 30 4" xfId="1850"/>
    <cellStyle name="Normal 31" xfId="1139"/>
    <cellStyle name="Normal 31 2" xfId="1140"/>
    <cellStyle name="Normal 31_correccion de averia ac.hatillo prov.hato mayor oct.2011 2" xfId="1141"/>
    <cellStyle name="Normal 31_correccion de averia ac.hatillo prov.hato mayor oct.2011 2 2" xfId="1764"/>
    <cellStyle name="Normal 32" xfId="1142"/>
    <cellStyle name="Normal 33" xfId="1143"/>
    <cellStyle name="Normal 34" xfId="1144"/>
    <cellStyle name="Normal 35" xfId="1145"/>
    <cellStyle name="Normal 36" xfId="1146"/>
    <cellStyle name="Normal 37" xfId="1147"/>
    <cellStyle name="Normal 38" xfId="1148"/>
    <cellStyle name="Normal 38 2" xfId="1645"/>
    <cellStyle name="Normal 38 2 2" xfId="1974"/>
    <cellStyle name="Normal 38 3" xfId="1851"/>
    <cellStyle name="Normal 39" xfId="1149"/>
    <cellStyle name="Normal 39 2" xfId="1646"/>
    <cellStyle name="Normal 39 2 2" xfId="1975"/>
    <cellStyle name="Normal 39 3" xfId="1852"/>
    <cellStyle name="Normal 4" xfId="1150"/>
    <cellStyle name="Normal 4 10" xfId="1151"/>
    <cellStyle name="Normal 4 10 2" xfId="1152"/>
    <cellStyle name="Normal 4 11" xfId="1153"/>
    <cellStyle name="Normal 4 12" xfId="1154"/>
    <cellStyle name="Normal 4 13" xfId="1155"/>
    <cellStyle name="Normal 4 14" xfId="1156"/>
    <cellStyle name="Normal 4 2" xfId="1157"/>
    <cellStyle name="Normal 4 2 2" xfId="1158"/>
    <cellStyle name="Normal 4 2 2 10" xfId="1647"/>
    <cellStyle name="Normal 4 2 2 10 2" xfId="1976"/>
    <cellStyle name="Normal 4 2 2 11" xfId="1853"/>
    <cellStyle name="Normal 4 2 2 2" xfId="1159"/>
    <cellStyle name="Normal 4 2 2 2 2" xfId="1160"/>
    <cellStyle name="Normal 4 2 2 2 2 2" xfId="1649"/>
    <cellStyle name="Normal 4 2 2 2 2 2 2" xfId="1978"/>
    <cellStyle name="Normal 4 2 2 2 2 3" xfId="1855"/>
    <cellStyle name="Normal 4 2 2 2 3" xfId="1161"/>
    <cellStyle name="Normal 4 2 2 2 3 2" xfId="1650"/>
    <cellStyle name="Normal 4 2 2 2 3 2 2" xfId="1979"/>
    <cellStyle name="Normal 4 2 2 2 3 3" xfId="1856"/>
    <cellStyle name="Normal 4 2 2 2 4" xfId="1162"/>
    <cellStyle name="Normal 4 2 2 2 4 2" xfId="1651"/>
    <cellStyle name="Normal 4 2 2 2 4 2 2" xfId="1980"/>
    <cellStyle name="Normal 4 2 2 2 4 3" xfId="1857"/>
    <cellStyle name="Normal 4 2 2 2 5" xfId="1163"/>
    <cellStyle name="Normal 4 2 2 2 5 2" xfId="1652"/>
    <cellStyle name="Normal 4 2 2 2 5 2 2" xfId="1981"/>
    <cellStyle name="Normal 4 2 2 2 5 3" xfId="1858"/>
    <cellStyle name="Normal 4 2 2 2 6" xfId="1164"/>
    <cellStyle name="Normal 4 2 2 2 6 2" xfId="1653"/>
    <cellStyle name="Normal 4 2 2 2 6 2 2" xfId="1982"/>
    <cellStyle name="Normal 4 2 2 2 6 3" xfId="1859"/>
    <cellStyle name="Normal 4 2 2 2 7" xfId="1165"/>
    <cellStyle name="Normal 4 2 2 2 7 2" xfId="1654"/>
    <cellStyle name="Normal 4 2 2 2 7 2 2" xfId="1983"/>
    <cellStyle name="Normal 4 2 2 2 7 3" xfId="1860"/>
    <cellStyle name="Normal 4 2 2 2 8" xfId="1648"/>
    <cellStyle name="Normal 4 2 2 2 8 2" xfId="1977"/>
    <cellStyle name="Normal 4 2 2 2 9" xfId="1854"/>
    <cellStyle name="Normal 4 2 2 3" xfId="1166"/>
    <cellStyle name="Normal 4 2 2 4" xfId="1167"/>
    <cellStyle name="Normal 4 2 2 4 2" xfId="1655"/>
    <cellStyle name="Normal 4 2 2 4 2 2" xfId="1984"/>
    <cellStyle name="Normal 4 2 2 4 3" xfId="1861"/>
    <cellStyle name="Normal 4 2 2 5" xfId="1168"/>
    <cellStyle name="Normal 4 2 2 5 2" xfId="1656"/>
    <cellStyle name="Normal 4 2 2 5 2 2" xfId="1985"/>
    <cellStyle name="Normal 4 2 2 5 3" xfId="1862"/>
    <cellStyle name="Normal 4 2 2 6" xfId="1169"/>
    <cellStyle name="Normal 4 2 2 6 2" xfId="1657"/>
    <cellStyle name="Normal 4 2 2 6 2 2" xfId="1986"/>
    <cellStyle name="Normal 4 2 2 6 3" xfId="1863"/>
    <cellStyle name="Normal 4 2 2 7" xfId="1170"/>
    <cellStyle name="Normal 4 2 2 7 2" xfId="1658"/>
    <cellStyle name="Normal 4 2 2 7 2 2" xfId="1987"/>
    <cellStyle name="Normal 4 2 2 7 3" xfId="1864"/>
    <cellStyle name="Normal 4 2 2 8" xfId="1171"/>
    <cellStyle name="Normal 4 2 2 8 2" xfId="1659"/>
    <cellStyle name="Normal 4 2 2 8 2 2" xfId="1988"/>
    <cellStyle name="Normal 4 2 2 8 3" xfId="1865"/>
    <cellStyle name="Normal 4 2 2 9" xfId="1172"/>
    <cellStyle name="Normal 4 2 2 9 2" xfId="1660"/>
    <cellStyle name="Normal 4 2 2 9 2 2" xfId="1989"/>
    <cellStyle name="Normal 4 2 2 9 3" xfId="1866"/>
    <cellStyle name="Normal 4 2 3" xfId="1173"/>
    <cellStyle name="Normal 4 2 3 2" xfId="1174"/>
    <cellStyle name="Normal 4 2 3 2 2" xfId="1661"/>
    <cellStyle name="Normal 4 2 3 2 2 2" xfId="1990"/>
    <cellStyle name="Normal 4 2 3 2 3" xfId="1867"/>
    <cellStyle name="Normal 4 2 4" xfId="1175"/>
    <cellStyle name="Normal 4 2 4 2" xfId="1662"/>
    <cellStyle name="Normal 4 2 4 2 2" xfId="1991"/>
    <cellStyle name="Normal 4 2 4 3" xfId="1868"/>
    <cellStyle name="Normal 4 3" xfId="1176"/>
    <cellStyle name="Normal 4 3 2" xfId="1177"/>
    <cellStyle name="Normal 4 3 2 2" xfId="1178"/>
    <cellStyle name="Normal 4 3 2 2 2" xfId="1179"/>
    <cellStyle name="Normal 4 3 2 2 2 2" xfId="1665"/>
    <cellStyle name="Normal 4 3 2 2 2 2 2" xfId="1994"/>
    <cellStyle name="Normal 4 3 2 2 2 3" xfId="1871"/>
    <cellStyle name="Normal 4 3 2 2 3" xfId="1664"/>
    <cellStyle name="Normal 4 3 2 2 3 2" xfId="1993"/>
    <cellStyle name="Normal 4 3 2 2 4" xfId="1870"/>
    <cellStyle name="Normal 4 3 2 3" xfId="1180"/>
    <cellStyle name="Normal 4 3 2 3 2" xfId="1666"/>
    <cellStyle name="Normal 4 3 2 3 2 2" xfId="1995"/>
    <cellStyle name="Normal 4 3 2 3 3" xfId="1872"/>
    <cellStyle name="Normal 4 3 2 4" xfId="1181"/>
    <cellStyle name="Normal 4 3 2 4 2" xfId="1667"/>
    <cellStyle name="Normal 4 3 2 4 2 2" xfId="1996"/>
    <cellStyle name="Normal 4 3 2 4 3" xfId="1873"/>
    <cellStyle name="Normal 4 3 2 5" xfId="1663"/>
    <cellStyle name="Normal 4 3 2 5 2" xfId="1992"/>
    <cellStyle name="Normal 4 3 2 6" xfId="1869"/>
    <cellStyle name="Normal 4 3 3" xfId="1182"/>
    <cellStyle name="Normal 4 3 3 2" xfId="1183"/>
    <cellStyle name="Normal 4 3 3 2 2" xfId="1668"/>
    <cellStyle name="Normal 4 3 3 2 2 2" xfId="1997"/>
    <cellStyle name="Normal 4 3 3 2 3" xfId="1874"/>
    <cellStyle name="Normal 4 3 4" xfId="1184"/>
    <cellStyle name="Normal 4 3 5" xfId="1185"/>
    <cellStyle name="Normal 4 3 5 2" xfId="1669"/>
    <cellStyle name="Normal 4 3 5 2 2" xfId="1998"/>
    <cellStyle name="Normal 4 3 5 3" xfId="1875"/>
    <cellStyle name="Normal 4 4" xfId="1186"/>
    <cellStyle name="Normal 4 4 2" xfId="1187"/>
    <cellStyle name="Normal 4 4 3" xfId="1188"/>
    <cellStyle name="Normal 4 5" xfId="1189"/>
    <cellStyle name="Normal 4 5 2" xfId="1190"/>
    <cellStyle name="Normal 4 6" xfId="1191"/>
    <cellStyle name="Normal 4 6 2" xfId="1192"/>
    <cellStyle name="Normal 4 7" xfId="1193"/>
    <cellStyle name="Normal 4 7 2" xfId="1194"/>
    <cellStyle name="Normal 4 8" xfId="1195"/>
    <cellStyle name="Normal 4 8 2" xfId="1196"/>
    <cellStyle name="Normal 4 9" xfId="1197"/>
    <cellStyle name="Normal 4 9 2" xfId="1198"/>
    <cellStyle name="Normal 4_Administration_Building_-_Lista_de_Partidas_y_Cantidades_-_(PVDC-004)_REVC mod" xfId="1199"/>
    <cellStyle name="Normal 40" xfId="1200"/>
    <cellStyle name="Normal 41" xfId="1201"/>
    <cellStyle name="Normal 42" xfId="1202"/>
    <cellStyle name="Normal 43" xfId="1203"/>
    <cellStyle name="Normal 44" xfId="1204"/>
    <cellStyle name="Normal 45" xfId="1205"/>
    <cellStyle name="Normal 46" xfId="1206"/>
    <cellStyle name="Normal 47" xfId="1207"/>
    <cellStyle name="Normal 48" xfId="1208"/>
    <cellStyle name="Normal 49" xfId="1209"/>
    <cellStyle name="Normal 5" xfId="1210"/>
    <cellStyle name="Normal 5 10" xfId="1211"/>
    <cellStyle name="Normal 5 11" xfId="1212"/>
    <cellStyle name="Normal 5 12" xfId="1213"/>
    <cellStyle name="Normal 5 13" xfId="1214"/>
    <cellStyle name="Normal 5 14" xfId="1215"/>
    <cellStyle name="Normal 5 15" xfId="1216"/>
    <cellStyle name="Normal 5 16" xfId="1217"/>
    <cellStyle name="Normal 5 2" xfId="1218"/>
    <cellStyle name="Normal 5 2 2" xfId="1219"/>
    <cellStyle name="Normal 5 2 3" xfId="1220"/>
    <cellStyle name="Normal 5 2 3 2" xfId="1670"/>
    <cellStyle name="Normal 5 2 3 2 2" xfId="1999"/>
    <cellStyle name="Normal 5 2 3 3" xfId="1876"/>
    <cellStyle name="Normal 5 3" xfId="1221"/>
    <cellStyle name="Normal 5 3 2" xfId="1222"/>
    <cellStyle name="Normal 5 3 2 2" xfId="1223"/>
    <cellStyle name="Normal 5 3 2 2 2" xfId="1671"/>
    <cellStyle name="Normal 5 3 2 2 2 2" xfId="2000"/>
    <cellStyle name="Normal 5 3 2 2 3" xfId="1877"/>
    <cellStyle name="Normal 5 3 2 3" xfId="1224"/>
    <cellStyle name="Normal 5 3 2 3 2" xfId="1672"/>
    <cellStyle name="Normal 5 3 2 3 2 2" xfId="2001"/>
    <cellStyle name="Normal 5 3 2 3 3" xfId="1878"/>
    <cellStyle name="Normal 5 3 3" xfId="1225"/>
    <cellStyle name="Normal 5 3 3 2" xfId="1226"/>
    <cellStyle name="Normal 5 3 3 2 2" xfId="1673"/>
    <cellStyle name="Normal 5 3 3 2 2 2" xfId="2002"/>
    <cellStyle name="Normal 5 3 3 2 3" xfId="1879"/>
    <cellStyle name="Normal 5 3 4" xfId="1227"/>
    <cellStyle name="Normal 5 3 4 2" xfId="1674"/>
    <cellStyle name="Normal 5 3 4 2 2" xfId="2003"/>
    <cellStyle name="Normal 5 3 4 3" xfId="1880"/>
    <cellStyle name="Normal 5 4" xfId="1228"/>
    <cellStyle name="Normal 5 4 2" xfId="1229"/>
    <cellStyle name="Normal 5 4 2 2" xfId="1675"/>
    <cellStyle name="Normal 5 4 2 2 2" xfId="2004"/>
    <cellStyle name="Normal 5 4 2 3" xfId="1881"/>
    <cellStyle name="Normal 5 4 3" xfId="1230"/>
    <cellStyle name="Normal 5 5" xfId="1231"/>
    <cellStyle name="Normal 5 6" xfId="1232"/>
    <cellStyle name="Normal 5 7" xfId="1233"/>
    <cellStyle name="Normal 5 8" xfId="1234"/>
    <cellStyle name="Normal 5 9" xfId="1235"/>
    <cellStyle name="Normal 5_Act.1 103-2011, Rehabilitacion y acondicionamiento de 2 depositos Nigua y el AC.MULT. EL CARRIL LA PARED, san cristobal" xfId="1236"/>
    <cellStyle name="Normal 50" xfId="1237"/>
    <cellStyle name="Normal 51" xfId="1238"/>
    <cellStyle name="Normal 52" xfId="1239"/>
    <cellStyle name="Normal 53" xfId="1240"/>
    <cellStyle name="Normal 54" xfId="1241"/>
    <cellStyle name="Normal 54 2" xfId="1676"/>
    <cellStyle name="Normal 54 2 2" xfId="2005"/>
    <cellStyle name="Normal 54 3" xfId="1882"/>
    <cellStyle name="Normal 55" xfId="1442"/>
    <cellStyle name="Normal 56" xfId="1444"/>
    <cellStyle name="Normal 57" xfId="1472"/>
    <cellStyle name="Normal 58" xfId="1479"/>
    <cellStyle name="Normal 59" xfId="1496"/>
    <cellStyle name="Normal 59 2" xfId="1737"/>
    <cellStyle name="Normal 59 2 2" xfId="2024"/>
    <cellStyle name="Normal 59 3" xfId="1902"/>
    <cellStyle name="Normal 6" xfId="1242"/>
    <cellStyle name="Normal 6 2" xfId="1243"/>
    <cellStyle name="Normal 6 2 2" xfId="1244"/>
    <cellStyle name="Normal 6 2 2 2" xfId="1245"/>
    <cellStyle name="Normal 6 2 2 3" xfId="1678"/>
    <cellStyle name="Normal 6 2 2 3 2" xfId="2007"/>
    <cellStyle name="Normal 6 2 2 4" xfId="1884"/>
    <cellStyle name="Normal 6 2 3" xfId="1246"/>
    <cellStyle name="Normal 6 2 4" xfId="1677"/>
    <cellStyle name="Normal 6 2 4 2" xfId="2006"/>
    <cellStyle name="Normal 6 2 5" xfId="1748"/>
    <cellStyle name="Normal 6 2 6" xfId="1883"/>
    <cellStyle name="Normal 6 3" xfId="1247"/>
    <cellStyle name="Normal 6 3 2" xfId="1248"/>
    <cellStyle name="Normal 6 3 2 2" xfId="1249"/>
    <cellStyle name="Normal 6 3 2 2 2" xfId="1680"/>
    <cellStyle name="Normal 6 3 2 2 2 2" xfId="2009"/>
    <cellStyle name="Normal 6 3 2 2 3" xfId="1886"/>
    <cellStyle name="Normal 6 3 2 3" xfId="1679"/>
    <cellStyle name="Normal 6 3 2 3 2" xfId="2008"/>
    <cellStyle name="Normal 6 3 2 4" xfId="1885"/>
    <cellStyle name="Normal 6 3 3" xfId="1250"/>
    <cellStyle name="Normal 6 3 3 2" xfId="1681"/>
    <cellStyle name="Normal 6 3 3 2 2" xfId="2010"/>
    <cellStyle name="Normal 6 3 3 3" xfId="1887"/>
    <cellStyle name="Normal 6 4" xfId="1251"/>
    <cellStyle name="Normal 6 4 2" xfId="1682"/>
    <cellStyle name="Normal 6 4 2 2" xfId="2011"/>
    <cellStyle name="Normal 6 4 3" xfId="1888"/>
    <cellStyle name="Normal 6 5" xfId="1252"/>
    <cellStyle name="Normal 6 5 2" xfId="1683"/>
    <cellStyle name="Normal 6 5 2 2" xfId="2012"/>
    <cellStyle name="Normal 6 5 3" xfId="1889"/>
    <cellStyle name="Normal 60" xfId="1497"/>
    <cellStyle name="Normal 60 2" xfId="1738"/>
    <cellStyle name="Normal 60 2 2" xfId="2025"/>
    <cellStyle name="Normal 60 3" xfId="1903"/>
    <cellStyle name="Normal 61" xfId="1504"/>
    <cellStyle name="Normal 62" xfId="1732"/>
    <cellStyle name="Normal 63" xfId="1740"/>
    <cellStyle name="Normal 64" xfId="1719"/>
    <cellStyle name="Normal 65" xfId="1739"/>
    <cellStyle name="Normal 66" xfId="1741"/>
    <cellStyle name="Normal 67" xfId="1745"/>
    <cellStyle name="Normal 68" xfId="1758"/>
    <cellStyle name="Normal 69" xfId="1746"/>
    <cellStyle name="Normal 7" xfId="1253"/>
    <cellStyle name="Normal 7 2" xfId="1254"/>
    <cellStyle name="Normal 7 2 2" xfId="1255"/>
    <cellStyle name="Normal 7 2 3" xfId="1256"/>
    <cellStyle name="Normal 7 2 4" xfId="1685"/>
    <cellStyle name="Normal 7 2 4 2" xfId="2014"/>
    <cellStyle name="Normal 7 2 5" xfId="1891"/>
    <cellStyle name="Normal 7 3" xfId="1257"/>
    <cellStyle name="Normal 7 4" xfId="1684"/>
    <cellStyle name="Normal 7 4 2" xfId="2013"/>
    <cellStyle name="Normal 7 5" xfId="1754"/>
    <cellStyle name="Normal 7 6" xfId="1890"/>
    <cellStyle name="Normal 70" xfId="1759"/>
    <cellStyle name="Normal 71" xfId="1744"/>
    <cellStyle name="Normal 72" xfId="1743"/>
    <cellStyle name="Normal 73" xfId="1760"/>
    <cellStyle name="Normal 74" xfId="1762"/>
    <cellStyle name="Normal 75" xfId="1761"/>
    <cellStyle name="Normal 76" xfId="1769"/>
    <cellStyle name="Normal 77" xfId="1768"/>
    <cellStyle name="Normal 8" xfId="1258"/>
    <cellStyle name="Normal 8 2" xfId="1259"/>
    <cellStyle name="Normal 8 2 2" xfId="1260"/>
    <cellStyle name="Normal 8 2 3" xfId="1261"/>
    <cellStyle name="Normal 8 2 4" xfId="1686"/>
    <cellStyle name="Normal 8 2 4 2" xfId="2015"/>
    <cellStyle name="Normal 8 2 5" xfId="1892"/>
    <cellStyle name="Normal 8 3" xfId="1262"/>
    <cellStyle name="Normal 8 3 2" xfId="1263"/>
    <cellStyle name="Normal 8 4" xfId="1264"/>
    <cellStyle name="Normal 8 5" xfId="1265"/>
    <cellStyle name="Normal 8 6" xfId="1266"/>
    <cellStyle name="Normal 8 7" xfId="1470"/>
    <cellStyle name="Normal 85" xfId="1267"/>
    <cellStyle name="Normal 85 2" xfId="1687"/>
    <cellStyle name="Normal 85 2 2" xfId="2016"/>
    <cellStyle name="Normal 85 3" xfId="1757"/>
    <cellStyle name="Normal 85 3 2" xfId="2026"/>
    <cellStyle name="Normal 85 4" xfId="1893"/>
    <cellStyle name="Normal 9" xfId="1268"/>
    <cellStyle name="Normal 9 2" xfId="1269"/>
    <cellStyle name="Normal 9 2 2" xfId="1270"/>
    <cellStyle name="Normal 9 2 3" xfId="1495"/>
    <cellStyle name="Normal 9 2 4" xfId="1688"/>
    <cellStyle name="Normal 9 2 4 2" xfId="2017"/>
    <cellStyle name="Normal 9 2 5" xfId="1894"/>
    <cellStyle name="Normal 9 3" xfId="1271"/>
    <cellStyle name="Normal 9 4" xfId="1272"/>
    <cellStyle name="Normal 9 4 2" xfId="1689"/>
    <cellStyle name="Normal 9 4 2 2" xfId="2018"/>
    <cellStyle name="Normal 9 4 3" xfId="1895"/>
    <cellStyle name="Normal 9 5" xfId="1273"/>
    <cellStyle name="Normal 9 6" xfId="1274"/>
    <cellStyle name="Normal 9 7" xfId="1275"/>
    <cellStyle name="Normal 9 7 2" xfId="1690"/>
    <cellStyle name="Normal 9 7 2 2" xfId="2019"/>
    <cellStyle name="Normal 9 7 3" xfId="1896"/>
    <cellStyle name="Normal_102-09 const. dique y reh. toma lateral exist. AC. EL CACIQUE 2" xfId="1276"/>
    <cellStyle name="Normal_112-09 sustitucion tramo linea impulsion 20 pvc (sdr-26)" xfId="1277"/>
    <cellStyle name="Normal_126-05 terminacion alc. sant. juan dolio y guayacanes parte b 2" xfId="1278"/>
    <cellStyle name="Normal_126-05 terminacion alc. sant. juan dolio y guayacanes parte b_REC. No.143-06 al 06-06 Ac. Las Yayas" xfId="1279"/>
    <cellStyle name="Normal_126-05 terminacion alc. sant. juan dolio y guayacanes parte b_REC. No.143-06 al 06-06 Ac. Las Yayas_ANALISIS VERJAS PERIMETRALES" xfId="1280"/>
    <cellStyle name="Normal_158-09 TERMINACION AC. LA GINA" xfId="1281"/>
    <cellStyle name="Normal_28-09 AC. PEDERNALES" xfId="1282"/>
    <cellStyle name="Normal_50-09 EXTENSION LINEA LA CUARENTA Y CABUYA" xfId="1283"/>
    <cellStyle name="Normal_502-01 alcantarillado sanitario academia de entrenamiento policial de hatilloparte b" xfId="1284"/>
    <cellStyle name="Normal_502-01 alcantarillado sanitario academia de entrenamiento policial de hatilloparte b_Copia de rec.80-10 No.2 al 148-06 Acueducto Multiple RAMONAL REVISADO-final" xfId="1285"/>
    <cellStyle name="Normal_ACUEDUCTO DE GUANITO PARTE A" xfId="1286"/>
    <cellStyle name="Normal_ACUEDUCTO DE VIAJAMA" xfId="1287"/>
    <cellStyle name="Normal_ACUEDUCTO HATO VIEJO-LOS AMACEYES PARTE A 2" xfId="1288"/>
    <cellStyle name="Normal_ACUEDUCTO HATO VIEJO-LOS AMACEYES PARTE A_ANALISIS VERJAS PERIMETRALES" xfId="1289"/>
    <cellStyle name="Normal_ACUEDUCTO LAS GUAZUMAS PARTE A" xfId="1290"/>
    <cellStyle name="Normal_ALCANTARILLADO SANITARIO DE GUAYMATE REV." xfId="1291"/>
    <cellStyle name="Normal_ANALISIS APLICACION DE ASFALTO Y VERJA COMBINADA PLANTA DE TRAT. (PARA PROYECTO VICTOR)" xfId="1489"/>
    <cellStyle name="Normal_ANALISIS EL POZO LOS LIMONES-maria" xfId="1292"/>
    <cellStyle name="Normal_ANALISIS EL PUERTO" xfId="1742"/>
    <cellStyle name="Normal_ANALISIS EL PUERTO 2" xfId="1293"/>
    <cellStyle name="Normal_ANALISIS EL PUERTO 2 2" xfId="1294"/>
    <cellStyle name="Normal_ANALISIS EL PUERTO 3" xfId="1295"/>
    <cellStyle name="Normal_ANALISIS EL PUERTO 3 2" xfId="1765"/>
    <cellStyle name="Normal_ANALISIS EL PUERTO_REC. No.143-06 al 06-06 Ac. Las Yayas" xfId="1296"/>
    <cellStyle name="Normal_Copia de Analisis PARA PRESUPUESTO OBRAS PUBLICA df enero 2004" xfId="1297"/>
    <cellStyle name="Normal_Copia de Analisis PARA PRESUPUESTO OBRAS PUBLICA df enero 2004 2" xfId="1766"/>
    <cellStyle name="Normal_Copia de Copia de Copia de Copia de 153-09 ELECTRIFICACION..." xfId="1298"/>
    <cellStyle name="Normal_Copia de Rec. no.2 294-04 (del pres. modificado)   Ac. santana catalina parte A" xfId="1299"/>
    <cellStyle name="Normal_Copia de Rec. no.2 294-04 (del pres. modificado)   Ac. santana catalina parte A_ESTACION BOMBEO" xfId="1300"/>
    <cellStyle name="Normal_CUB04 F.N. AC.VILLA BAO" xfId="1301"/>
    <cellStyle name="Normal_Hoja1" xfId="1302"/>
    <cellStyle name="Normal_PRES 059-09 REHABIL. PLANTA DE TRATAMIENTO DE 80 LPS RAPIDA, AC. HATO DEL YAQUE" xfId="1767"/>
    <cellStyle name="Normal_PRES030-2008" xfId="1303"/>
    <cellStyle name="Normal_Presupuesto" xfId="1304"/>
    <cellStyle name="Normal_rec 2 al 98-05 terminacion ac. la cueva de cevicos 2da. etapa ac. mult. guanabano- cruce de maguaca parte b y guanabano como ext. al ac. la cueva de cevico 1" xfId="1305"/>
    <cellStyle name="Normal_rec. 1 al 314-04 ac. mult. sabana larga-hato viejo-potroso" xfId="1484"/>
    <cellStyle name="Normal_Rec. No.3 118-03   Pta. de trat.A.Negras san juan de la maguana" xfId="1763"/>
    <cellStyle name="Normal_VOLUMETRIA EXTENSION 3 AC. SALCEDO" xfId="1306"/>
    <cellStyle name="Notas 2" xfId="1307"/>
    <cellStyle name="Notas 2 2" xfId="1308"/>
    <cellStyle name="Notas 2 2 2" xfId="1692"/>
    <cellStyle name="Notas 2 3" xfId="1691"/>
    <cellStyle name="Notas 3" xfId="1309"/>
    <cellStyle name="Notas 3 2" xfId="1310"/>
    <cellStyle name="Notas 3 2 2" xfId="1694"/>
    <cellStyle name="Notas 3 3" xfId="1693"/>
    <cellStyle name="Notas 4" xfId="1311"/>
    <cellStyle name="Notas 4 2" xfId="1312"/>
    <cellStyle name="Notas 4 2 2" xfId="1696"/>
    <cellStyle name="Notas 4 3" xfId="1695"/>
    <cellStyle name="Note" xfId="1313"/>
    <cellStyle name="Note 2" xfId="1314"/>
    <cellStyle name="Note 2 2" xfId="1315"/>
    <cellStyle name="Note 2 2 2" xfId="1699"/>
    <cellStyle name="Note 2 3" xfId="1698"/>
    <cellStyle name="Note 3" xfId="1316"/>
    <cellStyle name="Note 3 2" xfId="1317"/>
    <cellStyle name="Note 3 2 2" xfId="1701"/>
    <cellStyle name="Note 3 3" xfId="1700"/>
    <cellStyle name="Note 4" xfId="1318"/>
    <cellStyle name="Note 4 2" xfId="1702"/>
    <cellStyle name="Note 5" xfId="1697"/>
    <cellStyle name="Output" xfId="1319"/>
    <cellStyle name="Output 2" xfId="1320"/>
    <cellStyle name="Output 2 2" xfId="1321"/>
    <cellStyle name="Output 2 2 2" xfId="1705"/>
    <cellStyle name="Output 2 3" xfId="1704"/>
    <cellStyle name="Output 3" xfId="1322"/>
    <cellStyle name="Output 3 2" xfId="1706"/>
    <cellStyle name="Output 4" xfId="1323"/>
    <cellStyle name="Output 4 2" xfId="1707"/>
    <cellStyle name="Output 5" xfId="1324"/>
    <cellStyle name="Output 5 2" xfId="1708"/>
    <cellStyle name="Output 6" xfId="1703"/>
    <cellStyle name="Percent 2" xfId="1325"/>
    <cellStyle name="Percent 2 2" xfId="1326"/>
    <cellStyle name="Percent 2 3" xfId="1327"/>
    <cellStyle name="Percent 3" xfId="1328"/>
    <cellStyle name="Percent 3 2" xfId="1329"/>
    <cellStyle name="Percent 3 2 2" xfId="1330"/>
    <cellStyle name="Percent 3 3" xfId="1331"/>
    <cellStyle name="Percent 3 3 2" xfId="1710"/>
    <cellStyle name="Percent 3 4" xfId="1332"/>
    <cellStyle name="Percent 3 5" xfId="1709"/>
    <cellStyle name="Percent 4" xfId="1333"/>
    <cellStyle name="Porcentaje" xfId="1334" builtinId="5"/>
    <cellStyle name="Porcentaje 2" xfId="1335"/>
    <cellStyle name="Porcentaje 2 2" xfId="1336"/>
    <cellStyle name="Porcentaje 2 2 2" xfId="1711"/>
    <cellStyle name="Porcentaje 2 3" xfId="1337"/>
    <cellStyle name="Porcentaje 2 3 2" xfId="1712"/>
    <cellStyle name="Porcentaje 2 4" xfId="1338"/>
    <cellStyle name="Porcentaje 2 4 2" xfId="1339"/>
    <cellStyle name="Porcentaje 2 4 3" xfId="1713"/>
    <cellStyle name="Porcentaje 2 5" xfId="1340"/>
    <cellStyle name="Porcentaje 2 5 2" xfId="1714"/>
    <cellStyle name="Porcentaje 2 6" xfId="1341"/>
    <cellStyle name="Porcentaje 3" xfId="1342"/>
    <cellStyle name="Porcentaje 4" xfId="1343"/>
    <cellStyle name="Porcentaje 4 2" xfId="1715"/>
    <cellStyle name="Porcentaje 5" xfId="1344"/>
    <cellStyle name="Porcentaje 5 2" xfId="1716"/>
    <cellStyle name="Porcentaje 6" xfId="1345"/>
    <cellStyle name="Porcentaje 7" xfId="1897"/>
    <cellStyle name="Porcentual 10" xfId="1346"/>
    <cellStyle name="Porcentual 2" xfId="1347"/>
    <cellStyle name="Porcentual 2 2" xfId="1348"/>
    <cellStyle name="Porcentual 2 2 2" xfId="1349"/>
    <cellStyle name="Porcentual 2 3" xfId="1350"/>
    <cellStyle name="Porcentual 2 3 2" xfId="1351"/>
    <cellStyle name="Porcentual 2 3 2 2" xfId="1717"/>
    <cellStyle name="Porcentual 2 3 3" xfId="1352"/>
    <cellStyle name="Porcentual 2 3 3 2" xfId="1718"/>
    <cellStyle name="Porcentual 2 3 4" xfId="1353"/>
    <cellStyle name="Porcentual 2 4" xfId="1354"/>
    <cellStyle name="Porcentual 2 4 2" xfId="1355"/>
    <cellStyle name="Porcentual 2 5" xfId="1471"/>
    <cellStyle name="Porcentual 2_ANALISIS COSTOS PORTICOS GRAN TECHO" xfId="1356"/>
    <cellStyle name="Porcentual 3" xfId="1357"/>
    <cellStyle name="Porcentual 3 10" xfId="1358"/>
    <cellStyle name="Porcentual 3 11" xfId="1359"/>
    <cellStyle name="Porcentual 3 12" xfId="1360"/>
    <cellStyle name="Porcentual 3 13" xfId="1361"/>
    <cellStyle name="Porcentual 3 14" xfId="1362"/>
    <cellStyle name="Porcentual 3 15" xfId="1363"/>
    <cellStyle name="Porcentual 3 16" xfId="1364"/>
    <cellStyle name="Porcentual 3 2" xfId="1365"/>
    <cellStyle name="Porcentual 3 2 2" xfId="1366"/>
    <cellStyle name="Porcentual 3 3" xfId="1367"/>
    <cellStyle name="Porcentual 3 3 2" xfId="1368"/>
    <cellStyle name="Porcentual 3 4" xfId="1369"/>
    <cellStyle name="Porcentual 3 4 2" xfId="1370"/>
    <cellStyle name="Porcentual 3 5" xfId="1371"/>
    <cellStyle name="Porcentual 3 5 2" xfId="1372"/>
    <cellStyle name="Porcentual 3 6" xfId="1373"/>
    <cellStyle name="Porcentual 3 6 2" xfId="1374"/>
    <cellStyle name="Porcentual 3 7" xfId="1375"/>
    <cellStyle name="Porcentual 3 7 2" xfId="1376"/>
    <cellStyle name="Porcentual 3 8" xfId="1377"/>
    <cellStyle name="Porcentual 3 9" xfId="1378"/>
    <cellStyle name="Porcentual 4" xfId="1379"/>
    <cellStyle name="Porcentual 4 2" xfId="1380"/>
    <cellStyle name="Porcentual 5" xfId="1381"/>
    <cellStyle name="Porcentual 5 2" xfId="1382"/>
    <cellStyle name="Porcentual 5 2 2" xfId="1383"/>
    <cellStyle name="Porcentual 6" xfId="1384"/>
    <cellStyle name="Porcentual 7" xfId="1385"/>
    <cellStyle name="Porcentual 8" xfId="1386"/>
    <cellStyle name="Porcentual 9" xfId="1387"/>
    <cellStyle name="Salida 2" xfId="1388"/>
    <cellStyle name="Salida 2 2" xfId="1389"/>
    <cellStyle name="Salida 2 2 2" xfId="1721"/>
    <cellStyle name="Salida 2 3" xfId="1720"/>
    <cellStyle name="Salida 3" xfId="1390"/>
    <cellStyle name="Salida 3 2" xfId="1391"/>
    <cellStyle name="Salida 3 2 2" xfId="1723"/>
    <cellStyle name="Salida 3 3" xfId="1722"/>
    <cellStyle name="Salida 4" xfId="1392"/>
    <cellStyle name="Salida 4 2" xfId="1724"/>
    <cellStyle name="Sheet Title" xfId="1393"/>
    <cellStyle name="Texto de advertencia 2" xfId="1394"/>
    <cellStyle name="Texto de advertencia 2 2" xfId="1395"/>
    <cellStyle name="Texto de advertencia 3" xfId="1396"/>
    <cellStyle name="Texto de advertencia 3 2" xfId="1397"/>
    <cellStyle name="Texto de advertencia 4" xfId="1398"/>
    <cellStyle name="Texto explicativo 2" xfId="1399"/>
    <cellStyle name="Texto explicativo 2 2" xfId="1400"/>
    <cellStyle name="Texto explicativo 3" xfId="1401"/>
    <cellStyle name="Texto explicativo 3 2" xfId="1402"/>
    <cellStyle name="Texto explicativo 4" xfId="1403"/>
    <cellStyle name="Title" xfId="1404"/>
    <cellStyle name="Title 2" xfId="1405"/>
    <cellStyle name="Title 2 2" xfId="1406"/>
    <cellStyle name="Title 3" xfId="1407"/>
    <cellStyle name="Title 4" xfId="1408"/>
    <cellStyle name="Title 5" xfId="1409"/>
    <cellStyle name="Título 1 2" xfId="1410"/>
    <cellStyle name="Título 1 2 2" xfId="1411"/>
    <cellStyle name="Título 1 3" xfId="1412"/>
    <cellStyle name="Título 1 3 2" xfId="1413"/>
    <cellStyle name="Título 1 4" xfId="1414"/>
    <cellStyle name="Título 2 2" xfId="1415"/>
    <cellStyle name="Título 2 2 2" xfId="1416"/>
    <cellStyle name="Título 2 3" xfId="1417"/>
    <cellStyle name="Título 2 3 2" xfId="1418"/>
    <cellStyle name="Título 2 4" xfId="1419"/>
    <cellStyle name="Título 3 2" xfId="1420"/>
    <cellStyle name="Título 3 2 2" xfId="1421"/>
    <cellStyle name="Título 3 3" xfId="1422"/>
    <cellStyle name="Título 3 3 2" xfId="1423"/>
    <cellStyle name="Título 3 4" xfId="1424"/>
    <cellStyle name="Título 4" xfId="1425"/>
    <cellStyle name="Título 4 2" xfId="1426"/>
    <cellStyle name="Título 5" xfId="1427"/>
    <cellStyle name="Título 5 2" xfId="1428"/>
    <cellStyle name="Título 6" xfId="1429"/>
    <cellStyle name="Título de hoja" xfId="1430"/>
    <cellStyle name="Total 2" xfId="1431"/>
    <cellStyle name="Total 2 2" xfId="1432"/>
    <cellStyle name="Total 2 2 2" xfId="1726"/>
    <cellStyle name="Total 2 3" xfId="1433"/>
    <cellStyle name="Total 2 3 2" xfId="1727"/>
    <cellStyle name="Total 2 4" xfId="1725"/>
    <cellStyle name="Total 3" xfId="1434"/>
    <cellStyle name="Total 3 2" xfId="1435"/>
    <cellStyle name="Total 3 2 2" xfId="1729"/>
    <cellStyle name="Total 3 3" xfId="1728"/>
    <cellStyle name="Total 4" xfId="1436"/>
    <cellStyle name="Total 4 2" xfId="1437"/>
    <cellStyle name="Total 4 2 2" xfId="1731"/>
    <cellStyle name="Total 4 3" xfId="1730"/>
    <cellStyle name="Währung" xfId="1438"/>
    <cellStyle name="Warning Text" xfId="1439"/>
    <cellStyle name="Warning Text 2" xfId="1440"/>
    <cellStyle name="常规 2" xfId="1441"/>
    <cellStyle name="常规 2 2" xfId="1733"/>
    <cellStyle name="常规 2 2 2" xfId="2020"/>
    <cellStyle name="常规 2 3" xfId="189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FF"/>
      <color rgb="FF000099"/>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8.xml"/><Relationship Id="rId84" Type="http://schemas.openxmlformats.org/officeDocument/2006/relationships/externalLink" Target="externalLinks/externalLink39.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externalLink" Target="externalLinks/externalLink78.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externalLink" Target="externalLinks/externalLink73.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124" Type="http://schemas.openxmlformats.org/officeDocument/2006/relationships/externalLink" Target="externalLinks/externalLink79.xml"/><Relationship Id="rId129" Type="http://schemas.openxmlformats.org/officeDocument/2006/relationships/sharedStrings" Target="sharedStrings.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4.xml"/><Relationship Id="rId114" Type="http://schemas.openxmlformats.org/officeDocument/2006/relationships/externalLink" Target="externalLinks/externalLink69.xml"/><Relationship Id="rId119" Type="http://schemas.openxmlformats.org/officeDocument/2006/relationships/externalLink" Target="externalLinks/externalLink74.xml"/><Relationship Id="rId44" Type="http://schemas.openxmlformats.org/officeDocument/2006/relationships/worksheet" Target="worksheets/sheet44.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externalLink" Target="externalLinks/externalLink75.xml"/><Relationship Id="rId125"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131" Type="http://schemas.openxmlformats.org/officeDocument/2006/relationships/customXml" Target="../customXml/item1.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126" Type="http://schemas.openxmlformats.org/officeDocument/2006/relationships/externalLink" Target="externalLinks/externalLink81.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externalLink" Target="externalLinks/externalLink7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externalLink" Target="externalLinks/externalLink66.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7.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2.xml"/><Relationship Id="rId68" Type="http://schemas.openxmlformats.org/officeDocument/2006/relationships/externalLink" Target="externalLinks/externalLink23.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33"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70F7C.0879CB8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1285875</xdr:colOff>
      <xdr:row>1001</xdr:row>
      <xdr:rowOff>0</xdr:rowOff>
    </xdr:from>
    <xdr:to>
      <xdr:col>2</xdr:col>
      <xdr:colOff>95250</xdr:colOff>
      <xdr:row>1003</xdr:row>
      <xdr:rowOff>47625</xdr:rowOff>
    </xdr:to>
    <xdr:sp macro="" textlink="">
      <xdr:nvSpPr>
        <xdr:cNvPr id="216540" name="Text Box 15">
          <a:extLst>
            <a:ext uri="{FF2B5EF4-FFF2-40B4-BE49-F238E27FC236}">
              <a16:creationId xmlns:a16="http://schemas.microsoft.com/office/drawing/2014/main" id="{00000000-0008-0000-0000-0000DC4D0300}"/>
            </a:ext>
          </a:extLst>
        </xdr:cNvPr>
        <xdr:cNvSpPr txBox="1">
          <a:spLocks noChangeArrowheads="1"/>
        </xdr:cNvSpPr>
      </xdr:nvSpPr>
      <xdr:spPr bwMode="auto">
        <a:xfrm>
          <a:off x="1790700" y="186651900"/>
          <a:ext cx="2533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1001</xdr:row>
      <xdr:rowOff>0</xdr:rowOff>
    </xdr:from>
    <xdr:to>
      <xdr:col>2</xdr:col>
      <xdr:colOff>95250</xdr:colOff>
      <xdr:row>1003</xdr:row>
      <xdr:rowOff>9525</xdr:rowOff>
    </xdr:to>
    <xdr:sp macro="" textlink="">
      <xdr:nvSpPr>
        <xdr:cNvPr id="216541" name="Text Box 15">
          <a:extLst>
            <a:ext uri="{FF2B5EF4-FFF2-40B4-BE49-F238E27FC236}">
              <a16:creationId xmlns:a16="http://schemas.microsoft.com/office/drawing/2014/main" id="{00000000-0008-0000-0000-0000DD4D0300}"/>
            </a:ext>
          </a:extLst>
        </xdr:cNvPr>
        <xdr:cNvSpPr txBox="1">
          <a:spLocks noChangeArrowheads="1"/>
        </xdr:cNvSpPr>
      </xdr:nvSpPr>
      <xdr:spPr bwMode="auto">
        <a:xfrm>
          <a:off x="1790700" y="186651900"/>
          <a:ext cx="25336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1002</xdr:row>
      <xdr:rowOff>152400</xdr:rowOff>
    </xdr:from>
    <xdr:to>
      <xdr:col>1</xdr:col>
      <xdr:colOff>2543175</xdr:colOff>
      <xdr:row>1002</xdr:row>
      <xdr:rowOff>152400</xdr:rowOff>
    </xdr:to>
    <xdr:sp macro="" textlink="">
      <xdr:nvSpPr>
        <xdr:cNvPr id="216542" name="Line 4">
          <a:extLst>
            <a:ext uri="{FF2B5EF4-FFF2-40B4-BE49-F238E27FC236}">
              <a16:creationId xmlns:a16="http://schemas.microsoft.com/office/drawing/2014/main" id="{00000000-0008-0000-0000-0000DE4D0300}"/>
            </a:ext>
          </a:extLst>
        </xdr:cNvPr>
        <xdr:cNvSpPr>
          <a:spLocks noChangeShapeType="1"/>
        </xdr:cNvSpPr>
      </xdr:nvSpPr>
      <xdr:spPr bwMode="auto">
        <a:xfrm>
          <a:off x="314325" y="18696622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1002</xdr:row>
      <xdr:rowOff>152400</xdr:rowOff>
    </xdr:from>
    <xdr:to>
      <xdr:col>5</xdr:col>
      <xdr:colOff>914400</xdr:colOff>
      <xdr:row>1002</xdr:row>
      <xdr:rowOff>152400</xdr:rowOff>
    </xdr:to>
    <xdr:sp macro="" textlink="">
      <xdr:nvSpPr>
        <xdr:cNvPr id="216543" name="Line 4">
          <a:extLst>
            <a:ext uri="{FF2B5EF4-FFF2-40B4-BE49-F238E27FC236}">
              <a16:creationId xmlns:a16="http://schemas.microsoft.com/office/drawing/2014/main" id="{00000000-0008-0000-0000-0000DF4D0300}"/>
            </a:ext>
          </a:extLst>
        </xdr:cNvPr>
        <xdr:cNvSpPr>
          <a:spLocks noChangeShapeType="1"/>
        </xdr:cNvSpPr>
      </xdr:nvSpPr>
      <xdr:spPr bwMode="auto">
        <a:xfrm>
          <a:off x="4210050" y="186966225"/>
          <a:ext cx="294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323850</xdr:colOff>
      <xdr:row>1013</xdr:row>
      <xdr:rowOff>66675</xdr:rowOff>
    </xdr:from>
    <xdr:to>
      <xdr:col>1</xdr:col>
      <xdr:colOff>2552700</xdr:colOff>
      <xdr:row>1013</xdr:row>
      <xdr:rowOff>66675</xdr:rowOff>
    </xdr:to>
    <xdr:sp macro="" textlink="">
      <xdr:nvSpPr>
        <xdr:cNvPr id="216544" name="Line 4">
          <a:extLst>
            <a:ext uri="{FF2B5EF4-FFF2-40B4-BE49-F238E27FC236}">
              <a16:creationId xmlns:a16="http://schemas.microsoft.com/office/drawing/2014/main" id="{00000000-0008-0000-0000-0000E04D0300}"/>
            </a:ext>
          </a:extLst>
        </xdr:cNvPr>
        <xdr:cNvSpPr>
          <a:spLocks noChangeShapeType="1"/>
        </xdr:cNvSpPr>
      </xdr:nvSpPr>
      <xdr:spPr bwMode="auto">
        <a:xfrm>
          <a:off x="323850" y="18866167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1013</xdr:row>
      <xdr:rowOff>85725</xdr:rowOff>
    </xdr:from>
    <xdr:to>
      <xdr:col>5</xdr:col>
      <xdr:colOff>885825</xdr:colOff>
      <xdr:row>1013</xdr:row>
      <xdr:rowOff>85725</xdr:rowOff>
    </xdr:to>
    <xdr:sp macro="" textlink="">
      <xdr:nvSpPr>
        <xdr:cNvPr id="216545" name="Line 4">
          <a:extLst>
            <a:ext uri="{FF2B5EF4-FFF2-40B4-BE49-F238E27FC236}">
              <a16:creationId xmlns:a16="http://schemas.microsoft.com/office/drawing/2014/main" id="{00000000-0008-0000-0000-0000E14D0300}"/>
            </a:ext>
          </a:extLst>
        </xdr:cNvPr>
        <xdr:cNvSpPr>
          <a:spLocks noChangeShapeType="1"/>
        </xdr:cNvSpPr>
      </xdr:nvSpPr>
      <xdr:spPr bwMode="auto">
        <a:xfrm>
          <a:off x="4181475" y="188680725"/>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1285875</xdr:colOff>
      <xdr:row>1115</xdr:row>
      <xdr:rowOff>0</xdr:rowOff>
    </xdr:from>
    <xdr:to>
      <xdr:col>1</xdr:col>
      <xdr:colOff>1381125</xdr:colOff>
      <xdr:row>1117</xdr:row>
      <xdr:rowOff>47625</xdr:rowOff>
    </xdr:to>
    <xdr:sp macro="" textlink="">
      <xdr:nvSpPr>
        <xdr:cNvPr id="343000" name="Text Box 15">
          <a:extLst>
            <a:ext uri="{FF2B5EF4-FFF2-40B4-BE49-F238E27FC236}">
              <a16:creationId xmlns:a16="http://schemas.microsoft.com/office/drawing/2014/main" id="{00000000-0008-0000-0100-0000D83B0500}"/>
            </a:ext>
          </a:extLst>
        </xdr:cNvPr>
        <xdr:cNvSpPr txBox="1">
          <a:spLocks noChangeArrowheads="1"/>
        </xdr:cNvSpPr>
      </xdr:nvSpPr>
      <xdr:spPr bwMode="auto">
        <a:xfrm>
          <a:off x="1819275" y="239801400"/>
          <a:ext cx="95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1115</xdr:row>
      <xdr:rowOff>0</xdr:rowOff>
    </xdr:from>
    <xdr:to>
      <xdr:col>1</xdr:col>
      <xdr:colOff>1381125</xdr:colOff>
      <xdr:row>1117</xdr:row>
      <xdr:rowOff>9525</xdr:rowOff>
    </xdr:to>
    <xdr:sp macro="" textlink="">
      <xdr:nvSpPr>
        <xdr:cNvPr id="343001" name="Text Box 15">
          <a:extLst>
            <a:ext uri="{FF2B5EF4-FFF2-40B4-BE49-F238E27FC236}">
              <a16:creationId xmlns:a16="http://schemas.microsoft.com/office/drawing/2014/main" id="{00000000-0008-0000-0100-0000D93B0500}"/>
            </a:ext>
          </a:extLst>
        </xdr:cNvPr>
        <xdr:cNvSpPr txBox="1">
          <a:spLocks noChangeArrowheads="1"/>
        </xdr:cNvSpPr>
      </xdr:nvSpPr>
      <xdr:spPr bwMode="auto">
        <a:xfrm>
          <a:off x="1819275" y="239801400"/>
          <a:ext cx="95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1116</xdr:row>
      <xdr:rowOff>152400</xdr:rowOff>
    </xdr:from>
    <xdr:to>
      <xdr:col>1</xdr:col>
      <xdr:colOff>2543175</xdr:colOff>
      <xdr:row>1116</xdr:row>
      <xdr:rowOff>152400</xdr:rowOff>
    </xdr:to>
    <xdr:sp macro="" textlink="">
      <xdr:nvSpPr>
        <xdr:cNvPr id="343002" name="Line 4">
          <a:extLst>
            <a:ext uri="{FF2B5EF4-FFF2-40B4-BE49-F238E27FC236}">
              <a16:creationId xmlns:a16="http://schemas.microsoft.com/office/drawing/2014/main" id="{00000000-0008-0000-0100-0000DA3B0500}"/>
            </a:ext>
          </a:extLst>
        </xdr:cNvPr>
        <xdr:cNvSpPr>
          <a:spLocks noChangeShapeType="1"/>
        </xdr:cNvSpPr>
      </xdr:nvSpPr>
      <xdr:spPr bwMode="auto">
        <a:xfrm>
          <a:off x="314325" y="240115725"/>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1116</xdr:row>
      <xdr:rowOff>152400</xdr:rowOff>
    </xdr:from>
    <xdr:to>
      <xdr:col>5</xdr:col>
      <xdr:colOff>914400</xdr:colOff>
      <xdr:row>1116</xdr:row>
      <xdr:rowOff>152400</xdr:rowOff>
    </xdr:to>
    <xdr:sp macro="" textlink="">
      <xdr:nvSpPr>
        <xdr:cNvPr id="343003" name="Line 4">
          <a:extLst>
            <a:ext uri="{FF2B5EF4-FFF2-40B4-BE49-F238E27FC236}">
              <a16:creationId xmlns:a16="http://schemas.microsoft.com/office/drawing/2014/main" id="{00000000-0008-0000-0100-0000DB3B0500}"/>
            </a:ext>
          </a:extLst>
        </xdr:cNvPr>
        <xdr:cNvSpPr>
          <a:spLocks noChangeShapeType="1"/>
        </xdr:cNvSpPr>
      </xdr:nvSpPr>
      <xdr:spPr bwMode="auto">
        <a:xfrm>
          <a:off x="4095750" y="240115725"/>
          <a:ext cx="2695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1127</xdr:row>
      <xdr:rowOff>95250</xdr:rowOff>
    </xdr:from>
    <xdr:to>
      <xdr:col>1</xdr:col>
      <xdr:colOff>2619375</xdr:colOff>
      <xdr:row>1127</xdr:row>
      <xdr:rowOff>95250</xdr:rowOff>
    </xdr:to>
    <xdr:sp macro="" textlink="">
      <xdr:nvSpPr>
        <xdr:cNvPr id="343004" name="Line 4">
          <a:extLst>
            <a:ext uri="{FF2B5EF4-FFF2-40B4-BE49-F238E27FC236}">
              <a16:creationId xmlns:a16="http://schemas.microsoft.com/office/drawing/2014/main" id="{00000000-0008-0000-0100-0000DC3B0500}"/>
            </a:ext>
          </a:extLst>
        </xdr:cNvPr>
        <xdr:cNvSpPr>
          <a:spLocks noChangeShapeType="1"/>
        </xdr:cNvSpPr>
      </xdr:nvSpPr>
      <xdr:spPr bwMode="auto">
        <a:xfrm>
          <a:off x="390525" y="241839750"/>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1127</xdr:row>
      <xdr:rowOff>95250</xdr:rowOff>
    </xdr:from>
    <xdr:to>
      <xdr:col>6</xdr:col>
      <xdr:colOff>0</xdr:colOff>
      <xdr:row>1127</xdr:row>
      <xdr:rowOff>95250</xdr:rowOff>
    </xdr:to>
    <xdr:sp macro="" textlink="">
      <xdr:nvSpPr>
        <xdr:cNvPr id="343005" name="Line 4">
          <a:extLst>
            <a:ext uri="{FF2B5EF4-FFF2-40B4-BE49-F238E27FC236}">
              <a16:creationId xmlns:a16="http://schemas.microsoft.com/office/drawing/2014/main" id="{00000000-0008-0000-0100-0000DD3B0500}"/>
            </a:ext>
          </a:extLst>
        </xdr:cNvPr>
        <xdr:cNvSpPr>
          <a:spLocks noChangeShapeType="1"/>
        </xdr:cNvSpPr>
      </xdr:nvSpPr>
      <xdr:spPr bwMode="auto">
        <a:xfrm>
          <a:off x="4095750" y="241839750"/>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6" name="Text Box 15">
          <a:extLst>
            <a:ext uri="{FF2B5EF4-FFF2-40B4-BE49-F238E27FC236}">
              <a16:creationId xmlns:a16="http://schemas.microsoft.com/office/drawing/2014/main" id="{00000000-0008-0000-0100-0000D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7" name="Text Box 15">
          <a:extLst>
            <a:ext uri="{FF2B5EF4-FFF2-40B4-BE49-F238E27FC236}">
              <a16:creationId xmlns:a16="http://schemas.microsoft.com/office/drawing/2014/main" id="{00000000-0008-0000-0100-0000D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8" name="Text Box 15">
          <a:extLst>
            <a:ext uri="{FF2B5EF4-FFF2-40B4-BE49-F238E27FC236}">
              <a16:creationId xmlns:a16="http://schemas.microsoft.com/office/drawing/2014/main" id="{00000000-0008-0000-0100-0000E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9" name="Text Box 15">
          <a:extLst>
            <a:ext uri="{FF2B5EF4-FFF2-40B4-BE49-F238E27FC236}">
              <a16:creationId xmlns:a16="http://schemas.microsoft.com/office/drawing/2014/main" id="{00000000-0008-0000-0100-0000E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0" name="Text Box 15">
          <a:extLst>
            <a:ext uri="{FF2B5EF4-FFF2-40B4-BE49-F238E27FC236}">
              <a16:creationId xmlns:a16="http://schemas.microsoft.com/office/drawing/2014/main" id="{00000000-0008-0000-0100-0000E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1" name="Text Box 15">
          <a:extLst>
            <a:ext uri="{FF2B5EF4-FFF2-40B4-BE49-F238E27FC236}">
              <a16:creationId xmlns:a16="http://schemas.microsoft.com/office/drawing/2014/main" id="{00000000-0008-0000-0100-0000E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2" name="Text Box 15">
          <a:extLst>
            <a:ext uri="{FF2B5EF4-FFF2-40B4-BE49-F238E27FC236}">
              <a16:creationId xmlns:a16="http://schemas.microsoft.com/office/drawing/2014/main" id="{00000000-0008-0000-0100-0000E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3" name="Text Box 15">
          <a:extLst>
            <a:ext uri="{FF2B5EF4-FFF2-40B4-BE49-F238E27FC236}">
              <a16:creationId xmlns:a16="http://schemas.microsoft.com/office/drawing/2014/main" id="{00000000-0008-0000-0100-0000E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4" name="Text Box 15">
          <a:extLst>
            <a:ext uri="{FF2B5EF4-FFF2-40B4-BE49-F238E27FC236}">
              <a16:creationId xmlns:a16="http://schemas.microsoft.com/office/drawing/2014/main" id="{00000000-0008-0000-0100-0000E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5" name="Text Box 15">
          <a:extLst>
            <a:ext uri="{FF2B5EF4-FFF2-40B4-BE49-F238E27FC236}">
              <a16:creationId xmlns:a16="http://schemas.microsoft.com/office/drawing/2014/main" id="{00000000-0008-0000-0100-0000E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6" name="Text Box 15">
          <a:extLst>
            <a:ext uri="{FF2B5EF4-FFF2-40B4-BE49-F238E27FC236}">
              <a16:creationId xmlns:a16="http://schemas.microsoft.com/office/drawing/2014/main" id="{00000000-0008-0000-0100-0000E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7" name="Text Box 15">
          <a:extLst>
            <a:ext uri="{FF2B5EF4-FFF2-40B4-BE49-F238E27FC236}">
              <a16:creationId xmlns:a16="http://schemas.microsoft.com/office/drawing/2014/main" id="{00000000-0008-0000-0100-0000E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8" name="Text Box 15">
          <a:extLst>
            <a:ext uri="{FF2B5EF4-FFF2-40B4-BE49-F238E27FC236}">
              <a16:creationId xmlns:a16="http://schemas.microsoft.com/office/drawing/2014/main" id="{00000000-0008-0000-0100-0000E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9" name="Text Box 15">
          <a:extLst>
            <a:ext uri="{FF2B5EF4-FFF2-40B4-BE49-F238E27FC236}">
              <a16:creationId xmlns:a16="http://schemas.microsoft.com/office/drawing/2014/main" id="{00000000-0008-0000-0100-0000E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0" name="Text Box 15">
          <a:extLst>
            <a:ext uri="{FF2B5EF4-FFF2-40B4-BE49-F238E27FC236}">
              <a16:creationId xmlns:a16="http://schemas.microsoft.com/office/drawing/2014/main" id="{00000000-0008-0000-0100-0000E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1" name="Text Box 15">
          <a:extLst>
            <a:ext uri="{FF2B5EF4-FFF2-40B4-BE49-F238E27FC236}">
              <a16:creationId xmlns:a16="http://schemas.microsoft.com/office/drawing/2014/main" id="{00000000-0008-0000-0100-0000E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2" name="Text Box 15">
          <a:extLst>
            <a:ext uri="{FF2B5EF4-FFF2-40B4-BE49-F238E27FC236}">
              <a16:creationId xmlns:a16="http://schemas.microsoft.com/office/drawing/2014/main" id="{00000000-0008-0000-0100-0000E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3" name="Text Box 15">
          <a:extLst>
            <a:ext uri="{FF2B5EF4-FFF2-40B4-BE49-F238E27FC236}">
              <a16:creationId xmlns:a16="http://schemas.microsoft.com/office/drawing/2014/main" id="{00000000-0008-0000-0100-0000E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4" name="Text Box 15">
          <a:extLst>
            <a:ext uri="{FF2B5EF4-FFF2-40B4-BE49-F238E27FC236}">
              <a16:creationId xmlns:a16="http://schemas.microsoft.com/office/drawing/2014/main" id="{00000000-0008-0000-0100-0000F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5" name="Text Box 15">
          <a:extLst>
            <a:ext uri="{FF2B5EF4-FFF2-40B4-BE49-F238E27FC236}">
              <a16:creationId xmlns:a16="http://schemas.microsoft.com/office/drawing/2014/main" id="{00000000-0008-0000-0100-0000F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6" name="Text Box 15">
          <a:extLst>
            <a:ext uri="{FF2B5EF4-FFF2-40B4-BE49-F238E27FC236}">
              <a16:creationId xmlns:a16="http://schemas.microsoft.com/office/drawing/2014/main" id="{00000000-0008-0000-0100-0000F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7" name="Text Box 15">
          <a:extLst>
            <a:ext uri="{FF2B5EF4-FFF2-40B4-BE49-F238E27FC236}">
              <a16:creationId xmlns:a16="http://schemas.microsoft.com/office/drawing/2014/main" id="{00000000-0008-0000-0100-0000F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8" name="Text Box 15">
          <a:extLst>
            <a:ext uri="{FF2B5EF4-FFF2-40B4-BE49-F238E27FC236}">
              <a16:creationId xmlns:a16="http://schemas.microsoft.com/office/drawing/2014/main" id="{00000000-0008-0000-0100-0000F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9" name="Text Box 15">
          <a:extLst>
            <a:ext uri="{FF2B5EF4-FFF2-40B4-BE49-F238E27FC236}">
              <a16:creationId xmlns:a16="http://schemas.microsoft.com/office/drawing/2014/main" id="{00000000-0008-0000-0100-0000F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0" name="Text Box 15">
          <a:extLst>
            <a:ext uri="{FF2B5EF4-FFF2-40B4-BE49-F238E27FC236}">
              <a16:creationId xmlns:a16="http://schemas.microsoft.com/office/drawing/2014/main" id="{00000000-0008-0000-0100-0000F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1" name="Text Box 15">
          <a:extLst>
            <a:ext uri="{FF2B5EF4-FFF2-40B4-BE49-F238E27FC236}">
              <a16:creationId xmlns:a16="http://schemas.microsoft.com/office/drawing/2014/main" id="{00000000-0008-0000-0100-0000F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2" name="Text Box 15">
          <a:extLst>
            <a:ext uri="{FF2B5EF4-FFF2-40B4-BE49-F238E27FC236}">
              <a16:creationId xmlns:a16="http://schemas.microsoft.com/office/drawing/2014/main" id="{00000000-0008-0000-0100-0000F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3" name="Text Box 15">
          <a:extLst>
            <a:ext uri="{FF2B5EF4-FFF2-40B4-BE49-F238E27FC236}">
              <a16:creationId xmlns:a16="http://schemas.microsoft.com/office/drawing/2014/main" id="{00000000-0008-0000-0100-0000F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4" name="Text Box 15">
          <a:extLst>
            <a:ext uri="{FF2B5EF4-FFF2-40B4-BE49-F238E27FC236}">
              <a16:creationId xmlns:a16="http://schemas.microsoft.com/office/drawing/2014/main" id="{00000000-0008-0000-0100-0000F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5" name="Text Box 15">
          <a:extLst>
            <a:ext uri="{FF2B5EF4-FFF2-40B4-BE49-F238E27FC236}">
              <a16:creationId xmlns:a16="http://schemas.microsoft.com/office/drawing/2014/main" id="{00000000-0008-0000-0100-0000F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6" name="Text Box 15">
          <a:extLst>
            <a:ext uri="{FF2B5EF4-FFF2-40B4-BE49-F238E27FC236}">
              <a16:creationId xmlns:a16="http://schemas.microsoft.com/office/drawing/2014/main" id="{00000000-0008-0000-0100-0000F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7" name="Text Box 15">
          <a:extLst>
            <a:ext uri="{FF2B5EF4-FFF2-40B4-BE49-F238E27FC236}">
              <a16:creationId xmlns:a16="http://schemas.microsoft.com/office/drawing/2014/main" id="{00000000-0008-0000-0100-0000F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8" name="Text Box 15">
          <a:extLst>
            <a:ext uri="{FF2B5EF4-FFF2-40B4-BE49-F238E27FC236}">
              <a16:creationId xmlns:a16="http://schemas.microsoft.com/office/drawing/2014/main" id="{00000000-0008-0000-0100-0000F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9" name="Text Box 15">
          <a:extLst>
            <a:ext uri="{FF2B5EF4-FFF2-40B4-BE49-F238E27FC236}">
              <a16:creationId xmlns:a16="http://schemas.microsoft.com/office/drawing/2014/main" id="{00000000-0008-0000-0100-0000F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4" name="Text Box 15">
          <a:extLst>
            <a:ext uri="{FF2B5EF4-FFF2-40B4-BE49-F238E27FC236}">
              <a16:creationId xmlns:a16="http://schemas.microsoft.com/office/drawing/2014/main" id="{00000000-0008-0000-0100-00000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5" name="Text Box 15">
          <a:extLst>
            <a:ext uri="{FF2B5EF4-FFF2-40B4-BE49-F238E27FC236}">
              <a16:creationId xmlns:a16="http://schemas.microsoft.com/office/drawing/2014/main" id="{00000000-0008-0000-0100-00000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6" name="Text Box 15">
          <a:extLst>
            <a:ext uri="{FF2B5EF4-FFF2-40B4-BE49-F238E27FC236}">
              <a16:creationId xmlns:a16="http://schemas.microsoft.com/office/drawing/2014/main" id="{00000000-0008-0000-0100-00000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7" name="Text Box 15">
          <a:extLst>
            <a:ext uri="{FF2B5EF4-FFF2-40B4-BE49-F238E27FC236}">
              <a16:creationId xmlns:a16="http://schemas.microsoft.com/office/drawing/2014/main" id="{00000000-0008-0000-0100-00000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8" name="Text Box 15">
          <a:extLst>
            <a:ext uri="{FF2B5EF4-FFF2-40B4-BE49-F238E27FC236}">
              <a16:creationId xmlns:a16="http://schemas.microsoft.com/office/drawing/2014/main" id="{00000000-0008-0000-0100-00000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9" name="Text Box 15">
          <a:extLst>
            <a:ext uri="{FF2B5EF4-FFF2-40B4-BE49-F238E27FC236}">
              <a16:creationId xmlns:a16="http://schemas.microsoft.com/office/drawing/2014/main" id="{00000000-0008-0000-0100-00000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0" name="Text Box 15">
          <a:extLst>
            <a:ext uri="{FF2B5EF4-FFF2-40B4-BE49-F238E27FC236}">
              <a16:creationId xmlns:a16="http://schemas.microsoft.com/office/drawing/2014/main" id="{00000000-0008-0000-0100-00000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1" name="Text Box 15">
          <a:extLst>
            <a:ext uri="{FF2B5EF4-FFF2-40B4-BE49-F238E27FC236}">
              <a16:creationId xmlns:a16="http://schemas.microsoft.com/office/drawing/2014/main" id="{00000000-0008-0000-0100-00000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2" name="Text Box 15">
          <a:extLst>
            <a:ext uri="{FF2B5EF4-FFF2-40B4-BE49-F238E27FC236}">
              <a16:creationId xmlns:a16="http://schemas.microsoft.com/office/drawing/2014/main" id="{00000000-0008-0000-0100-00000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3" name="Text Box 15">
          <a:extLst>
            <a:ext uri="{FF2B5EF4-FFF2-40B4-BE49-F238E27FC236}">
              <a16:creationId xmlns:a16="http://schemas.microsoft.com/office/drawing/2014/main" id="{00000000-0008-0000-0100-00000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4" name="Text Box 15">
          <a:extLst>
            <a:ext uri="{FF2B5EF4-FFF2-40B4-BE49-F238E27FC236}">
              <a16:creationId xmlns:a16="http://schemas.microsoft.com/office/drawing/2014/main" id="{00000000-0008-0000-0100-00000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5" name="Text Box 15">
          <a:extLst>
            <a:ext uri="{FF2B5EF4-FFF2-40B4-BE49-F238E27FC236}">
              <a16:creationId xmlns:a16="http://schemas.microsoft.com/office/drawing/2014/main" id="{00000000-0008-0000-0100-00000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6" name="Text Box 15">
          <a:extLst>
            <a:ext uri="{FF2B5EF4-FFF2-40B4-BE49-F238E27FC236}">
              <a16:creationId xmlns:a16="http://schemas.microsoft.com/office/drawing/2014/main" id="{00000000-0008-0000-0100-00000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7" name="Text Box 15">
          <a:extLst>
            <a:ext uri="{FF2B5EF4-FFF2-40B4-BE49-F238E27FC236}">
              <a16:creationId xmlns:a16="http://schemas.microsoft.com/office/drawing/2014/main" id="{00000000-0008-0000-0100-00000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8" name="Text Box 15">
          <a:extLst>
            <a:ext uri="{FF2B5EF4-FFF2-40B4-BE49-F238E27FC236}">
              <a16:creationId xmlns:a16="http://schemas.microsoft.com/office/drawing/2014/main" id="{00000000-0008-0000-0100-00000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9" name="Text Box 15">
          <a:extLst>
            <a:ext uri="{FF2B5EF4-FFF2-40B4-BE49-F238E27FC236}">
              <a16:creationId xmlns:a16="http://schemas.microsoft.com/office/drawing/2014/main" id="{00000000-0008-0000-0100-00000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0" name="Text Box 15">
          <a:extLst>
            <a:ext uri="{FF2B5EF4-FFF2-40B4-BE49-F238E27FC236}">
              <a16:creationId xmlns:a16="http://schemas.microsoft.com/office/drawing/2014/main" id="{00000000-0008-0000-0100-00001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1" name="Text Box 15">
          <a:extLst>
            <a:ext uri="{FF2B5EF4-FFF2-40B4-BE49-F238E27FC236}">
              <a16:creationId xmlns:a16="http://schemas.microsoft.com/office/drawing/2014/main" id="{00000000-0008-0000-0100-00001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2" name="Text Box 15">
          <a:extLst>
            <a:ext uri="{FF2B5EF4-FFF2-40B4-BE49-F238E27FC236}">
              <a16:creationId xmlns:a16="http://schemas.microsoft.com/office/drawing/2014/main" id="{00000000-0008-0000-0100-00001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3" name="Text Box 15">
          <a:extLst>
            <a:ext uri="{FF2B5EF4-FFF2-40B4-BE49-F238E27FC236}">
              <a16:creationId xmlns:a16="http://schemas.microsoft.com/office/drawing/2014/main" id="{00000000-0008-0000-0100-00001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4" name="Text Box 15">
          <a:extLst>
            <a:ext uri="{FF2B5EF4-FFF2-40B4-BE49-F238E27FC236}">
              <a16:creationId xmlns:a16="http://schemas.microsoft.com/office/drawing/2014/main" id="{00000000-0008-0000-0100-00001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5" name="Text Box 15">
          <a:extLst>
            <a:ext uri="{FF2B5EF4-FFF2-40B4-BE49-F238E27FC236}">
              <a16:creationId xmlns:a16="http://schemas.microsoft.com/office/drawing/2014/main" id="{00000000-0008-0000-0100-00001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6" name="Text Box 15">
          <a:extLst>
            <a:ext uri="{FF2B5EF4-FFF2-40B4-BE49-F238E27FC236}">
              <a16:creationId xmlns:a16="http://schemas.microsoft.com/office/drawing/2014/main" id="{00000000-0008-0000-0100-00001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7" name="Text Box 15">
          <a:extLst>
            <a:ext uri="{FF2B5EF4-FFF2-40B4-BE49-F238E27FC236}">
              <a16:creationId xmlns:a16="http://schemas.microsoft.com/office/drawing/2014/main" id="{00000000-0008-0000-0100-00001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8" name="Text Box 15">
          <a:extLst>
            <a:ext uri="{FF2B5EF4-FFF2-40B4-BE49-F238E27FC236}">
              <a16:creationId xmlns:a16="http://schemas.microsoft.com/office/drawing/2014/main" id="{00000000-0008-0000-0100-00001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9" name="Text Box 15">
          <a:extLst>
            <a:ext uri="{FF2B5EF4-FFF2-40B4-BE49-F238E27FC236}">
              <a16:creationId xmlns:a16="http://schemas.microsoft.com/office/drawing/2014/main" id="{00000000-0008-0000-0100-00001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0" name="Text Box 15">
          <a:extLst>
            <a:ext uri="{FF2B5EF4-FFF2-40B4-BE49-F238E27FC236}">
              <a16:creationId xmlns:a16="http://schemas.microsoft.com/office/drawing/2014/main" id="{00000000-0008-0000-0100-00001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1" name="Text Box 15">
          <a:extLst>
            <a:ext uri="{FF2B5EF4-FFF2-40B4-BE49-F238E27FC236}">
              <a16:creationId xmlns:a16="http://schemas.microsoft.com/office/drawing/2014/main" id="{00000000-0008-0000-0100-00001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2" name="Text Box 15">
          <a:extLst>
            <a:ext uri="{FF2B5EF4-FFF2-40B4-BE49-F238E27FC236}">
              <a16:creationId xmlns:a16="http://schemas.microsoft.com/office/drawing/2014/main" id="{00000000-0008-0000-0100-00001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3" name="Text Box 15">
          <a:extLst>
            <a:ext uri="{FF2B5EF4-FFF2-40B4-BE49-F238E27FC236}">
              <a16:creationId xmlns:a16="http://schemas.microsoft.com/office/drawing/2014/main" id="{00000000-0008-0000-0100-00001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4" name="Text Box 15">
          <a:extLst>
            <a:ext uri="{FF2B5EF4-FFF2-40B4-BE49-F238E27FC236}">
              <a16:creationId xmlns:a16="http://schemas.microsoft.com/office/drawing/2014/main" id="{00000000-0008-0000-0100-00001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5" name="Text Box 15">
          <a:extLst>
            <a:ext uri="{FF2B5EF4-FFF2-40B4-BE49-F238E27FC236}">
              <a16:creationId xmlns:a16="http://schemas.microsoft.com/office/drawing/2014/main" id="{00000000-0008-0000-0100-00001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6" name="Text Box 15">
          <a:extLst>
            <a:ext uri="{FF2B5EF4-FFF2-40B4-BE49-F238E27FC236}">
              <a16:creationId xmlns:a16="http://schemas.microsoft.com/office/drawing/2014/main" id="{00000000-0008-0000-0100-00002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7" name="Text Box 15">
          <a:extLst>
            <a:ext uri="{FF2B5EF4-FFF2-40B4-BE49-F238E27FC236}">
              <a16:creationId xmlns:a16="http://schemas.microsoft.com/office/drawing/2014/main" id="{00000000-0008-0000-0100-00002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8" name="Text Box 15">
          <a:extLst>
            <a:ext uri="{FF2B5EF4-FFF2-40B4-BE49-F238E27FC236}">
              <a16:creationId xmlns:a16="http://schemas.microsoft.com/office/drawing/2014/main" id="{00000000-0008-0000-0100-00002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9" name="Text Box 15">
          <a:extLst>
            <a:ext uri="{FF2B5EF4-FFF2-40B4-BE49-F238E27FC236}">
              <a16:creationId xmlns:a16="http://schemas.microsoft.com/office/drawing/2014/main" id="{00000000-0008-0000-0100-00002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0" name="Text Box 15">
          <a:extLst>
            <a:ext uri="{FF2B5EF4-FFF2-40B4-BE49-F238E27FC236}">
              <a16:creationId xmlns:a16="http://schemas.microsoft.com/office/drawing/2014/main" id="{00000000-0008-0000-0100-00002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1" name="Text Box 15">
          <a:extLst>
            <a:ext uri="{FF2B5EF4-FFF2-40B4-BE49-F238E27FC236}">
              <a16:creationId xmlns:a16="http://schemas.microsoft.com/office/drawing/2014/main" id="{00000000-0008-0000-0100-00002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02" name="Text Box 15">
          <a:extLst>
            <a:ext uri="{FF2B5EF4-FFF2-40B4-BE49-F238E27FC236}">
              <a16:creationId xmlns:a16="http://schemas.microsoft.com/office/drawing/2014/main" id="{00000000-0008-0000-0100-000026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3" name="Text Box 15">
          <a:extLst>
            <a:ext uri="{FF2B5EF4-FFF2-40B4-BE49-F238E27FC236}">
              <a16:creationId xmlns:a16="http://schemas.microsoft.com/office/drawing/2014/main" id="{00000000-0008-0000-0100-00002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4" name="Text Box 15">
          <a:extLst>
            <a:ext uri="{FF2B5EF4-FFF2-40B4-BE49-F238E27FC236}">
              <a16:creationId xmlns:a16="http://schemas.microsoft.com/office/drawing/2014/main" id="{00000000-0008-0000-0100-00002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5" name="Text Box 15">
          <a:extLst>
            <a:ext uri="{FF2B5EF4-FFF2-40B4-BE49-F238E27FC236}">
              <a16:creationId xmlns:a16="http://schemas.microsoft.com/office/drawing/2014/main" id="{00000000-0008-0000-0100-00002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6" name="Text Box 15">
          <a:extLst>
            <a:ext uri="{FF2B5EF4-FFF2-40B4-BE49-F238E27FC236}">
              <a16:creationId xmlns:a16="http://schemas.microsoft.com/office/drawing/2014/main" id="{00000000-0008-0000-0100-00002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07" name="Text Box 15">
          <a:extLst>
            <a:ext uri="{FF2B5EF4-FFF2-40B4-BE49-F238E27FC236}">
              <a16:creationId xmlns:a16="http://schemas.microsoft.com/office/drawing/2014/main" id="{00000000-0008-0000-0100-00002B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8" name="Text Box 15">
          <a:extLst>
            <a:ext uri="{FF2B5EF4-FFF2-40B4-BE49-F238E27FC236}">
              <a16:creationId xmlns:a16="http://schemas.microsoft.com/office/drawing/2014/main" id="{00000000-0008-0000-0100-00002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9" name="Text Box 15">
          <a:extLst>
            <a:ext uri="{FF2B5EF4-FFF2-40B4-BE49-F238E27FC236}">
              <a16:creationId xmlns:a16="http://schemas.microsoft.com/office/drawing/2014/main" id="{00000000-0008-0000-0100-00002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0" name="Text Box 15">
          <a:extLst>
            <a:ext uri="{FF2B5EF4-FFF2-40B4-BE49-F238E27FC236}">
              <a16:creationId xmlns:a16="http://schemas.microsoft.com/office/drawing/2014/main" id="{00000000-0008-0000-0100-00002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1" name="Text Box 15">
          <a:extLst>
            <a:ext uri="{FF2B5EF4-FFF2-40B4-BE49-F238E27FC236}">
              <a16:creationId xmlns:a16="http://schemas.microsoft.com/office/drawing/2014/main" id="{00000000-0008-0000-0100-00002F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2" name="Text Box 15">
          <a:extLst>
            <a:ext uri="{FF2B5EF4-FFF2-40B4-BE49-F238E27FC236}">
              <a16:creationId xmlns:a16="http://schemas.microsoft.com/office/drawing/2014/main" id="{00000000-0008-0000-0100-000030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3" name="Text Box 15">
          <a:extLst>
            <a:ext uri="{FF2B5EF4-FFF2-40B4-BE49-F238E27FC236}">
              <a16:creationId xmlns:a16="http://schemas.microsoft.com/office/drawing/2014/main" id="{00000000-0008-0000-0100-00003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4" name="Text Box 15">
          <a:extLst>
            <a:ext uri="{FF2B5EF4-FFF2-40B4-BE49-F238E27FC236}">
              <a16:creationId xmlns:a16="http://schemas.microsoft.com/office/drawing/2014/main" id="{00000000-0008-0000-0100-00003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5" name="Text Box 15">
          <a:extLst>
            <a:ext uri="{FF2B5EF4-FFF2-40B4-BE49-F238E27FC236}">
              <a16:creationId xmlns:a16="http://schemas.microsoft.com/office/drawing/2014/main" id="{00000000-0008-0000-0100-000033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6" name="Text Box 15">
          <a:extLst>
            <a:ext uri="{FF2B5EF4-FFF2-40B4-BE49-F238E27FC236}">
              <a16:creationId xmlns:a16="http://schemas.microsoft.com/office/drawing/2014/main" id="{00000000-0008-0000-0100-00003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7" name="Text Box 15">
          <a:extLst>
            <a:ext uri="{FF2B5EF4-FFF2-40B4-BE49-F238E27FC236}">
              <a16:creationId xmlns:a16="http://schemas.microsoft.com/office/drawing/2014/main" id="{00000000-0008-0000-0100-00003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8" name="Text Box 15">
          <a:extLst>
            <a:ext uri="{FF2B5EF4-FFF2-40B4-BE49-F238E27FC236}">
              <a16:creationId xmlns:a16="http://schemas.microsoft.com/office/drawing/2014/main" id="{00000000-0008-0000-0100-00003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9" name="Text Box 15">
          <a:extLst>
            <a:ext uri="{FF2B5EF4-FFF2-40B4-BE49-F238E27FC236}">
              <a16:creationId xmlns:a16="http://schemas.microsoft.com/office/drawing/2014/main" id="{00000000-0008-0000-0100-00003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20" name="Text Box 15">
          <a:extLst>
            <a:ext uri="{FF2B5EF4-FFF2-40B4-BE49-F238E27FC236}">
              <a16:creationId xmlns:a16="http://schemas.microsoft.com/office/drawing/2014/main" id="{00000000-0008-0000-0100-000038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1" name="Text Box 15">
          <a:extLst>
            <a:ext uri="{FF2B5EF4-FFF2-40B4-BE49-F238E27FC236}">
              <a16:creationId xmlns:a16="http://schemas.microsoft.com/office/drawing/2014/main" id="{00000000-0008-0000-0100-00003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2" name="Text Box 15">
          <a:extLst>
            <a:ext uri="{FF2B5EF4-FFF2-40B4-BE49-F238E27FC236}">
              <a16:creationId xmlns:a16="http://schemas.microsoft.com/office/drawing/2014/main" id="{00000000-0008-0000-0100-00003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3" name="Text Box 15">
          <a:extLst>
            <a:ext uri="{FF2B5EF4-FFF2-40B4-BE49-F238E27FC236}">
              <a16:creationId xmlns:a16="http://schemas.microsoft.com/office/drawing/2014/main" id="{00000000-0008-0000-0100-00003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4" name="Text Box 15">
          <a:extLst>
            <a:ext uri="{FF2B5EF4-FFF2-40B4-BE49-F238E27FC236}">
              <a16:creationId xmlns:a16="http://schemas.microsoft.com/office/drawing/2014/main" id="{00000000-0008-0000-0100-00003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5" name="Text Box 15">
          <a:extLst>
            <a:ext uri="{FF2B5EF4-FFF2-40B4-BE49-F238E27FC236}">
              <a16:creationId xmlns:a16="http://schemas.microsoft.com/office/drawing/2014/main" id="{00000000-0008-0000-0100-00003D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6" name="Text Box 15">
          <a:extLst>
            <a:ext uri="{FF2B5EF4-FFF2-40B4-BE49-F238E27FC236}">
              <a16:creationId xmlns:a16="http://schemas.microsoft.com/office/drawing/2014/main" id="{00000000-0008-0000-0100-00003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7" name="Text Box 15">
          <a:extLst>
            <a:ext uri="{FF2B5EF4-FFF2-40B4-BE49-F238E27FC236}">
              <a16:creationId xmlns:a16="http://schemas.microsoft.com/office/drawing/2014/main" id="{00000000-0008-0000-0100-00003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28" name="Text Box 15">
          <a:extLst>
            <a:ext uri="{FF2B5EF4-FFF2-40B4-BE49-F238E27FC236}">
              <a16:creationId xmlns:a16="http://schemas.microsoft.com/office/drawing/2014/main" id="{00000000-0008-0000-0100-000040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29" name="Text Box 15">
          <a:extLst>
            <a:ext uri="{FF2B5EF4-FFF2-40B4-BE49-F238E27FC236}">
              <a16:creationId xmlns:a16="http://schemas.microsoft.com/office/drawing/2014/main" id="{00000000-0008-0000-0100-00004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0" name="Text Box 15">
          <a:extLst>
            <a:ext uri="{FF2B5EF4-FFF2-40B4-BE49-F238E27FC236}">
              <a16:creationId xmlns:a16="http://schemas.microsoft.com/office/drawing/2014/main" id="{00000000-0008-0000-0100-00004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1" name="Text Box 15">
          <a:extLst>
            <a:ext uri="{FF2B5EF4-FFF2-40B4-BE49-F238E27FC236}">
              <a16:creationId xmlns:a16="http://schemas.microsoft.com/office/drawing/2014/main" id="{00000000-0008-0000-0100-00004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2" name="Text Box 15">
          <a:extLst>
            <a:ext uri="{FF2B5EF4-FFF2-40B4-BE49-F238E27FC236}">
              <a16:creationId xmlns:a16="http://schemas.microsoft.com/office/drawing/2014/main" id="{00000000-0008-0000-0100-00004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3" name="Text Box 15">
          <a:extLst>
            <a:ext uri="{FF2B5EF4-FFF2-40B4-BE49-F238E27FC236}">
              <a16:creationId xmlns:a16="http://schemas.microsoft.com/office/drawing/2014/main" id="{00000000-0008-0000-0100-00004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4" name="Text Box 15">
          <a:extLst>
            <a:ext uri="{FF2B5EF4-FFF2-40B4-BE49-F238E27FC236}">
              <a16:creationId xmlns:a16="http://schemas.microsoft.com/office/drawing/2014/main" id="{00000000-0008-0000-0100-00004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5" name="Text Box 15">
          <a:extLst>
            <a:ext uri="{FF2B5EF4-FFF2-40B4-BE49-F238E27FC236}">
              <a16:creationId xmlns:a16="http://schemas.microsoft.com/office/drawing/2014/main" id="{00000000-0008-0000-0100-00004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6" name="Text Box 15">
          <a:extLst>
            <a:ext uri="{FF2B5EF4-FFF2-40B4-BE49-F238E27FC236}">
              <a16:creationId xmlns:a16="http://schemas.microsoft.com/office/drawing/2014/main" id="{00000000-0008-0000-0100-00004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7" name="Text Box 15">
          <a:extLst>
            <a:ext uri="{FF2B5EF4-FFF2-40B4-BE49-F238E27FC236}">
              <a16:creationId xmlns:a16="http://schemas.microsoft.com/office/drawing/2014/main" id="{00000000-0008-0000-0100-00004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8" name="Text Box 15">
          <a:extLst>
            <a:ext uri="{FF2B5EF4-FFF2-40B4-BE49-F238E27FC236}">
              <a16:creationId xmlns:a16="http://schemas.microsoft.com/office/drawing/2014/main" id="{00000000-0008-0000-0100-00004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9" name="Text Box 15">
          <a:extLst>
            <a:ext uri="{FF2B5EF4-FFF2-40B4-BE49-F238E27FC236}">
              <a16:creationId xmlns:a16="http://schemas.microsoft.com/office/drawing/2014/main" id="{00000000-0008-0000-0100-00004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0" name="Text Box 15">
          <a:extLst>
            <a:ext uri="{FF2B5EF4-FFF2-40B4-BE49-F238E27FC236}">
              <a16:creationId xmlns:a16="http://schemas.microsoft.com/office/drawing/2014/main" id="{00000000-0008-0000-0100-00004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1" name="Text Box 15">
          <a:extLst>
            <a:ext uri="{FF2B5EF4-FFF2-40B4-BE49-F238E27FC236}">
              <a16:creationId xmlns:a16="http://schemas.microsoft.com/office/drawing/2014/main" id="{00000000-0008-0000-0100-00004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2" name="Text Box 15">
          <a:extLst>
            <a:ext uri="{FF2B5EF4-FFF2-40B4-BE49-F238E27FC236}">
              <a16:creationId xmlns:a16="http://schemas.microsoft.com/office/drawing/2014/main" id="{00000000-0008-0000-0100-00004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3" name="Text Box 15">
          <a:extLst>
            <a:ext uri="{FF2B5EF4-FFF2-40B4-BE49-F238E27FC236}">
              <a16:creationId xmlns:a16="http://schemas.microsoft.com/office/drawing/2014/main" id="{00000000-0008-0000-0100-00004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4" name="Text Box 15">
          <a:extLst>
            <a:ext uri="{FF2B5EF4-FFF2-40B4-BE49-F238E27FC236}">
              <a16:creationId xmlns:a16="http://schemas.microsoft.com/office/drawing/2014/main" id="{00000000-0008-0000-0100-00005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5" name="Text Box 15">
          <a:extLst>
            <a:ext uri="{FF2B5EF4-FFF2-40B4-BE49-F238E27FC236}">
              <a16:creationId xmlns:a16="http://schemas.microsoft.com/office/drawing/2014/main" id="{00000000-0008-0000-0100-00005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6" name="Text Box 15">
          <a:extLst>
            <a:ext uri="{FF2B5EF4-FFF2-40B4-BE49-F238E27FC236}">
              <a16:creationId xmlns:a16="http://schemas.microsoft.com/office/drawing/2014/main" id="{00000000-0008-0000-0100-00005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7" name="Text Box 15">
          <a:extLst>
            <a:ext uri="{FF2B5EF4-FFF2-40B4-BE49-F238E27FC236}">
              <a16:creationId xmlns:a16="http://schemas.microsoft.com/office/drawing/2014/main" id="{00000000-0008-0000-0100-00005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8" name="Text Box 15">
          <a:extLst>
            <a:ext uri="{FF2B5EF4-FFF2-40B4-BE49-F238E27FC236}">
              <a16:creationId xmlns:a16="http://schemas.microsoft.com/office/drawing/2014/main" id="{00000000-0008-0000-0100-00005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9" name="Text Box 15">
          <a:extLst>
            <a:ext uri="{FF2B5EF4-FFF2-40B4-BE49-F238E27FC236}">
              <a16:creationId xmlns:a16="http://schemas.microsoft.com/office/drawing/2014/main" id="{00000000-0008-0000-0100-00005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0" name="Text Box 15">
          <a:extLst>
            <a:ext uri="{FF2B5EF4-FFF2-40B4-BE49-F238E27FC236}">
              <a16:creationId xmlns:a16="http://schemas.microsoft.com/office/drawing/2014/main" id="{00000000-0008-0000-0100-00005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1" name="Text Box 15">
          <a:extLst>
            <a:ext uri="{FF2B5EF4-FFF2-40B4-BE49-F238E27FC236}">
              <a16:creationId xmlns:a16="http://schemas.microsoft.com/office/drawing/2014/main" id="{00000000-0008-0000-0100-00005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2" name="Text Box 15">
          <a:extLst>
            <a:ext uri="{FF2B5EF4-FFF2-40B4-BE49-F238E27FC236}">
              <a16:creationId xmlns:a16="http://schemas.microsoft.com/office/drawing/2014/main" id="{00000000-0008-0000-0100-00005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53" name="Text Box 15">
          <a:extLst>
            <a:ext uri="{FF2B5EF4-FFF2-40B4-BE49-F238E27FC236}">
              <a16:creationId xmlns:a16="http://schemas.microsoft.com/office/drawing/2014/main" id="{00000000-0008-0000-0100-000059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4" name="Text Box 15">
          <a:extLst>
            <a:ext uri="{FF2B5EF4-FFF2-40B4-BE49-F238E27FC236}">
              <a16:creationId xmlns:a16="http://schemas.microsoft.com/office/drawing/2014/main" id="{00000000-0008-0000-0100-00005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5" name="Text Box 15">
          <a:extLst>
            <a:ext uri="{FF2B5EF4-FFF2-40B4-BE49-F238E27FC236}">
              <a16:creationId xmlns:a16="http://schemas.microsoft.com/office/drawing/2014/main" id="{00000000-0008-0000-0100-00005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6" name="Text Box 15">
          <a:extLst>
            <a:ext uri="{FF2B5EF4-FFF2-40B4-BE49-F238E27FC236}">
              <a16:creationId xmlns:a16="http://schemas.microsoft.com/office/drawing/2014/main" id="{00000000-0008-0000-0100-00005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7" name="Text Box 15">
          <a:extLst>
            <a:ext uri="{FF2B5EF4-FFF2-40B4-BE49-F238E27FC236}">
              <a16:creationId xmlns:a16="http://schemas.microsoft.com/office/drawing/2014/main" id="{00000000-0008-0000-0100-00005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8" name="Text Box 15">
          <a:extLst>
            <a:ext uri="{FF2B5EF4-FFF2-40B4-BE49-F238E27FC236}">
              <a16:creationId xmlns:a16="http://schemas.microsoft.com/office/drawing/2014/main" id="{00000000-0008-0000-0100-00005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9" name="Text Box 15">
          <a:extLst>
            <a:ext uri="{FF2B5EF4-FFF2-40B4-BE49-F238E27FC236}">
              <a16:creationId xmlns:a16="http://schemas.microsoft.com/office/drawing/2014/main" id="{00000000-0008-0000-0100-00005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0" name="Text Box 15">
          <a:extLst>
            <a:ext uri="{FF2B5EF4-FFF2-40B4-BE49-F238E27FC236}">
              <a16:creationId xmlns:a16="http://schemas.microsoft.com/office/drawing/2014/main" id="{00000000-0008-0000-0100-00006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1" name="Text Box 15">
          <a:extLst>
            <a:ext uri="{FF2B5EF4-FFF2-40B4-BE49-F238E27FC236}">
              <a16:creationId xmlns:a16="http://schemas.microsoft.com/office/drawing/2014/main" id="{00000000-0008-0000-0100-00006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2" name="Text Box 15">
          <a:extLst>
            <a:ext uri="{FF2B5EF4-FFF2-40B4-BE49-F238E27FC236}">
              <a16:creationId xmlns:a16="http://schemas.microsoft.com/office/drawing/2014/main" id="{00000000-0008-0000-0100-00006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3" name="Text Box 15">
          <a:extLst>
            <a:ext uri="{FF2B5EF4-FFF2-40B4-BE49-F238E27FC236}">
              <a16:creationId xmlns:a16="http://schemas.microsoft.com/office/drawing/2014/main" id="{00000000-0008-0000-0100-00006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4" name="Text Box 15">
          <a:extLst>
            <a:ext uri="{FF2B5EF4-FFF2-40B4-BE49-F238E27FC236}">
              <a16:creationId xmlns:a16="http://schemas.microsoft.com/office/drawing/2014/main" id="{00000000-0008-0000-0100-00006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5" name="Text Box 15">
          <a:extLst>
            <a:ext uri="{FF2B5EF4-FFF2-40B4-BE49-F238E27FC236}">
              <a16:creationId xmlns:a16="http://schemas.microsoft.com/office/drawing/2014/main" id="{00000000-0008-0000-0100-00006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6" name="Text Box 15">
          <a:extLst>
            <a:ext uri="{FF2B5EF4-FFF2-40B4-BE49-F238E27FC236}">
              <a16:creationId xmlns:a16="http://schemas.microsoft.com/office/drawing/2014/main" id="{00000000-0008-0000-0100-00006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7" name="Text Box 15">
          <a:extLst>
            <a:ext uri="{FF2B5EF4-FFF2-40B4-BE49-F238E27FC236}">
              <a16:creationId xmlns:a16="http://schemas.microsoft.com/office/drawing/2014/main" id="{00000000-0008-0000-0100-00006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8" name="Text Box 15">
          <a:extLst>
            <a:ext uri="{FF2B5EF4-FFF2-40B4-BE49-F238E27FC236}">
              <a16:creationId xmlns:a16="http://schemas.microsoft.com/office/drawing/2014/main" id="{00000000-0008-0000-0100-00006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9" name="Text Box 15">
          <a:extLst>
            <a:ext uri="{FF2B5EF4-FFF2-40B4-BE49-F238E27FC236}">
              <a16:creationId xmlns:a16="http://schemas.microsoft.com/office/drawing/2014/main" id="{00000000-0008-0000-0100-00006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0" name="Text Box 15">
          <a:extLst>
            <a:ext uri="{FF2B5EF4-FFF2-40B4-BE49-F238E27FC236}">
              <a16:creationId xmlns:a16="http://schemas.microsoft.com/office/drawing/2014/main" id="{00000000-0008-0000-0100-00006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1" name="Text Box 15">
          <a:extLst>
            <a:ext uri="{FF2B5EF4-FFF2-40B4-BE49-F238E27FC236}">
              <a16:creationId xmlns:a16="http://schemas.microsoft.com/office/drawing/2014/main" id="{00000000-0008-0000-0100-00006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2" name="Text Box 15">
          <a:extLst>
            <a:ext uri="{FF2B5EF4-FFF2-40B4-BE49-F238E27FC236}">
              <a16:creationId xmlns:a16="http://schemas.microsoft.com/office/drawing/2014/main" id="{00000000-0008-0000-0100-00006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3" name="Text Box 15">
          <a:extLst>
            <a:ext uri="{FF2B5EF4-FFF2-40B4-BE49-F238E27FC236}">
              <a16:creationId xmlns:a16="http://schemas.microsoft.com/office/drawing/2014/main" id="{00000000-0008-0000-0100-00006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4" name="Text Box 15">
          <a:extLst>
            <a:ext uri="{FF2B5EF4-FFF2-40B4-BE49-F238E27FC236}">
              <a16:creationId xmlns:a16="http://schemas.microsoft.com/office/drawing/2014/main" id="{00000000-0008-0000-0100-00006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5" name="Text Box 15">
          <a:extLst>
            <a:ext uri="{FF2B5EF4-FFF2-40B4-BE49-F238E27FC236}">
              <a16:creationId xmlns:a16="http://schemas.microsoft.com/office/drawing/2014/main" id="{00000000-0008-0000-0100-00006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6" name="Text Box 15">
          <a:extLst>
            <a:ext uri="{FF2B5EF4-FFF2-40B4-BE49-F238E27FC236}">
              <a16:creationId xmlns:a16="http://schemas.microsoft.com/office/drawing/2014/main" id="{00000000-0008-0000-0100-00007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7" name="Text Box 15">
          <a:extLst>
            <a:ext uri="{FF2B5EF4-FFF2-40B4-BE49-F238E27FC236}">
              <a16:creationId xmlns:a16="http://schemas.microsoft.com/office/drawing/2014/main" id="{00000000-0008-0000-0100-00007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8" name="Text Box 15">
          <a:extLst>
            <a:ext uri="{FF2B5EF4-FFF2-40B4-BE49-F238E27FC236}">
              <a16:creationId xmlns:a16="http://schemas.microsoft.com/office/drawing/2014/main" id="{00000000-0008-0000-0100-00007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9" name="Text Box 15">
          <a:extLst>
            <a:ext uri="{FF2B5EF4-FFF2-40B4-BE49-F238E27FC236}">
              <a16:creationId xmlns:a16="http://schemas.microsoft.com/office/drawing/2014/main" id="{00000000-0008-0000-0100-00007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0" name="Text Box 15">
          <a:extLst>
            <a:ext uri="{FF2B5EF4-FFF2-40B4-BE49-F238E27FC236}">
              <a16:creationId xmlns:a16="http://schemas.microsoft.com/office/drawing/2014/main" id="{00000000-0008-0000-0100-00007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1" name="Text Box 15">
          <a:extLst>
            <a:ext uri="{FF2B5EF4-FFF2-40B4-BE49-F238E27FC236}">
              <a16:creationId xmlns:a16="http://schemas.microsoft.com/office/drawing/2014/main" id="{00000000-0008-0000-0100-00007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2" name="Text Box 15">
          <a:extLst>
            <a:ext uri="{FF2B5EF4-FFF2-40B4-BE49-F238E27FC236}">
              <a16:creationId xmlns:a16="http://schemas.microsoft.com/office/drawing/2014/main" id="{00000000-0008-0000-0100-00007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3" name="Text Box 15">
          <a:extLst>
            <a:ext uri="{FF2B5EF4-FFF2-40B4-BE49-F238E27FC236}">
              <a16:creationId xmlns:a16="http://schemas.microsoft.com/office/drawing/2014/main" id="{00000000-0008-0000-0100-00007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4" name="Text Box 15">
          <a:extLst>
            <a:ext uri="{FF2B5EF4-FFF2-40B4-BE49-F238E27FC236}">
              <a16:creationId xmlns:a16="http://schemas.microsoft.com/office/drawing/2014/main" id="{00000000-0008-0000-0100-00007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5" name="Text Box 15">
          <a:extLst>
            <a:ext uri="{FF2B5EF4-FFF2-40B4-BE49-F238E27FC236}">
              <a16:creationId xmlns:a16="http://schemas.microsoft.com/office/drawing/2014/main" id="{00000000-0008-0000-0100-00007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6" name="Text Box 15">
          <a:extLst>
            <a:ext uri="{FF2B5EF4-FFF2-40B4-BE49-F238E27FC236}">
              <a16:creationId xmlns:a16="http://schemas.microsoft.com/office/drawing/2014/main" id="{00000000-0008-0000-0100-00007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7" name="Text Box 15">
          <a:extLst>
            <a:ext uri="{FF2B5EF4-FFF2-40B4-BE49-F238E27FC236}">
              <a16:creationId xmlns:a16="http://schemas.microsoft.com/office/drawing/2014/main" id="{00000000-0008-0000-0100-00007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8" name="Text Box 15">
          <a:extLst>
            <a:ext uri="{FF2B5EF4-FFF2-40B4-BE49-F238E27FC236}">
              <a16:creationId xmlns:a16="http://schemas.microsoft.com/office/drawing/2014/main" id="{00000000-0008-0000-0100-00007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9" name="Text Box 15">
          <a:extLst>
            <a:ext uri="{FF2B5EF4-FFF2-40B4-BE49-F238E27FC236}">
              <a16:creationId xmlns:a16="http://schemas.microsoft.com/office/drawing/2014/main" id="{00000000-0008-0000-0100-00007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0" name="Text Box 15">
          <a:extLst>
            <a:ext uri="{FF2B5EF4-FFF2-40B4-BE49-F238E27FC236}">
              <a16:creationId xmlns:a16="http://schemas.microsoft.com/office/drawing/2014/main" id="{00000000-0008-0000-0100-00007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1" name="Text Box 15">
          <a:extLst>
            <a:ext uri="{FF2B5EF4-FFF2-40B4-BE49-F238E27FC236}">
              <a16:creationId xmlns:a16="http://schemas.microsoft.com/office/drawing/2014/main" id="{00000000-0008-0000-0100-00007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2" name="Text Box 15">
          <a:extLst>
            <a:ext uri="{FF2B5EF4-FFF2-40B4-BE49-F238E27FC236}">
              <a16:creationId xmlns:a16="http://schemas.microsoft.com/office/drawing/2014/main" id="{00000000-0008-0000-0100-00008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3" name="Text Box 15">
          <a:extLst>
            <a:ext uri="{FF2B5EF4-FFF2-40B4-BE49-F238E27FC236}">
              <a16:creationId xmlns:a16="http://schemas.microsoft.com/office/drawing/2014/main" id="{00000000-0008-0000-0100-00008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4" name="Text Box 15">
          <a:extLst>
            <a:ext uri="{FF2B5EF4-FFF2-40B4-BE49-F238E27FC236}">
              <a16:creationId xmlns:a16="http://schemas.microsoft.com/office/drawing/2014/main" id="{00000000-0008-0000-0100-00008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5" name="Text Box 15">
          <a:extLst>
            <a:ext uri="{FF2B5EF4-FFF2-40B4-BE49-F238E27FC236}">
              <a16:creationId xmlns:a16="http://schemas.microsoft.com/office/drawing/2014/main" id="{00000000-0008-0000-0100-00008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6" name="Text Box 15">
          <a:extLst>
            <a:ext uri="{FF2B5EF4-FFF2-40B4-BE49-F238E27FC236}">
              <a16:creationId xmlns:a16="http://schemas.microsoft.com/office/drawing/2014/main" id="{00000000-0008-0000-0100-00008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7" name="Text Box 15">
          <a:extLst>
            <a:ext uri="{FF2B5EF4-FFF2-40B4-BE49-F238E27FC236}">
              <a16:creationId xmlns:a16="http://schemas.microsoft.com/office/drawing/2014/main" id="{00000000-0008-0000-0100-00008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8" name="Text Box 15">
          <a:extLst>
            <a:ext uri="{FF2B5EF4-FFF2-40B4-BE49-F238E27FC236}">
              <a16:creationId xmlns:a16="http://schemas.microsoft.com/office/drawing/2014/main" id="{00000000-0008-0000-0100-00008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9" name="Text Box 15">
          <a:extLst>
            <a:ext uri="{FF2B5EF4-FFF2-40B4-BE49-F238E27FC236}">
              <a16:creationId xmlns:a16="http://schemas.microsoft.com/office/drawing/2014/main" id="{00000000-0008-0000-0100-00008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0" name="Text Box 15">
          <a:extLst>
            <a:ext uri="{FF2B5EF4-FFF2-40B4-BE49-F238E27FC236}">
              <a16:creationId xmlns:a16="http://schemas.microsoft.com/office/drawing/2014/main" id="{00000000-0008-0000-0100-00008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1" name="Text Box 15">
          <a:extLst>
            <a:ext uri="{FF2B5EF4-FFF2-40B4-BE49-F238E27FC236}">
              <a16:creationId xmlns:a16="http://schemas.microsoft.com/office/drawing/2014/main" id="{00000000-0008-0000-0100-00008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2" name="Text Box 15">
          <a:extLst>
            <a:ext uri="{FF2B5EF4-FFF2-40B4-BE49-F238E27FC236}">
              <a16:creationId xmlns:a16="http://schemas.microsoft.com/office/drawing/2014/main" id="{00000000-0008-0000-0100-00008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3" name="Text Box 15">
          <a:extLst>
            <a:ext uri="{FF2B5EF4-FFF2-40B4-BE49-F238E27FC236}">
              <a16:creationId xmlns:a16="http://schemas.microsoft.com/office/drawing/2014/main" id="{00000000-0008-0000-0100-00008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4" name="Text Box 15">
          <a:extLst>
            <a:ext uri="{FF2B5EF4-FFF2-40B4-BE49-F238E27FC236}">
              <a16:creationId xmlns:a16="http://schemas.microsoft.com/office/drawing/2014/main" id="{00000000-0008-0000-0100-00008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5" name="Text Box 15">
          <a:extLst>
            <a:ext uri="{FF2B5EF4-FFF2-40B4-BE49-F238E27FC236}">
              <a16:creationId xmlns:a16="http://schemas.microsoft.com/office/drawing/2014/main" id="{00000000-0008-0000-0100-00008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6" name="Text Box 15">
          <a:extLst>
            <a:ext uri="{FF2B5EF4-FFF2-40B4-BE49-F238E27FC236}">
              <a16:creationId xmlns:a16="http://schemas.microsoft.com/office/drawing/2014/main" id="{00000000-0008-0000-0100-00008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7" name="Text Box 15">
          <a:extLst>
            <a:ext uri="{FF2B5EF4-FFF2-40B4-BE49-F238E27FC236}">
              <a16:creationId xmlns:a16="http://schemas.microsoft.com/office/drawing/2014/main" id="{00000000-0008-0000-0100-00008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8" name="Text Box 15">
          <a:extLst>
            <a:ext uri="{FF2B5EF4-FFF2-40B4-BE49-F238E27FC236}">
              <a16:creationId xmlns:a16="http://schemas.microsoft.com/office/drawing/2014/main" id="{00000000-0008-0000-0100-00009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9" name="Text Box 15">
          <a:extLst>
            <a:ext uri="{FF2B5EF4-FFF2-40B4-BE49-F238E27FC236}">
              <a16:creationId xmlns:a16="http://schemas.microsoft.com/office/drawing/2014/main" id="{00000000-0008-0000-0100-00009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0" name="Text Box 15">
          <a:extLst>
            <a:ext uri="{FF2B5EF4-FFF2-40B4-BE49-F238E27FC236}">
              <a16:creationId xmlns:a16="http://schemas.microsoft.com/office/drawing/2014/main" id="{00000000-0008-0000-0100-00009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1" name="Text Box 15">
          <a:extLst>
            <a:ext uri="{FF2B5EF4-FFF2-40B4-BE49-F238E27FC236}">
              <a16:creationId xmlns:a16="http://schemas.microsoft.com/office/drawing/2014/main" id="{00000000-0008-0000-0100-00009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2" name="Text Box 15">
          <a:extLst>
            <a:ext uri="{FF2B5EF4-FFF2-40B4-BE49-F238E27FC236}">
              <a16:creationId xmlns:a16="http://schemas.microsoft.com/office/drawing/2014/main" id="{00000000-0008-0000-0100-00009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3" name="Text Box 15">
          <a:extLst>
            <a:ext uri="{FF2B5EF4-FFF2-40B4-BE49-F238E27FC236}">
              <a16:creationId xmlns:a16="http://schemas.microsoft.com/office/drawing/2014/main" id="{00000000-0008-0000-0100-00009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4" name="Text Box 15">
          <a:extLst>
            <a:ext uri="{FF2B5EF4-FFF2-40B4-BE49-F238E27FC236}">
              <a16:creationId xmlns:a16="http://schemas.microsoft.com/office/drawing/2014/main" id="{00000000-0008-0000-0100-00009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5" name="Text Box 15">
          <a:extLst>
            <a:ext uri="{FF2B5EF4-FFF2-40B4-BE49-F238E27FC236}">
              <a16:creationId xmlns:a16="http://schemas.microsoft.com/office/drawing/2014/main" id="{00000000-0008-0000-0100-00009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6" name="Text Box 15">
          <a:extLst>
            <a:ext uri="{FF2B5EF4-FFF2-40B4-BE49-F238E27FC236}">
              <a16:creationId xmlns:a16="http://schemas.microsoft.com/office/drawing/2014/main" id="{00000000-0008-0000-0100-00009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7" name="Text Box 15">
          <a:extLst>
            <a:ext uri="{FF2B5EF4-FFF2-40B4-BE49-F238E27FC236}">
              <a16:creationId xmlns:a16="http://schemas.microsoft.com/office/drawing/2014/main" id="{00000000-0008-0000-0100-00009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8" name="Text Box 15">
          <a:extLst>
            <a:ext uri="{FF2B5EF4-FFF2-40B4-BE49-F238E27FC236}">
              <a16:creationId xmlns:a16="http://schemas.microsoft.com/office/drawing/2014/main" id="{00000000-0008-0000-0100-00009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9" name="Text Box 15">
          <a:extLst>
            <a:ext uri="{FF2B5EF4-FFF2-40B4-BE49-F238E27FC236}">
              <a16:creationId xmlns:a16="http://schemas.microsoft.com/office/drawing/2014/main" id="{00000000-0008-0000-0100-00009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0" name="Text Box 15">
          <a:extLst>
            <a:ext uri="{FF2B5EF4-FFF2-40B4-BE49-F238E27FC236}">
              <a16:creationId xmlns:a16="http://schemas.microsoft.com/office/drawing/2014/main" id="{00000000-0008-0000-0100-00009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1" name="Text Box 15">
          <a:extLst>
            <a:ext uri="{FF2B5EF4-FFF2-40B4-BE49-F238E27FC236}">
              <a16:creationId xmlns:a16="http://schemas.microsoft.com/office/drawing/2014/main" id="{00000000-0008-0000-0100-00009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2" name="Text Box 15">
          <a:extLst>
            <a:ext uri="{FF2B5EF4-FFF2-40B4-BE49-F238E27FC236}">
              <a16:creationId xmlns:a16="http://schemas.microsoft.com/office/drawing/2014/main" id="{00000000-0008-0000-0100-00009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3" name="Text Box 15">
          <a:extLst>
            <a:ext uri="{FF2B5EF4-FFF2-40B4-BE49-F238E27FC236}">
              <a16:creationId xmlns:a16="http://schemas.microsoft.com/office/drawing/2014/main" id="{00000000-0008-0000-0100-00009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4" name="Text Box 15">
          <a:extLst>
            <a:ext uri="{FF2B5EF4-FFF2-40B4-BE49-F238E27FC236}">
              <a16:creationId xmlns:a16="http://schemas.microsoft.com/office/drawing/2014/main" id="{00000000-0008-0000-0100-0000A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5" name="Text Box 15">
          <a:extLst>
            <a:ext uri="{FF2B5EF4-FFF2-40B4-BE49-F238E27FC236}">
              <a16:creationId xmlns:a16="http://schemas.microsoft.com/office/drawing/2014/main" id="{00000000-0008-0000-0100-0000A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26" name="Text Box 15">
          <a:extLst>
            <a:ext uri="{FF2B5EF4-FFF2-40B4-BE49-F238E27FC236}">
              <a16:creationId xmlns:a16="http://schemas.microsoft.com/office/drawing/2014/main" id="{00000000-0008-0000-0100-0000A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7" name="Text Box 15">
          <a:extLst>
            <a:ext uri="{FF2B5EF4-FFF2-40B4-BE49-F238E27FC236}">
              <a16:creationId xmlns:a16="http://schemas.microsoft.com/office/drawing/2014/main" id="{00000000-0008-0000-0100-0000A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8" name="Text Box 15">
          <a:extLst>
            <a:ext uri="{FF2B5EF4-FFF2-40B4-BE49-F238E27FC236}">
              <a16:creationId xmlns:a16="http://schemas.microsoft.com/office/drawing/2014/main" id="{00000000-0008-0000-0100-0000A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9" name="Text Box 15">
          <a:extLst>
            <a:ext uri="{FF2B5EF4-FFF2-40B4-BE49-F238E27FC236}">
              <a16:creationId xmlns:a16="http://schemas.microsoft.com/office/drawing/2014/main" id="{00000000-0008-0000-0100-0000A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0" name="Text Box 15">
          <a:extLst>
            <a:ext uri="{FF2B5EF4-FFF2-40B4-BE49-F238E27FC236}">
              <a16:creationId xmlns:a16="http://schemas.microsoft.com/office/drawing/2014/main" id="{00000000-0008-0000-0100-0000A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31" name="Text Box 15">
          <a:extLst>
            <a:ext uri="{FF2B5EF4-FFF2-40B4-BE49-F238E27FC236}">
              <a16:creationId xmlns:a16="http://schemas.microsoft.com/office/drawing/2014/main" id="{00000000-0008-0000-0100-0000A7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2" name="Text Box 15">
          <a:extLst>
            <a:ext uri="{FF2B5EF4-FFF2-40B4-BE49-F238E27FC236}">
              <a16:creationId xmlns:a16="http://schemas.microsoft.com/office/drawing/2014/main" id="{00000000-0008-0000-0100-0000A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3" name="Text Box 15">
          <a:extLst>
            <a:ext uri="{FF2B5EF4-FFF2-40B4-BE49-F238E27FC236}">
              <a16:creationId xmlns:a16="http://schemas.microsoft.com/office/drawing/2014/main" id="{00000000-0008-0000-0100-0000A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4" name="Text Box 15">
          <a:extLst>
            <a:ext uri="{FF2B5EF4-FFF2-40B4-BE49-F238E27FC236}">
              <a16:creationId xmlns:a16="http://schemas.microsoft.com/office/drawing/2014/main" id="{00000000-0008-0000-0100-0000A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5" name="Text Box 15">
          <a:extLst>
            <a:ext uri="{FF2B5EF4-FFF2-40B4-BE49-F238E27FC236}">
              <a16:creationId xmlns:a16="http://schemas.microsoft.com/office/drawing/2014/main" id="{00000000-0008-0000-0100-0000A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6" name="Text Box 15">
          <a:extLst>
            <a:ext uri="{FF2B5EF4-FFF2-40B4-BE49-F238E27FC236}">
              <a16:creationId xmlns:a16="http://schemas.microsoft.com/office/drawing/2014/main" id="{00000000-0008-0000-0100-0000AC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7" name="Text Box 15">
          <a:extLst>
            <a:ext uri="{FF2B5EF4-FFF2-40B4-BE49-F238E27FC236}">
              <a16:creationId xmlns:a16="http://schemas.microsoft.com/office/drawing/2014/main" id="{00000000-0008-0000-0100-0000A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8" name="Text Box 15">
          <a:extLst>
            <a:ext uri="{FF2B5EF4-FFF2-40B4-BE49-F238E27FC236}">
              <a16:creationId xmlns:a16="http://schemas.microsoft.com/office/drawing/2014/main" id="{00000000-0008-0000-0100-0000AE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9" name="Text Box 15">
          <a:extLst>
            <a:ext uri="{FF2B5EF4-FFF2-40B4-BE49-F238E27FC236}">
              <a16:creationId xmlns:a16="http://schemas.microsoft.com/office/drawing/2014/main" id="{00000000-0008-0000-0100-0000A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0" name="Text Box 15">
          <a:extLst>
            <a:ext uri="{FF2B5EF4-FFF2-40B4-BE49-F238E27FC236}">
              <a16:creationId xmlns:a16="http://schemas.microsoft.com/office/drawing/2014/main" id="{00000000-0008-0000-0100-0000B0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1" name="Text Box 15">
          <a:extLst>
            <a:ext uri="{FF2B5EF4-FFF2-40B4-BE49-F238E27FC236}">
              <a16:creationId xmlns:a16="http://schemas.microsoft.com/office/drawing/2014/main" id="{00000000-0008-0000-0100-0000B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2" name="Text Box 15">
          <a:extLst>
            <a:ext uri="{FF2B5EF4-FFF2-40B4-BE49-F238E27FC236}">
              <a16:creationId xmlns:a16="http://schemas.microsoft.com/office/drawing/2014/main" id="{00000000-0008-0000-0100-0000B2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3" name="Text Box 15">
          <a:extLst>
            <a:ext uri="{FF2B5EF4-FFF2-40B4-BE49-F238E27FC236}">
              <a16:creationId xmlns:a16="http://schemas.microsoft.com/office/drawing/2014/main" id="{00000000-0008-0000-0100-0000B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44" name="Text Box 15">
          <a:extLst>
            <a:ext uri="{FF2B5EF4-FFF2-40B4-BE49-F238E27FC236}">
              <a16:creationId xmlns:a16="http://schemas.microsoft.com/office/drawing/2014/main" id="{00000000-0008-0000-0100-0000B4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5" name="Text Box 15">
          <a:extLst>
            <a:ext uri="{FF2B5EF4-FFF2-40B4-BE49-F238E27FC236}">
              <a16:creationId xmlns:a16="http://schemas.microsoft.com/office/drawing/2014/main" id="{00000000-0008-0000-0100-0000B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6" name="Text Box 15">
          <a:extLst>
            <a:ext uri="{FF2B5EF4-FFF2-40B4-BE49-F238E27FC236}">
              <a16:creationId xmlns:a16="http://schemas.microsoft.com/office/drawing/2014/main" id="{00000000-0008-0000-0100-0000B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7" name="Text Box 15">
          <a:extLst>
            <a:ext uri="{FF2B5EF4-FFF2-40B4-BE49-F238E27FC236}">
              <a16:creationId xmlns:a16="http://schemas.microsoft.com/office/drawing/2014/main" id="{00000000-0008-0000-0100-0000B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8" name="Text Box 15">
          <a:extLst>
            <a:ext uri="{FF2B5EF4-FFF2-40B4-BE49-F238E27FC236}">
              <a16:creationId xmlns:a16="http://schemas.microsoft.com/office/drawing/2014/main" id="{00000000-0008-0000-0100-0000B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49" name="Text Box 15">
          <a:extLst>
            <a:ext uri="{FF2B5EF4-FFF2-40B4-BE49-F238E27FC236}">
              <a16:creationId xmlns:a16="http://schemas.microsoft.com/office/drawing/2014/main" id="{00000000-0008-0000-0100-0000B9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50" name="Text Box 15">
          <a:extLst>
            <a:ext uri="{FF2B5EF4-FFF2-40B4-BE49-F238E27FC236}">
              <a16:creationId xmlns:a16="http://schemas.microsoft.com/office/drawing/2014/main" id="{00000000-0008-0000-0100-0000B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51" name="Text Box 15">
          <a:extLst>
            <a:ext uri="{FF2B5EF4-FFF2-40B4-BE49-F238E27FC236}">
              <a16:creationId xmlns:a16="http://schemas.microsoft.com/office/drawing/2014/main" id="{00000000-0008-0000-0100-0000BB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52" name="Text Box 15">
          <a:extLst>
            <a:ext uri="{FF2B5EF4-FFF2-40B4-BE49-F238E27FC236}">
              <a16:creationId xmlns:a16="http://schemas.microsoft.com/office/drawing/2014/main" id="{00000000-0008-0000-0100-0000BC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3" name="Text Box 15">
          <a:extLst>
            <a:ext uri="{FF2B5EF4-FFF2-40B4-BE49-F238E27FC236}">
              <a16:creationId xmlns:a16="http://schemas.microsoft.com/office/drawing/2014/main" id="{00000000-0008-0000-0100-0000B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4" name="Text Box 15">
          <a:extLst>
            <a:ext uri="{FF2B5EF4-FFF2-40B4-BE49-F238E27FC236}">
              <a16:creationId xmlns:a16="http://schemas.microsoft.com/office/drawing/2014/main" id="{00000000-0008-0000-0100-0000B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5" name="Text Box 15">
          <a:extLst>
            <a:ext uri="{FF2B5EF4-FFF2-40B4-BE49-F238E27FC236}">
              <a16:creationId xmlns:a16="http://schemas.microsoft.com/office/drawing/2014/main" id="{00000000-0008-0000-0100-0000B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6" name="Text Box 15">
          <a:extLst>
            <a:ext uri="{FF2B5EF4-FFF2-40B4-BE49-F238E27FC236}">
              <a16:creationId xmlns:a16="http://schemas.microsoft.com/office/drawing/2014/main" id="{00000000-0008-0000-0100-0000C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7" name="Text Box 15">
          <a:extLst>
            <a:ext uri="{FF2B5EF4-FFF2-40B4-BE49-F238E27FC236}">
              <a16:creationId xmlns:a16="http://schemas.microsoft.com/office/drawing/2014/main" id="{00000000-0008-0000-0100-0000C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8" name="Text Box 15">
          <a:extLst>
            <a:ext uri="{FF2B5EF4-FFF2-40B4-BE49-F238E27FC236}">
              <a16:creationId xmlns:a16="http://schemas.microsoft.com/office/drawing/2014/main" id="{00000000-0008-0000-0100-0000C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9" name="Text Box 15">
          <a:extLst>
            <a:ext uri="{FF2B5EF4-FFF2-40B4-BE49-F238E27FC236}">
              <a16:creationId xmlns:a16="http://schemas.microsoft.com/office/drawing/2014/main" id="{00000000-0008-0000-0100-0000C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0" name="Text Box 15">
          <a:extLst>
            <a:ext uri="{FF2B5EF4-FFF2-40B4-BE49-F238E27FC236}">
              <a16:creationId xmlns:a16="http://schemas.microsoft.com/office/drawing/2014/main" id="{00000000-0008-0000-0100-0000C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1" name="Text Box 15">
          <a:extLst>
            <a:ext uri="{FF2B5EF4-FFF2-40B4-BE49-F238E27FC236}">
              <a16:creationId xmlns:a16="http://schemas.microsoft.com/office/drawing/2014/main" id="{00000000-0008-0000-0100-0000C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2" name="Text Box 15">
          <a:extLst>
            <a:ext uri="{FF2B5EF4-FFF2-40B4-BE49-F238E27FC236}">
              <a16:creationId xmlns:a16="http://schemas.microsoft.com/office/drawing/2014/main" id="{00000000-0008-0000-0100-0000C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3" name="Text Box 15">
          <a:extLst>
            <a:ext uri="{FF2B5EF4-FFF2-40B4-BE49-F238E27FC236}">
              <a16:creationId xmlns:a16="http://schemas.microsoft.com/office/drawing/2014/main" id="{00000000-0008-0000-0100-0000C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4" name="Text Box 15">
          <a:extLst>
            <a:ext uri="{FF2B5EF4-FFF2-40B4-BE49-F238E27FC236}">
              <a16:creationId xmlns:a16="http://schemas.microsoft.com/office/drawing/2014/main" id="{00000000-0008-0000-0100-0000C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5" name="Text Box 15">
          <a:extLst>
            <a:ext uri="{FF2B5EF4-FFF2-40B4-BE49-F238E27FC236}">
              <a16:creationId xmlns:a16="http://schemas.microsoft.com/office/drawing/2014/main" id="{00000000-0008-0000-0100-0000C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6" name="Text Box 15">
          <a:extLst>
            <a:ext uri="{FF2B5EF4-FFF2-40B4-BE49-F238E27FC236}">
              <a16:creationId xmlns:a16="http://schemas.microsoft.com/office/drawing/2014/main" id="{00000000-0008-0000-0100-0000C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7" name="Text Box 15">
          <a:extLst>
            <a:ext uri="{FF2B5EF4-FFF2-40B4-BE49-F238E27FC236}">
              <a16:creationId xmlns:a16="http://schemas.microsoft.com/office/drawing/2014/main" id="{00000000-0008-0000-0100-0000C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8" name="Text Box 15">
          <a:extLst>
            <a:ext uri="{FF2B5EF4-FFF2-40B4-BE49-F238E27FC236}">
              <a16:creationId xmlns:a16="http://schemas.microsoft.com/office/drawing/2014/main" id="{00000000-0008-0000-0100-0000C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9" name="Text Box 15">
          <a:extLst>
            <a:ext uri="{FF2B5EF4-FFF2-40B4-BE49-F238E27FC236}">
              <a16:creationId xmlns:a16="http://schemas.microsoft.com/office/drawing/2014/main" id="{00000000-0008-0000-0100-0000C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0" name="Text Box 15">
          <a:extLst>
            <a:ext uri="{FF2B5EF4-FFF2-40B4-BE49-F238E27FC236}">
              <a16:creationId xmlns:a16="http://schemas.microsoft.com/office/drawing/2014/main" id="{00000000-0008-0000-0100-0000C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1" name="Text Box 15">
          <a:extLst>
            <a:ext uri="{FF2B5EF4-FFF2-40B4-BE49-F238E27FC236}">
              <a16:creationId xmlns:a16="http://schemas.microsoft.com/office/drawing/2014/main" id="{00000000-0008-0000-0100-0000C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2" name="Text Box 15">
          <a:extLst>
            <a:ext uri="{FF2B5EF4-FFF2-40B4-BE49-F238E27FC236}">
              <a16:creationId xmlns:a16="http://schemas.microsoft.com/office/drawing/2014/main" id="{00000000-0008-0000-0100-0000D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3" name="Text Box 15">
          <a:extLst>
            <a:ext uri="{FF2B5EF4-FFF2-40B4-BE49-F238E27FC236}">
              <a16:creationId xmlns:a16="http://schemas.microsoft.com/office/drawing/2014/main" id="{00000000-0008-0000-0100-0000D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4" name="Text Box 15">
          <a:extLst>
            <a:ext uri="{FF2B5EF4-FFF2-40B4-BE49-F238E27FC236}">
              <a16:creationId xmlns:a16="http://schemas.microsoft.com/office/drawing/2014/main" id="{00000000-0008-0000-0100-0000D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5" name="Text Box 15">
          <a:extLst>
            <a:ext uri="{FF2B5EF4-FFF2-40B4-BE49-F238E27FC236}">
              <a16:creationId xmlns:a16="http://schemas.microsoft.com/office/drawing/2014/main" id="{00000000-0008-0000-0100-0000D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6" name="Text Box 15">
          <a:extLst>
            <a:ext uri="{FF2B5EF4-FFF2-40B4-BE49-F238E27FC236}">
              <a16:creationId xmlns:a16="http://schemas.microsoft.com/office/drawing/2014/main" id="{00000000-0008-0000-0100-0000D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77" name="Text Box 15">
          <a:extLst>
            <a:ext uri="{FF2B5EF4-FFF2-40B4-BE49-F238E27FC236}">
              <a16:creationId xmlns:a16="http://schemas.microsoft.com/office/drawing/2014/main" id="{00000000-0008-0000-0100-0000D5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8" name="Text Box 15">
          <a:extLst>
            <a:ext uri="{FF2B5EF4-FFF2-40B4-BE49-F238E27FC236}">
              <a16:creationId xmlns:a16="http://schemas.microsoft.com/office/drawing/2014/main" id="{00000000-0008-0000-0100-0000D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9" name="Text Box 15">
          <a:extLst>
            <a:ext uri="{FF2B5EF4-FFF2-40B4-BE49-F238E27FC236}">
              <a16:creationId xmlns:a16="http://schemas.microsoft.com/office/drawing/2014/main" id="{00000000-0008-0000-0100-0000D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0" name="Text Box 15">
          <a:extLst>
            <a:ext uri="{FF2B5EF4-FFF2-40B4-BE49-F238E27FC236}">
              <a16:creationId xmlns:a16="http://schemas.microsoft.com/office/drawing/2014/main" id="{00000000-0008-0000-0100-0000D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1" name="Text Box 15">
          <a:extLst>
            <a:ext uri="{FF2B5EF4-FFF2-40B4-BE49-F238E27FC236}">
              <a16:creationId xmlns:a16="http://schemas.microsoft.com/office/drawing/2014/main" id="{00000000-0008-0000-0100-0000D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2" name="Text Box 15">
          <a:extLst>
            <a:ext uri="{FF2B5EF4-FFF2-40B4-BE49-F238E27FC236}">
              <a16:creationId xmlns:a16="http://schemas.microsoft.com/office/drawing/2014/main" id="{00000000-0008-0000-0100-0000D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3" name="Text Box 15">
          <a:extLst>
            <a:ext uri="{FF2B5EF4-FFF2-40B4-BE49-F238E27FC236}">
              <a16:creationId xmlns:a16="http://schemas.microsoft.com/office/drawing/2014/main" id="{00000000-0008-0000-0100-0000D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4" name="Text Box 15">
          <a:extLst>
            <a:ext uri="{FF2B5EF4-FFF2-40B4-BE49-F238E27FC236}">
              <a16:creationId xmlns:a16="http://schemas.microsoft.com/office/drawing/2014/main" id="{00000000-0008-0000-0100-0000D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5" name="Text Box 15">
          <a:extLst>
            <a:ext uri="{FF2B5EF4-FFF2-40B4-BE49-F238E27FC236}">
              <a16:creationId xmlns:a16="http://schemas.microsoft.com/office/drawing/2014/main" id="{00000000-0008-0000-0100-0000D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6" name="Text Box 15">
          <a:extLst>
            <a:ext uri="{FF2B5EF4-FFF2-40B4-BE49-F238E27FC236}">
              <a16:creationId xmlns:a16="http://schemas.microsoft.com/office/drawing/2014/main" id="{00000000-0008-0000-0100-0000D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7" name="Text Box 15">
          <a:extLst>
            <a:ext uri="{FF2B5EF4-FFF2-40B4-BE49-F238E27FC236}">
              <a16:creationId xmlns:a16="http://schemas.microsoft.com/office/drawing/2014/main" id="{00000000-0008-0000-0100-0000D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8" name="Text Box 15">
          <a:extLst>
            <a:ext uri="{FF2B5EF4-FFF2-40B4-BE49-F238E27FC236}">
              <a16:creationId xmlns:a16="http://schemas.microsoft.com/office/drawing/2014/main" id="{00000000-0008-0000-0100-0000E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9" name="Text Box 15">
          <a:extLst>
            <a:ext uri="{FF2B5EF4-FFF2-40B4-BE49-F238E27FC236}">
              <a16:creationId xmlns:a16="http://schemas.microsoft.com/office/drawing/2014/main" id="{00000000-0008-0000-0100-0000E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0" name="Text Box 15">
          <a:extLst>
            <a:ext uri="{FF2B5EF4-FFF2-40B4-BE49-F238E27FC236}">
              <a16:creationId xmlns:a16="http://schemas.microsoft.com/office/drawing/2014/main" id="{00000000-0008-0000-0100-0000E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1" name="Text Box 15">
          <a:extLst>
            <a:ext uri="{FF2B5EF4-FFF2-40B4-BE49-F238E27FC236}">
              <a16:creationId xmlns:a16="http://schemas.microsoft.com/office/drawing/2014/main" id="{00000000-0008-0000-0100-0000E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2" name="Text Box 15">
          <a:extLst>
            <a:ext uri="{FF2B5EF4-FFF2-40B4-BE49-F238E27FC236}">
              <a16:creationId xmlns:a16="http://schemas.microsoft.com/office/drawing/2014/main" id="{00000000-0008-0000-0100-0000E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3" name="Text Box 15">
          <a:extLst>
            <a:ext uri="{FF2B5EF4-FFF2-40B4-BE49-F238E27FC236}">
              <a16:creationId xmlns:a16="http://schemas.microsoft.com/office/drawing/2014/main" id="{00000000-0008-0000-0100-0000E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4" name="Text Box 15">
          <a:extLst>
            <a:ext uri="{FF2B5EF4-FFF2-40B4-BE49-F238E27FC236}">
              <a16:creationId xmlns:a16="http://schemas.microsoft.com/office/drawing/2014/main" id="{00000000-0008-0000-0100-0000E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5" name="Text Box 15">
          <a:extLst>
            <a:ext uri="{FF2B5EF4-FFF2-40B4-BE49-F238E27FC236}">
              <a16:creationId xmlns:a16="http://schemas.microsoft.com/office/drawing/2014/main" id="{00000000-0008-0000-0100-0000E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6" name="Text Box 15">
          <a:extLst>
            <a:ext uri="{FF2B5EF4-FFF2-40B4-BE49-F238E27FC236}">
              <a16:creationId xmlns:a16="http://schemas.microsoft.com/office/drawing/2014/main" id="{00000000-0008-0000-0100-0000E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7" name="Text Box 15">
          <a:extLst>
            <a:ext uri="{FF2B5EF4-FFF2-40B4-BE49-F238E27FC236}">
              <a16:creationId xmlns:a16="http://schemas.microsoft.com/office/drawing/2014/main" id="{00000000-0008-0000-0100-0000E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8" name="Text Box 15">
          <a:extLst>
            <a:ext uri="{FF2B5EF4-FFF2-40B4-BE49-F238E27FC236}">
              <a16:creationId xmlns:a16="http://schemas.microsoft.com/office/drawing/2014/main" id="{00000000-0008-0000-0100-0000E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9" name="Text Box 15">
          <a:extLst>
            <a:ext uri="{FF2B5EF4-FFF2-40B4-BE49-F238E27FC236}">
              <a16:creationId xmlns:a16="http://schemas.microsoft.com/office/drawing/2014/main" id="{00000000-0008-0000-0100-0000E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0" name="Text Box 15">
          <a:extLst>
            <a:ext uri="{FF2B5EF4-FFF2-40B4-BE49-F238E27FC236}">
              <a16:creationId xmlns:a16="http://schemas.microsoft.com/office/drawing/2014/main" id="{00000000-0008-0000-0100-0000E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1" name="Text Box 15">
          <a:extLst>
            <a:ext uri="{FF2B5EF4-FFF2-40B4-BE49-F238E27FC236}">
              <a16:creationId xmlns:a16="http://schemas.microsoft.com/office/drawing/2014/main" id="{00000000-0008-0000-0100-0000E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2" name="Text Box 15">
          <a:extLst>
            <a:ext uri="{FF2B5EF4-FFF2-40B4-BE49-F238E27FC236}">
              <a16:creationId xmlns:a16="http://schemas.microsoft.com/office/drawing/2014/main" id="{00000000-0008-0000-0100-0000E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3" name="Text Box 15">
          <a:extLst>
            <a:ext uri="{FF2B5EF4-FFF2-40B4-BE49-F238E27FC236}">
              <a16:creationId xmlns:a16="http://schemas.microsoft.com/office/drawing/2014/main" id="{00000000-0008-0000-0100-0000E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4" name="Text Box 15">
          <a:extLst>
            <a:ext uri="{FF2B5EF4-FFF2-40B4-BE49-F238E27FC236}">
              <a16:creationId xmlns:a16="http://schemas.microsoft.com/office/drawing/2014/main" id="{00000000-0008-0000-0100-0000F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5" name="Text Box 15">
          <a:extLst>
            <a:ext uri="{FF2B5EF4-FFF2-40B4-BE49-F238E27FC236}">
              <a16:creationId xmlns:a16="http://schemas.microsoft.com/office/drawing/2014/main" id="{00000000-0008-0000-0100-0000F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6" name="Text Box 15">
          <a:extLst>
            <a:ext uri="{FF2B5EF4-FFF2-40B4-BE49-F238E27FC236}">
              <a16:creationId xmlns:a16="http://schemas.microsoft.com/office/drawing/2014/main" id="{00000000-0008-0000-0100-0000F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7" name="Text Box 15">
          <a:extLst>
            <a:ext uri="{FF2B5EF4-FFF2-40B4-BE49-F238E27FC236}">
              <a16:creationId xmlns:a16="http://schemas.microsoft.com/office/drawing/2014/main" id="{00000000-0008-0000-0100-0000F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8" name="Text Box 15">
          <a:extLst>
            <a:ext uri="{FF2B5EF4-FFF2-40B4-BE49-F238E27FC236}">
              <a16:creationId xmlns:a16="http://schemas.microsoft.com/office/drawing/2014/main" id="{00000000-0008-0000-0100-0000F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9" name="Text Box 15">
          <a:extLst>
            <a:ext uri="{FF2B5EF4-FFF2-40B4-BE49-F238E27FC236}">
              <a16:creationId xmlns:a16="http://schemas.microsoft.com/office/drawing/2014/main" id="{00000000-0008-0000-0100-0000F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0" name="Text Box 15">
          <a:extLst>
            <a:ext uri="{FF2B5EF4-FFF2-40B4-BE49-F238E27FC236}">
              <a16:creationId xmlns:a16="http://schemas.microsoft.com/office/drawing/2014/main" id="{00000000-0008-0000-0100-0000F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1" name="Text Box 15">
          <a:extLst>
            <a:ext uri="{FF2B5EF4-FFF2-40B4-BE49-F238E27FC236}">
              <a16:creationId xmlns:a16="http://schemas.microsoft.com/office/drawing/2014/main" id="{00000000-0008-0000-0100-0000F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2" name="Text Box 15">
          <a:extLst>
            <a:ext uri="{FF2B5EF4-FFF2-40B4-BE49-F238E27FC236}">
              <a16:creationId xmlns:a16="http://schemas.microsoft.com/office/drawing/2014/main" id="{00000000-0008-0000-0100-0000F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3" name="Text Box 15">
          <a:extLst>
            <a:ext uri="{FF2B5EF4-FFF2-40B4-BE49-F238E27FC236}">
              <a16:creationId xmlns:a16="http://schemas.microsoft.com/office/drawing/2014/main" id="{00000000-0008-0000-0100-0000F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4" name="Text Box 15">
          <a:extLst>
            <a:ext uri="{FF2B5EF4-FFF2-40B4-BE49-F238E27FC236}">
              <a16:creationId xmlns:a16="http://schemas.microsoft.com/office/drawing/2014/main" id="{00000000-0008-0000-0100-0000F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5" name="Text Box 15">
          <a:extLst>
            <a:ext uri="{FF2B5EF4-FFF2-40B4-BE49-F238E27FC236}">
              <a16:creationId xmlns:a16="http://schemas.microsoft.com/office/drawing/2014/main" id="{00000000-0008-0000-0100-0000F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6" name="Text Box 15">
          <a:extLst>
            <a:ext uri="{FF2B5EF4-FFF2-40B4-BE49-F238E27FC236}">
              <a16:creationId xmlns:a16="http://schemas.microsoft.com/office/drawing/2014/main" id="{00000000-0008-0000-0100-0000F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7" name="Text Box 15">
          <a:extLst>
            <a:ext uri="{FF2B5EF4-FFF2-40B4-BE49-F238E27FC236}">
              <a16:creationId xmlns:a16="http://schemas.microsoft.com/office/drawing/2014/main" id="{00000000-0008-0000-0100-0000F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8" name="Text Box 15">
          <a:extLst>
            <a:ext uri="{FF2B5EF4-FFF2-40B4-BE49-F238E27FC236}">
              <a16:creationId xmlns:a16="http://schemas.microsoft.com/office/drawing/2014/main" id="{00000000-0008-0000-0100-0000F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9" name="Text Box 15">
          <a:extLst>
            <a:ext uri="{FF2B5EF4-FFF2-40B4-BE49-F238E27FC236}">
              <a16:creationId xmlns:a16="http://schemas.microsoft.com/office/drawing/2014/main" id="{00000000-0008-0000-0100-0000F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0" name="Text Box 15">
          <a:extLst>
            <a:ext uri="{FF2B5EF4-FFF2-40B4-BE49-F238E27FC236}">
              <a16:creationId xmlns:a16="http://schemas.microsoft.com/office/drawing/2014/main" id="{00000000-0008-0000-0100-00000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1" name="Text Box 15">
          <a:extLst>
            <a:ext uri="{FF2B5EF4-FFF2-40B4-BE49-F238E27FC236}">
              <a16:creationId xmlns:a16="http://schemas.microsoft.com/office/drawing/2014/main" id="{00000000-0008-0000-0100-00000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2" name="Text Box 15">
          <a:extLst>
            <a:ext uri="{FF2B5EF4-FFF2-40B4-BE49-F238E27FC236}">
              <a16:creationId xmlns:a16="http://schemas.microsoft.com/office/drawing/2014/main" id="{00000000-0008-0000-0100-00000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3" name="Text Box 15">
          <a:extLst>
            <a:ext uri="{FF2B5EF4-FFF2-40B4-BE49-F238E27FC236}">
              <a16:creationId xmlns:a16="http://schemas.microsoft.com/office/drawing/2014/main" id="{00000000-0008-0000-0100-00000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4" name="Text Box 15">
          <a:extLst>
            <a:ext uri="{FF2B5EF4-FFF2-40B4-BE49-F238E27FC236}">
              <a16:creationId xmlns:a16="http://schemas.microsoft.com/office/drawing/2014/main" id="{00000000-0008-0000-0100-00000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5" name="Text Box 15">
          <a:extLst>
            <a:ext uri="{FF2B5EF4-FFF2-40B4-BE49-F238E27FC236}">
              <a16:creationId xmlns:a16="http://schemas.microsoft.com/office/drawing/2014/main" id="{00000000-0008-0000-0100-00000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6" name="Text Box 15">
          <a:extLst>
            <a:ext uri="{FF2B5EF4-FFF2-40B4-BE49-F238E27FC236}">
              <a16:creationId xmlns:a16="http://schemas.microsoft.com/office/drawing/2014/main" id="{00000000-0008-0000-0100-00000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7" name="Text Box 15">
          <a:extLst>
            <a:ext uri="{FF2B5EF4-FFF2-40B4-BE49-F238E27FC236}">
              <a16:creationId xmlns:a16="http://schemas.microsoft.com/office/drawing/2014/main" id="{00000000-0008-0000-0100-00000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8" name="Text Box 15">
          <a:extLst>
            <a:ext uri="{FF2B5EF4-FFF2-40B4-BE49-F238E27FC236}">
              <a16:creationId xmlns:a16="http://schemas.microsoft.com/office/drawing/2014/main" id="{00000000-0008-0000-0100-00000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9" name="Text Box 15">
          <a:extLst>
            <a:ext uri="{FF2B5EF4-FFF2-40B4-BE49-F238E27FC236}">
              <a16:creationId xmlns:a16="http://schemas.microsoft.com/office/drawing/2014/main" id="{00000000-0008-0000-0100-00000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0" name="Text Box 15">
          <a:extLst>
            <a:ext uri="{FF2B5EF4-FFF2-40B4-BE49-F238E27FC236}">
              <a16:creationId xmlns:a16="http://schemas.microsoft.com/office/drawing/2014/main" id="{00000000-0008-0000-0100-00000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1" name="Text Box 15">
          <a:extLst>
            <a:ext uri="{FF2B5EF4-FFF2-40B4-BE49-F238E27FC236}">
              <a16:creationId xmlns:a16="http://schemas.microsoft.com/office/drawing/2014/main" id="{00000000-0008-0000-0100-00000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2" name="Text Box 15">
          <a:extLst>
            <a:ext uri="{FF2B5EF4-FFF2-40B4-BE49-F238E27FC236}">
              <a16:creationId xmlns:a16="http://schemas.microsoft.com/office/drawing/2014/main" id="{00000000-0008-0000-0100-00000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3" name="Text Box 15">
          <a:extLst>
            <a:ext uri="{FF2B5EF4-FFF2-40B4-BE49-F238E27FC236}">
              <a16:creationId xmlns:a16="http://schemas.microsoft.com/office/drawing/2014/main" id="{00000000-0008-0000-0100-00000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4" name="Text Box 15">
          <a:extLst>
            <a:ext uri="{FF2B5EF4-FFF2-40B4-BE49-F238E27FC236}">
              <a16:creationId xmlns:a16="http://schemas.microsoft.com/office/drawing/2014/main" id="{00000000-0008-0000-0100-00000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5" name="Text Box 15">
          <a:extLst>
            <a:ext uri="{FF2B5EF4-FFF2-40B4-BE49-F238E27FC236}">
              <a16:creationId xmlns:a16="http://schemas.microsoft.com/office/drawing/2014/main" id="{00000000-0008-0000-0100-00000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6" name="Text Box 15">
          <a:extLst>
            <a:ext uri="{FF2B5EF4-FFF2-40B4-BE49-F238E27FC236}">
              <a16:creationId xmlns:a16="http://schemas.microsoft.com/office/drawing/2014/main" id="{00000000-0008-0000-0100-00001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7" name="Text Box 15">
          <a:extLst>
            <a:ext uri="{FF2B5EF4-FFF2-40B4-BE49-F238E27FC236}">
              <a16:creationId xmlns:a16="http://schemas.microsoft.com/office/drawing/2014/main" id="{00000000-0008-0000-0100-00001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8" name="Text Box 15">
          <a:extLst>
            <a:ext uri="{FF2B5EF4-FFF2-40B4-BE49-F238E27FC236}">
              <a16:creationId xmlns:a16="http://schemas.microsoft.com/office/drawing/2014/main" id="{00000000-0008-0000-0100-00001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9" name="Text Box 15">
          <a:extLst>
            <a:ext uri="{FF2B5EF4-FFF2-40B4-BE49-F238E27FC236}">
              <a16:creationId xmlns:a16="http://schemas.microsoft.com/office/drawing/2014/main" id="{00000000-0008-0000-0100-00001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0" name="Text Box 15">
          <a:extLst>
            <a:ext uri="{FF2B5EF4-FFF2-40B4-BE49-F238E27FC236}">
              <a16:creationId xmlns:a16="http://schemas.microsoft.com/office/drawing/2014/main" id="{00000000-0008-0000-0100-00001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1" name="Text Box 15">
          <a:extLst>
            <a:ext uri="{FF2B5EF4-FFF2-40B4-BE49-F238E27FC236}">
              <a16:creationId xmlns:a16="http://schemas.microsoft.com/office/drawing/2014/main" id="{00000000-0008-0000-0100-00001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2" name="Text Box 15">
          <a:extLst>
            <a:ext uri="{FF2B5EF4-FFF2-40B4-BE49-F238E27FC236}">
              <a16:creationId xmlns:a16="http://schemas.microsoft.com/office/drawing/2014/main" id="{00000000-0008-0000-0100-00001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3" name="Text Box 15">
          <a:extLst>
            <a:ext uri="{FF2B5EF4-FFF2-40B4-BE49-F238E27FC236}">
              <a16:creationId xmlns:a16="http://schemas.microsoft.com/office/drawing/2014/main" id="{00000000-0008-0000-0100-00001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4" name="Text Box 15">
          <a:extLst>
            <a:ext uri="{FF2B5EF4-FFF2-40B4-BE49-F238E27FC236}">
              <a16:creationId xmlns:a16="http://schemas.microsoft.com/office/drawing/2014/main" id="{00000000-0008-0000-0100-00001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5" name="Text Box 15">
          <a:extLst>
            <a:ext uri="{FF2B5EF4-FFF2-40B4-BE49-F238E27FC236}">
              <a16:creationId xmlns:a16="http://schemas.microsoft.com/office/drawing/2014/main" id="{00000000-0008-0000-0100-00001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6" name="Text Box 15">
          <a:extLst>
            <a:ext uri="{FF2B5EF4-FFF2-40B4-BE49-F238E27FC236}">
              <a16:creationId xmlns:a16="http://schemas.microsoft.com/office/drawing/2014/main" id="{00000000-0008-0000-0100-00001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7" name="Text Box 15">
          <a:extLst>
            <a:ext uri="{FF2B5EF4-FFF2-40B4-BE49-F238E27FC236}">
              <a16:creationId xmlns:a16="http://schemas.microsoft.com/office/drawing/2014/main" id="{00000000-0008-0000-0100-00001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8" name="Text Box 15">
          <a:extLst>
            <a:ext uri="{FF2B5EF4-FFF2-40B4-BE49-F238E27FC236}">
              <a16:creationId xmlns:a16="http://schemas.microsoft.com/office/drawing/2014/main" id="{00000000-0008-0000-0100-00001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9" name="Text Box 15">
          <a:extLst>
            <a:ext uri="{FF2B5EF4-FFF2-40B4-BE49-F238E27FC236}">
              <a16:creationId xmlns:a16="http://schemas.microsoft.com/office/drawing/2014/main" id="{00000000-0008-0000-0100-00001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50" name="Text Box 15">
          <a:extLst>
            <a:ext uri="{FF2B5EF4-FFF2-40B4-BE49-F238E27FC236}">
              <a16:creationId xmlns:a16="http://schemas.microsoft.com/office/drawing/2014/main" id="{00000000-0008-0000-0100-00001E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1" name="Text Box 15">
          <a:extLst>
            <a:ext uri="{FF2B5EF4-FFF2-40B4-BE49-F238E27FC236}">
              <a16:creationId xmlns:a16="http://schemas.microsoft.com/office/drawing/2014/main" id="{00000000-0008-0000-0100-00001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2" name="Text Box 15">
          <a:extLst>
            <a:ext uri="{FF2B5EF4-FFF2-40B4-BE49-F238E27FC236}">
              <a16:creationId xmlns:a16="http://schemas.microsoft.com/office/drawing/2014/main" id="{00000000-0008-0000-0100-00002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3" name="Text Box 15">
          <a:extLst>
            <a:ext uri="{FF2B5EF4-FFF2-40B4-BE49-F238E27FC236}">
              <a16:creationId xmlns:a16="http://schemas.microsoft.com/office/drawing/2014/main" id="{00000000-0008-0000-0100-00002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4" name="Text Box 15">
          <a:extLst>
            <a:ext uri="{FF2B5EF4-FFF2-40B4-BE49-F238E27FC236}">
              <a16:creationId xmlns:a16="http://schemas.microsoft.com/office/drawing/2014/main" id="{00000000-0008-0000-0100-00002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55" name="Text Box 15">
          <a:extLst>
            <a:ext uri="{FF2B5EF4-FFF2-40B4-BE49-F238E27FC236}">
              <a16:creationId xmlns:a16="http://schemas.microsoft.com/office/drawing/2014/main" id="{00000000-0008-0000-0100-000023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6" name="Text Box 15">
          <a:extLst>
            <a:ext uri="{FF2B5EF4-FFF2-40B4-BE49-F238E27FC236}">
              <a16:creationId xmlns:a16="http://schemas.microsoft.com/office/drawing/2014/main" id="{00000000-0008-0000-0100-00002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7" name="Text Box 15">
          <a:extLst>
            <a:ext uri="{FF2B5EF4-FFF2-40B4-BE49-F238E27FC236}">
              <a16:creationId xmlns:a16="http://schemas.microsoft.com/office/drawing/2014/main" id="{00000000-0008-0000-0100-00002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8" name="Text Box 15">
          <a:extLst>
            <a:ext uri="{FF2B5EF4-FFF2-40B4-BE49-F238E27FC236}">
              <a16:creationId xmlns:a16="http://schemas.microsoft.com/office/drawing/2014/main" id="{00000000-0008-0000-0100-00002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9" name="Text Box 15">
          <a:extLst>
            <a:ext uri="{FF2B5EF4-FFF2-40B4-BE49-F238E27FC236}">
              <a16:creationId xmlns:a16="http://schemas.microsoft.com/office/drawing/2014/main" id="{00000000-0008-0000-0100-000027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0" name="Text Box 15">
          <a:extLst>
            <a:ext uri="{FF2B5EF4-FFF2-40B4-BE49-F238E27FC236}">
              <a16:creationId xmlns:a16="http://schemas.microsoft.com/office/drawing/2014/main" id="{00000000-0008-0000-0100-000028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1" name="Text Box 15">
          <a:extLst>
            <a:ext uri="{FF2B5EF4-FFF2-40B4-BE49-F238E27FC236}">
              <a16:creationId xmlns:a16="http://schemas.microsoft.com/office/drawing/2014/main" id="{00000000-0008-0000-0100-00002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2" name="Text Box 15">
          <a:extLst>
            <a:ext uri="{FF2B5EF4-FFF2-40B4-BE49-F238E27FC236}">
              <a16:creationId xmlns:a16="http://schemas.microsoft.com/office/drawing/2014/main" id="{00000000-0008-0000-0100-00002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3" name="Text Box 15">
          <a:extLst>
            <a:ext uri="{FF2B5EF4-FFF2-40B4-BE49-F238E27FC236}">
              <a16:creationId xmlns:a16="http://schemas.microsoft.com/office/drawing/2014/main" id="{00000000-0008-0000-0100-00002B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4" name="Text Box 15">
          <a:extLst>
            <a:ext uri="{FF2B5EF4-FFF2-40B4-BE49-F238E27FC236}">
              <a16:creationId xmlns:a16="http://schemas.microsoft.com/office/drawing/2014/main" id="{00000000-0008-0000-0100-00002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5" name="Text Box 15">
          <a:extLst>
            <a:ext uri="{FF2B5EF4-FFF2-40B4-BE49-F238E27FC236}">
              <a16:creationId xmlns:a16="http://schemas.microsoft.com/office/drawing/2014/main" id="{00000000-0008-0000-0100-00002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6" name="Text Box 15">
          <a:extLst>
            <a:ext uri="{FF2B5EF4-FFF2-40B4-BE49-F238E27FC236}">
              <a16:creationId xmlns:a16="http://schemas.microsoft.com/office/drawing/2014/main" id="{00000000-0008-0000-0100-00002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7" name="Text Box 15">
          <a:extLst>
            <a:ext uri="{FF2B5EF4-FFF2-40B4-BE49-F238E27FC236}">
              <a16:creationId xmlns:a16="http://schemas.microsoft.com/office/drawing/2014/main" id="{00000000-0008-0000-0100-00002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68" name="Text Box 15">
          <a:extLst>
            <a:ext uri="{FF2B5EF4-FFF2-40B4-BE49-F238E27FC236}">
              <a16:creationId xmlns:a16="http://schemas.microsoft.com/office/drawing/2014/main" id="{00000000-0008-0000-0100-000030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9" name="Text Box 15">
          <a:extLst>
            <a:ext uri="{FF2B5EF4-FFF2-40B4-BE49-F238E27FC236}">
              <a16:creationId xmlns:a16="http://schemas.microsoft.com/office/drawing/2014/main" id="{00000000-0008-0000-0100-00003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0" name="Text Box 15">
          <a:extLst>
            <a:ext uri="{FF2B5EF4-FFF2-40B4-BE49-F238E27FC236}">
              <a16:creationId xmlns:a16="http://schemas.microsoft.com/office/drawing/2014/main" id="{00000000-0008-0000-0100-00003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1" name="Text Box 15">
          <a:extLst>
            <a:ext uri="{FF2B5EF4-FFF2-40B4-BE49-F238E27FC236}">
              <a16:creationId xmlns:a16="http://schemas.microsoft.com/office/drawing/2014/main" id="{00000000-0008-0000-0100-00003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2" name="Text Box 15">
          <a:extLst>
            <a:ext uri="{FF2B5EF4-FFF2-40B4-BE49-F238E27FC236}">
              <a16:creationId xmlns:a16="http://schemas.microsoft.com/office/drawing/2014/main" id="{00000000-0008-0000-0100-00003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3" name="Text Box 15">
          <a:extLst>
            <a:ext uri="{FF2B5EF4-FFF2-40B4-BE49-F238E27FC236}">
              <a16:creationId xmlns:a16="http://schemas.microsoft.com/office/drawing/2014/main" id="{00000000-0008-0000-0100-000035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4" name="Text Box 15">
          <a:extLst>
            <a:ext uri="{FF2B5EF4-FFF2-40B4-BE49-F238E27FC236}">
              <a16:creationId xmlns:a16="http://schemas.microsoft.com/office/drawing/2014/main" id="{00000000-0008-0000-0100-00003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5" name="Text Box 15">
          <a:extLst>
            <a:ext uri="{FF2B5EF4-FFF2-40B4-BE49-F238E27FC236}">
              <a16:creationId xmlns:a16="http://schemas.microsoft.com/office/drawing/2014/main" id="{00000000-0008-0000-0100-00003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376" name="Text Box 15">
          <a:extLst>
            <a:ext uri="{FF2B5EF4-FFF2-40B4-BE49-F238E27FC236}">
              <a16:creationId xmlns:a16="http://schemas.microsoft.com/office/drawing/2014/main" id="{00000000-0008-0000-0100-000038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7" name="Text Box 15">
          <a:extLst>
            <a:ext uri="{FF2B5EF4-FFF2-40B4-BE49-F238E27FC236}">
              <a16:creationId xmlns:a16="http://schemas.microsoft.com/office/drawing/2014/main" id="{00000000-0008-0000-0100-00003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8" name="Text Box 15">
          <a:extLst>
            <a:ext uri="{FF2B5EF4-FFF2-40B4-BE49-F238E27FC236}">
              <a16:creationId xmlns:a16="http://schemas.microsoft.com/office/drawing/2014/main" id="{00000000-0008-0000-0100-00003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9" name="Text Box 15">
          <a:extLst>
            <a:ext uri="{FF2B5EF4-FFF2-40B4-BE49-F238E27FC236}">
              <a16:creationId xmlns:a16="http://schemas.microsoft.com/office/drawing/2014/main" id="{00000000-0008-0000-0100-00003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0" name="Text Box 15">
          <a:extLst>
            <a:ext uri="{FF2B5EF4-FFF2-40B4-BE49-F238E27FC236}">
              <a16:creationId xmlns:a16="http://schemas.microsoft.com/office/drawing/2014/main" id="{00000000-0008-0000-0100-00003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1" name="Text Box 15">
          <a:extLst>
            <a:ext uri="{FF2B5EF4-FFF2-40B4-BE49-F238E27FC236}">
              <a16:creationId xmlns:a16="http://schemas.microsoft.com/office/drawing/2014/main" id="{00000000-0008-0000-0100-00003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2" name="Text Box 15">
          <a:extLst>
            <a:ext uri="{FF2B5EF4-FFF2-40B4-BE49-F238E27FC236}">
              <a16:creationId xmlns:a16="http://schemas.microsoft.com/office/drawing/2014/main" id="{00000000-0008-0000-0100-00003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3" name="Text Box 15">
          <a:extLst>
            <a:ext uri="{FF2B5EF4-FFF2-40B4-BE49-F238E27FC236}">
              <a16:creationId xmlns:a16="http://schemas.microsoft.com/office/drawing/2014/main" id="{00000000-0008-0000-0100-00003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4" name="Text Box 15">
          <a:extLst>
            <a:ext uri="{FF2B5EF4-FFF2-40B4-BE49-F238E27FC236}">
              <a16:creationId xmlns:a16="http://schemas.microsoft.com/office/drawing/2014/main" id="{00000000-0008-0000-0100-00004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5" name="Text Box 15">
          <a:extLst>
            <a:ext uri="{FF2B5EF4-FFF2-40B4-BE49-F238E27FC236}">
              <a16:creationId xmlns:a16="http://schemas.microsoft.com/office/drawing/2014/main" id="{00000000-0008-0000-0100-00004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6" name="Text Box 15">
          <a:extLst>
            <a:ext uri="{FF2B5EF4-FFF2-40B4-BE49-F238E27FC236}">
              <a16:creationId xmlns:a16="http://schemas.microsoft.com/office/drawing/2014/main" id="{00000000-0008-0000-0100-00004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7" name="Text Box 15">
          <a:extLst>
            <a:ext uri="{FF2B5EF4-FFF2-40B4-BE49-F238E27FC236}">
              <a16:creationId xmlns:a16="http://schemas.microsoft.com/office/drawing/2014/main" id="{00000000-0008-0000-0100-00004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8" name="Text Box 15">
          <a:extLst>
            <a:ext uri="{FF2B5EF4-FFF2-40B4-BE49-F238E27FC236}">
              <a16:creationId xmlns:a16="http://schemas.microsoft.com/office/drawing/2014/main" id="{00000000-0008-0000-0100-00004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9" name="Text Box 15">
          <a:extLst>
            <a:ext uri="{FF2B5EF4-FFF2-40B4-BE49-F238E27FC236}">
              <a16:creationId xmlns:a16="http://schemas.microsoft.com/office/drawing/2014/main" id="{00000000-0008-0000-0100-00004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0" name="Text Box 15">
          <a:extLst>
            <a:ext uri="{FF2B5EF4-FFF2-40B4-BE49-F238E27FC236}">
              <a16:creationId xmlns:a16="http://schemas.microsoft.com/office/drawing/2014/main" id="{00000000-0008-0000-0100-00004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1" name="Text Box 15">
          <a:extLst>
            <a:ext uri="{FF2B5EF4-FFF2-40B4-BE49-F238E27FC236}">
              <a16:creationId xmlns:a16="http://schemas.microsoft.com/office/drawing/2014/main" id="{00000000-0008-0000-0100-00004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2" name="Text Box 15">
          <a:extLst>
            <a:ext uri="{FF2B5EF4-FFF2-40B4-BE49-F238E27FC236}">
              <a16:creationId xmlns:a16="http://schemas.microsoft.com/office/drawing/2014/main" id="{00000000-0008-0000-0100-00004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3" name="Text Box 15">
          <a:extLst>
            <a:ext uri="{FF2B5EF4-FFF2-40B4-BE49-F238E27FC236}">
              <a16:creationId xmlns:a16="http://schemas.microsoft.com/office/drawing/2014/main" id="{00000000-0008-0000-0100-00004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4" name="Text Box 15">
          <a:extLst>
            <a:ext uri="{FF2B5EF4-FFF2-40B4-BE49-F238E27FC236}">
              <a16:creationId xmlns:a16="http://schemas.microsoft.com/office/drawing/2014/main" id="{00000000-0008-0000-0100-00004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5" name="Text Box 15">
          <a:extLst>
            <a:ext uri="{FF2B5EF4-FFF2-40B4-BE49-F238E27FC236}">
              <a16:creationId xmlns:a16="http://schemas.microsoft.com/office/drawing/2014/main" id="{00000000-0008-0000-0100-00004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6" name="Text Box 15">
          <a:extLst>
            <a:ext uri="{FF2B5EF4-FFF2-40B4-BE49-F238E27FC236}">
              <a16:creationId xmlns:a16="http://schemas.microsoft.com/office/drawing/2014/main" id="{00000000-0008-0000-0100-00004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7" name="Text Box 15">
          <a:extLst>
            <a:ext uri="{FF2B5EF4-FFF2-40B4-BE49-F238E27FC236}">
              <a16:creationId xmlns:a16="http://schemas.microsoft.com/office/drawing/2014/main" id="{00000000-0008-0000-0100-00004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8" name="Text Box 15">
          <a:extLst>
            <a:ext uri="{FF2B5EF4-FFF2-40B4-BE49-F238E27FC236}">
              <a16:creationId xmlns:a16="http://schemas.microsoft.com/office/drawing/2014/main" id="{00000000-0008-0000-0100-00004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9" name="Text Box 15">
          <a:extLst>
            <a:ext uri="{FF2B5EF4-FFF2-40B4-BE49-F238E27FC236}">
              <a16:creationId xmlns:a16="http://schemas.microsoft.com/office/drawing/2014/main" id="{00000000-0008-0000-0100-00004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0" name="Text Box 15">
          <a:extLst>
            <a:ext uri="{FF2B5EF4-FFF2-40B4-BE49-F238E27FC236}">
              <a16:creationId xmlns:a16="http://schemas.microsoft.com/office/drawing/2014/main" id="{00000000-0008-0000-0100-00005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401" name="Text Box 15">
          <a:extLst>
            <a:ext uri="{FF2B5EF4-FFF2-40B4-BE49-F238E27FC236}">
              <a16:creationId xmlns:a16="http://schemas.microsoft.com/office/drawing/2014/main" id="{00000000-0008-0000-0100-000051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2" name="Text Box 15">
          <a:extLst>
            <a:ext uri="{FF2B5EF4-FFF2-40B4-BE49-F238E27FC236}">
              <a16:creationId xmlns:a16="http://schemas.microsoft.com/office/drawing/2014/main" id="{00000000-0008-0000-0100-00005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3" name="Text Box 15">
          <a:extLst>
            <a:ext uri="{FF2B5EF4-FFF2-40B4-BE49-F238E27FC236}">
              <a16:creationId xmlns:a16="http://schemas.microsoft.com/office/drawing/2014/main" id="{00000000-0008-0000-0100-00005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4" name="Text Box 15">
          <a:extLst>
            <a:ext uri="{FF2B5EF4-FFF2-40B4-BE49-F238E27FC236}">
              <a16:creationId xmlns:a16="http://schemas.microsoft.com/office/drawing/2014/main" id="{00000000-0008-0000-0100-00005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5" name="Text Box 15">
          <a:extLst>
            <a:ext uri="{FF2B5EF4-FFF2-40B4-BE49-F238E27FC236}">
              <a16:creationId xmlns:a16="http://schemas.microsoft.com/office/drawing/2014/main" id="{00000000-0008-0000-0100-00005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6" name="Text Box 15">
          <a:extLst>
            <a:ext uri="{FF2B5EF4-FFF2-40B4-BE49-F238E27FC236}">
              <a16:creationId xmlns:a16="http://schemas.microsoft.com/office/drawing/2014/main" id="{00000000-0008-0000-0100-00005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7" name="Text Box 15">
          <a:extLst>
            <a:ext uri="{FF2B5EF4-FFF2-40B4-BE49-F238E27FC236}">
              <a16:creationId xmlns:a16="http://schemas.microsoft.com/office/drawing/2014/main" id="{00000000-0008-0000-0100-00005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8" name="Text Box 15">
          <a:extLst>
            <a:ext uri="{FF2B5EF4-FFF2-40B4-BE49-F238E27FC236}">
              <a16:creationId xmlns:a16="http://schemas.microsoft.com/office/drawing/2014/main" id="{00000000-0008-0000-0100-00005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9" name="Text Box 15">
          <a:extLst>
            <a:ext uri="{FF2B5EF4-FFF2-40B4-BE49-F238E27FC236}">
              <a16:creationId xmlns:a16="http://schemas.microsoft.com/office/drawing/2014/main" id="{00000000-0008-0000-0100-00005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0" name="Text Box 15">
          <a:extLst>
            <a:ext uri="{FF2B5EF4-FFF2-40B4-BE49-F238E27FC236}">
              <a16:creationId xmlns:a16="http://schemas.microsoft.com/office/drawing/2014/main" id="{00000000-0008-0000-0100-00005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1" name="Text Box 15">
          <a:extLst>
            <a:ext uri="{FF2B5EF4-FFF2-40B4-BE49-F238E27FC236}">
              <a16:creationId xmlns:a16="http://schemas.microsoft.com/office/drawing/2014/main" id="{00000000-0008-0000-0100-00005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2" name="Text Box 15">
          <a:extLst>
            <a:ext uri="{FF2B5EF4-FFF2-40B4-BE49-F238E27FC236}">
              <a16:creationId xmlns:a16="http://schemas.microsoft.com/office/drawing/2014/main" id="{00000000-0008-0000-0100-00005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3" name="Text Box 15">
          <a:extLst>
            <a:ext uri="{FF2B5EF4-FFF2-40B4-BE49-F238E27FC236}">
              <a16:creationId xmlns:a16="http://schemas.microsoft.com/office/drawing/2014/main" id="{00000000-0008-0000-0100-00005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4" name="Text Box 15">
          <a:extLst>
            <a:ext uri="{FF2B5EF4-FFF2-40B4-BE49-F238E27FC236}">
              <a16:creationId xmlns:a16="http://schemas.microsoft.com/office/drawing/2014/main" id="{00000000-0008-0000-0100-00005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5" name="Text Box 15">
          <a:extLst>
            <a:ext uri="{FF2B5EF4-FFF2-40B4-BE49-F238E27FC236}">
              <a16:creationId xmlns:a16="http://schemas.microsoft.com/office/drawing/2014/main" id="{00000000-0008-0000-0100-00005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6" name="Text Box 15">
          <a:extLst>
            <a:ext uri="{FF2B5EF4-FFF2-40B4-BE49-F238E27FC236}">
              <a16:creationId xmlns:a16="http://schemas.microsoft.com/office/drawing/2014/main" id="{00000000-0008-0000-0100-00006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7" name="Text Box 15">
          <a:extLst>
            <a:ext uri="{FF2B5EF4-FFF2-40B4-BE49-F238E27FC236}">
              <a16:creationId xmlns:a16="http://schemas.microsoft.com/office/drawing/2014/main" id="{00000000-0008-0000-0100-00006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8" name="Text Box 15">
          <a:extLst>
            <a:ext uri="{FF2B5EF4-FFF2-40B4-BE49-F238E27FC236}">
              <a16:creationId xmlns:a16="http://schemas.microsoft.com/office/drawing/2014/main" id="{00000000-0008-0000-0100-00006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9" name="Text Box 15">
          <a:extLst>
            <a:ext uri="{FF2B5EF4-FFF2-40B4-BE49-F238E27FC236}">
              <a16:creationId xmlns:a16="http://schemas.microsoft.com/office/drawing/2014/main" id="{00000000-0008-0000-0100-00006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0" name="Text Box 15">
          <a:extLst>
            <a:ext uri="{FF2B5EF4-FFF2-40B4-BE49-F238E27FC236}">
              <a16:creationId xmlns:a16="http://schemas.microsoft.com/office/drawing/2014/main" id="{00000000-0008-0000-0100-00006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1" name="Text Box 15">
          <a:extLst>
            <a:ext uri="{FF2B5EF4-FFF2-40B4-BE49-F238E27FC236}">
              <a16:creationId xmlns:a16="http://schemas.microsoft.com/office/drawing/2014/main" id="{00000000-0008-0000-0100-00006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2" name="Text Box 15">
          <a:extLst>
            <a:ext uri="{FF2B5EF4-FFF2-40B4-BE49-F238E27FC236}">
              <a16:creationId xmlns:a16="http://schemas.microsoft.com/office/drawing/2014/main" id="{00000000-0008-0000-0100-00006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3" name="Text Box 15">
          <a:extLst>
            <a:ext uri="{FF2B5EF4-FFF2-40B4-BE49-F238E27FC236}">
              <a16:creationId xmlns:a16="http://schemas.microsoft.com/office/drawing/2014/main" id="{00000000-0008-0000-0100-00006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4" name="Text Box 15">
          <a:extLst>
            <a:ext uri="{FF2B5EF4-FFF2-40B4-BE49-F238E27FC236}">
              <a16:creationId xmlns:a16="http://schemas.microsoft.com/office/drawing/2014/main" id="{00000000-0008-0000-0100-00006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5" name="Text Box 15">
          <a:extLst>
            <a:ext uri="{FF2B5EF4-FFF2-40B4-BE49-F238E27FC236}">
              <a16:creationId xmlns:a16="http://schemas.microsoft.com/office/drawing/2014/main" id="{00000000-0008-0000-0100-00006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6" name="Text Box 15">
          <a:extLst>
            <a:ext uri="{FF2B5EF4-FFF2-40B4-BE49-F238E27FC236}">
              <a16:creationId xmlns:a16="http://schemas.microsoft.com/office/drawing/2014/main" id="{00000000-0008-0000-0100-00006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7" name="Text Box 15">
          <a:extLst>
            <a:ext uri="{FF2B5EF4-FFF2-40B4-BE49-F238E27FC236}">
              <a16:creationId xmlns:a16="http://schemas.microsoft.com/office/drawing/2014/main" id="{00000000-0008-0000-0100-00006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8" name="Text Box 15">
          <a:extLst>
            <a:ext uri="{FF2B5EF4-FFF2-40B4-BE49-F238E27FC236}">
              <a16:creationId xmlns:a16="http://schemas.microsoft.com/office/drawing/2014/main" id="{00000000-0008-0000-0100-00006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9" name="Text Box 15">
          <a:extLst>
            <a:ext uri="{FF2B5EF4-FFF2-40B4-BE49-F238E27FC236}">
              <a16:creationId xmlns:a16="http://schemas.microsoft.com/office/drawing/2014/main" id="{00000000-0008-0000-0100-00006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0" name="Text Box 15">
          <a:extLst>
            <a:ext uri="{FF2B5EF4-FFF2-40B4-BE49-F238E27FC236}">
              <a16:creationId xmlns:a16="http://schemas.microsoft.com/office/drawing/2014/main" id="{00000000-0008-0000-0100-00006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1" name="Text Box 15">
          <a:extLst>
            <a:ext uri="{FF2B5EF4-FFF2-40B4-BE49-F238E27FC236}">
              <a16:creationId xmlns:a16="http://schemas.microsoft.com/office/drawing/2014/main" id="{00000000-0008-0000-0100-00006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2" name="Text Box 15">
          <a:extLst>
            <a:ext uri="{FF2B5EF4-FFF2-40B4-BE49-F238E27FC236}">
              <a16:creationId xmlns:a16="http://schemas.microsoft.com/office/drawing/2014/main" id="{00000000-0008-0000-0100-00007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3" name="Text Box 15">
          <a:extLst>
            <a:ext uri="{FF2B5EF4-FFF2-40B4-BE49-F238E27FC236}">
              <a16:creationId xmlns:a16="http://schemas.microsoft.com/office/drawing/2014/main" id="{00000000-0008-0000-0100-00007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4" name="Text Box 15">
          <a:extLst>
            <a:ext uri="{FF2B5EF4-FFF2-40B4-BE49-F238E27FC236}">
              <a16:creationId xmlns:a16="http://schemas.microsoft.com/office/drawing/2014/main" id="{00000000-0008-0000-0100-00007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5" name="Text Box 15">
          <a:extLst>
            <a:ext uri="{FF2B5EF4-FFF2-40B4-BE49-F238E27FC236}">
              <a16:creationId xmlns:a16="http://schemas.microsoft.com/office/drawing/2014/main" id="{00000000-0008-0000-0100-00007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6" name="Text Box 15">
          <a:extLst>
            <a:ext uri="{FF2B5EF4-FFF2-40B4-BE49-F238E27FC236}">
              <a16:creationId xmlns:a16="http://schemas.microsoft.com/office/drawing/2014/main" id="{00000000-0008-0000-0100-00007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7" name="Text Box 15">
          <a:extLst>
            <a:ext uri="{FF2B5EF4-FFF2-40B4-BE49-F238E27FC236}">
              <a16:creationId xmlns:a16="http://schemas.microsoft.com/office/drawing/2014/main" id="{00000000-0008-0000-0100-00007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8" name="Text Box 15">
          <a:extLst>
            <a:ext uri="{FF2B5EF4-FFF2-40B4-BE49-F238E27FC236}">
              <a16:creationId xmlns:a16="http://schemas.microsoft.com/office/drawing/2014/main" id="{00000000-0008-0000-0100-00007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9" name="Text Box 15">
          <a:extLst>
            <a:ext uri="{FF2B5EF4-FFF2-40B4-BE49-F238E27FC236}">
              <a16:creationId xmlns:a16="http://schemas.microsoft.com/office/drawing/2014/main" id="{00000000-0008-0000-0100-00007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0" name="Text Box 15">
          <a:extLst>
            <a:ext uri="{FF2B5EF4-FFF2-40B4-BE49-F238E27FC236}">
              <a16:creationId xmlns:a16="http://schemas.microsoft.com/office/drawing/2014/main" id="{00000000-0008-0000-0100-00007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1" name="Text Box 15">
          <a:extLst>
            <a:ext uri="{FF2B5EF4-FFF2-40B4-BE49-F238E27FC236}">
              <a16:creationId xmlns:a16="http://schemas.microsoft.com/office/drawing/2014/main" id="{00000000-0008-0000-0100-00007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2" name="Text Box 15">
          <a:extLst>
            <a:ext uri="{FF2B5EF4-FFF2-40B4-BE49-F238E27FC236}">
              <a16:creationId xmlns:a16="http://schemas.microsoft.com/office/drawing/2014/main" id="{00000000-0008-0000-0100-00007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3" name="Text Box 15">
          <a:extLst>
            <a:ext uri="{FF2B5EF4-FFF2-40B4-BE49-F238E27FC236}">
              <a16:creationId xmlns:a16="http://schemas.microsoft.com/office/drawing/2014/main" id="{00000000-0008-0000-0100-00007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4" name="Text Box 15">
          <a:extLst>
            <a:ext uri="{FF2B5EF4-FFF2-40B4-BE49-F238E27FC236}">
              <a16:creationId xmlns:a16="http://schemas.microsoft.com/office/drawing/2014/main" id="{00000000-0008-0000-0100-00007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5" name="Text Box 15">
          <a:extLst>
            <a:ext uri="{FF2B5EF4-FFF2-40B4-BE49-F238E27FC236}">
              <a16:creationId xmlns:a16="http://schemas.microsoft.com/office/drawing/2014/main" id="{00000000-0008-0000-0100-00007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6" name="Text Box 15">
          <a:extLst>
            <a:ext uri="{FF2B5EF4-FFF2-40B4-BE49-F238E27FC236}">
              <a16:creationId xmlns:a16="http://schemas.microsoft.com/office/drawing/2014/main" id="{00000000-0008-0000-0100-00007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7" name="Text Box 15">
          <a:extLst>
            <a:ext uri="{FF2B5EF4-FFF2-40B4-BE49-F238E27FC236}">
              <a16:creationId xmlns:a16="http://schemas.microsoft.com/office/drawing/2014/main" id="{00000000-0008-0000-0100-00007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8" name="Text Box 15">
          <a:extLst>
            <a:ext uri="{FF2B5EF4-FFF2-40B4-BE49-F238E27FC236}">
              <a16:creationId xmlns:a16="http://schemas.microsoft.com/office/drawing/2014/main" id="{00000000-0008-0000-0100-00008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9" name="Text Box 15">
          <a:extLst>
            <a:ext uri="{FF2B5EF4-FFF2-40B4-BE49-F238E27FC236}">
              <a16:creationId xmlns:a16="http://schemas.microsoft.com/office/drawing/2014/main" id="{00000000-0008-0000-0100-00008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0" name="Text Box 15">
          <a:extLst>
            <a:ext uri="{FF2B5EF4-FFF2-40B4-BE49-F238E27FC236}">
              <a16:creationId xmlns:a16="http://schemas.microsoft.com/office/drawing/2014/main" id="{00000000-0008-0000-0100-00008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1" name="Text Box 15">
          <a:extLst>
            <a:ext uri="{FF2B5EF4-FFF2-40B4-BE49-F238E27FC236}">
              <a16:creationId xmlns:a16="http://schemas.microsoft.com/office/drawing/2014/main" id="{00000000-0008-0000-0100-00008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2" name="Text Box 15">
          <a:extLst>
            <a:ext uri="{FF2B5EF4-FFF2-40B4-BE49-F238E27FC236}">
              <a16:creationId xmlns:a16="http://schemas.microsoft.com/office/drawing/2014/main" id="{00000000-0008-0000-0100-00008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3" name="Text Box 15">
          <a:extLst>
            <a:ext uri="{FF2B5EF4-FFF2-40B4-BE49-F238E27FC236}">
              <a16:creationId xmlns:a16="http://schemas.microsoft.com/office/drawing/2014/main" id="{00000000-0008-0000-0100-00008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4" name="Text Box 15">
          <a:extLst>
            <a:ext uri="{FF2B5EF4-FFF2-40B4-BE49-F238E27FC236}">
              <a16:creationId xmlns:a16="http://schemas.microsoft.com/office/drawing/2014/main" id="{00000000-0008-0000-0100-00008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5" name="Text Box 15">
          <a:extLst>
            <a:ext uri="{FF2B5EF4-FFF2-40B4-BE49-F238E27FC236}">
              <a16:creationId xmlns:a16="http://schemas.microsoft.com/office/drawing/2014/main" id="{00000000-0008-0000-0100-00008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6" name="Text Box 15">
          <a:extLst>
            <a:ext uri="{FF2B5EF4-FFF2-40B4-BE49-F238E27FC236}">
              <a16:creationId xmlns:a16="http://schemas.microsoft.com/office/drawing/2014/main" id="{00000000-0008-0000-0100-00008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7" name="Text Box 15">
          <a:extLst>
            <a:ext uri="{FF2B5EF4-FFF2-40B4-BE49-F238E27FC236}">
              <a16:creationId xmlns:a16="http://schemas.microsoft.com/office/drawing/2014/main" id="{00000000-0008-0000-0100-00008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8" name="Text Box 15">
          <a:extLst>
            <a:ext uri="{FF2B5EF4-FFF2-40B4-BE49-F238E27FC236}">
              <a16:creationId xmlns:a16="http://schemas.microsoft.com/office/drawing/2014/main" id="{00000000-0008-0000-0100-00008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9" name="Text Box 15">
          <a:extLst>
            <a:ext uri="{FF2B5EF4-FFF2-40B4-BE49-F238E27FC236}">
              <a16:creationId xmlns:a16="http://schemas.microsoft.com/office/drawing/2014/main" id="{00000000-0008-0000-0100-00008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0" name="Text Box 15">
          <a:extLst>
            <a:ext uri="{FF2B5EF4-FFF2-40B4-BE49-F238E27FC236}">
              <a16:creationId xmlns:a16="http://schemas.microsoft.com/office/drawing/2014/main" id="{00000000-0008-0000-0100-00008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1" name="Text Box 15">
          <a:extLst>
            <a:ext uri="{FF2B5EF4-FFF2-40B4-BE49-F238E27FC236}">
              <a16:creationId xmlns:a16="http://schemas.microsoft.com/office/drawing/2014/main" id="{00000000-0008-0000-0100-00008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2" name="Text Box 15">
          <a:extLst>
            <a:ext uri="{FF2B5EF4-FFF2-40B4-BE49-F238E27FC236}">
              <a16:creationId xmlns:a16="http://schemas.microsoft.com/office/drawing/2014/main" id="{00000000-0008-0000-0100-00008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3" name="Text Box 15">
          <a:extLst>
            <a:ext uri="{FF2B5EF4-FFF2-40B4-BE49-F238E27FC236}">
              <a16:creationId xmlns:a16="http://schemas.microsoft.com/office/drawing/2014/main" id="{00000000-0008-0000-0100-00008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4" name="Text Box 15">
          <a:extLst>
            <a:ext uri="{FF2B5EF4-FFF2-40B4-BE49-F238E27FC236}">
              <a16:creationId xmlns:a16="http://schemas.microsoft.com/office/drawing/2014/main" id="{00000000-0008-0000-0100-00009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5" name="Text Box 15">
          <a:extLst>
            <a:ext uri="{FF2B5EF4-FFF2-40B4-BE49-F238E27FC236}">
              <a16:creationId xmlns:a16="http://schemas.microsoft.com/office/drawing/2014/main" id="{00000000-0008-0000-0100-00009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6" name="Text Box 15">
          <a:extLst>
            <a:ext uri="{FF2B5EF4-FFF2-40B4-BE49-F238E27FC236}">
              <a16:creationId xmlns:a16="http://schemas.microsoft.com/office/drawing/2014/main" id="{00000000-0008-0000-0100-00009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7" name="Text Box 15">
          <a:extLst>
            <a:ext uri="{FF2B5EF4-FFF2-40B4-BE49-F238E27FC236}">
              <a16:creationId xmlns:a16="http://schemas.microsoft.com/office/drawing/2014/main" id="{00000000-0008-0000-0100-00009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8" name="Text Box 15">
          <a:extLst>
            <a:ext uri="{FF2B5EF4-FFF2-40B4-BE49-F238E27FC236}">
              <a16:creationId xmlns:a16="http://schemas.microsoft.com/office/drawing/2014/main" id="{00000000-0008-0000-0100-00009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9" name="Text Box 15">
          <a:extLst>
            <a:ext uri="{FF2B5EF4-FFF2-40B4-BE49-F238E27FC236}">
              <a16:creationId xmlns:a16="http://schemas.microsoft.com/office/drawing/2014/main" id="{00000000-0008-0000-0100-00009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0" name="Text Box 15">
          <a:extLst>
            <a:ext uri="{FF2B5EF4-FFF2-40B4-BE49-F238E27FC236}">
              <a16:creationId xmlns:a16="http://schemas.microsoft.com/office/drawing/2014/main" id="{00000000-0008-0000-0100-00009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1" name="Text Box 15">
          <a:extLst>
            <a:ext uri="{FF2B5EF4-FFF2-40B4-BE49-F238E27FC236}">
              <a16:creationId xmlns:a16="http://schemas.microsoft.com/office/drawing/2014/main" id="{00000000-0008-0000-0100-00009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2" name="Text Box 15">
          <a:extLst>
            <a:ext uri="{FF2B5EF4-FFF2-40B4-BE49-F238E27FC236}">
              <a16:creationId xmlns:a16="http://schemas.microsoft.com/office/drawing/2014/main" id="{00000000-0008-0000-0100-00009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3" name="Text Box 15">
          <a:extLst>
            <a:ext uri="{FF2B5EF4-FFF2-40B4-BE49-F238E27FC236}">
              <a16:creationId xmlns:a16="http://schemas.microsoft.com/office/drawing/2014/main" id="{00000000-0008-0000-0100-00009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74" name="Text Box 15">
          <a:extLst>
            <a:ext uri="{FF2B5EF4-FFF2-40B4-BE49-F238E27FC236}">
              <a16:creationId xmlns:a16="http://schemas.microsoft.com/office/drawing/2014/main" id="{00000000-0008-0000-0100-00009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5" name="Text Box 15">
          <a:extLst>
            <a:ext uri="{FF2B5EF4-FFF2-40B4-BE49-F238E27FC236}">
              <a16:creationId xmlns:a16="http://schemas.microsoft.com/office/drawing/2014/main" id="{00000000-0008-0000-0100-00009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6" name="Text Box 15">
          <a:extLst>
            <a:ext uri="{FF2B5EF4-FFF2-40B4-BE49-F238E27FC236}">
              <a16:creationId xmlns:a16="http://schemas.microsoft.com/office/drawing/2014/main" id="{00000000-0008-0000-0100-00009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7" name="Text Box 15">
          <a:extLst>
            <a:ext uri="{FF2B5EF4-FFF2-40B4-BE49-F238E27FC236}">
              <a16:creationId xmlns:a16="http://schemas.microsoft.com/office/drawing/2014/main" id="{00000000-0008-0000-0100-00009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8" name="Text Box 15">
          <a:extLst>
            <a:ext uri="{FF2B5EF4-FFF2-40B4-BE49-F238E27FC236}">
              <a16:creationId xmlns:a16="http://schemas.microsoft.com/office/drawing/2014/main" id="{00000000-0008-0000-0100-00009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79" name="Text Box 15">
          <a:extLst>
            <a:ext uri="{FF2B5EF4-FFF2-40B4-BE49-F238E27FC236}">
              <a16:creationId xmlns:a16="http://schemas.microsoft.com/office/drawing/2014/main" id="{00000000-0008-0000-0100-00009F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0" name="Text Box 15">
          <a:extLst>
            <a:ext uri="{FF2B5EF4-FFF2-40B4-BE49-F238E27FC236}">
              <a16:creationId xmlns:a16="http://schemas.microsoft.com/office/drawing/2014/main" id="{00000000-0008-0000-0100-0000A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1" name="Text Box 15">
          <a:extLst>
            <a:ext uri="{FF2B5EF4-FFF2-40B4-BE49-F238E27FC236}">
              <a16:creationId xmlns:a16="http://schemas.microsoft.com/office/drawing/2014/main" id="{00000000-0008-0000-0100-0000A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2" name="Text Box 15">
          <a:extLst>
            <a:ext uri="{FF2B5EF4-FFF2-40B4-BE49-F238E27FC236}">
              <a16:creationId xmlns:a16="http://schemas.microsoft.com/office/drawing/2014/main" id="{00000000-0008-0000-0100-0000A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3" name="Text Box 15">
          <a:extLst>
            <a:ext uri="{FF2B5EF4-FFF2-40B4-BE49-F238E27FC236}">
              <a16:creationId xmlns:a16="http://schemas.microsoft.com/office/drawing/2014/main" id="{00000000-0008-0000-0100-0000A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4" name="Text Box 15">
          <a:extLst>
            <a:ext uri="{FF2B5EF4-FFF2-40B4-BE49-F238E27FC236}">
              <a16:creationId xmlns:a16="http://schemas.microsoft.com/office/drawing/2014/main" id="{00000000-0008-0000-0100-0000A4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5" name="Text Box 15">
          <a:extLst>
            <a:ext uri="{FF2B5EF4-FFF2-40B4-BE49-F238E27FC236}">
              <a16:creationId xmlns:a16="http://schemas.microsoft.com/office/drawing/2014/main" id="{00000000-0008-0000-0100-0000A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6" name="Text Box 15">
          <a:extLst>
            <a:ext uri="{FF2B5EF4-FFF2-40B4-BE49-F238E27FC236}">
              <a16:creationId xmlns:a16="http://schemas.microsoft.com/office/drawing/2014/main" id="{00000000-0008-0000-0100-0000A6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7" name="Text Box 15">
          <a:extLst>
            <a:ext uri="{FF2B5EF4-FFF2-40B4-BE49-F238E27FC236}">
              <a16:creationId xmlns:a16="http://schemas.microsoft.com/office/drawing/2014/main" id="{00000000-0008-0000-0100-0000A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8" name="Text Box 15">
          <a:extLst>
            <a:ext uri="{FF2B5EF4-FFF2-40B4-BE49-F238E27FC236}">
              <a16:creationId xmlns:a16="http://schemas.microsoft.com/office/drawing/2014/main" id="{00000000-0008-0000-0100-0000A8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9" name="Text Box 15">
          <a:extLst>
            <a:ext uri="{FF2B5EF4-FFF2-40B4-BE49-F238E27FC236}">
              <a16:creationId xmlns:a16="http://schemas.microsoft.com/office/drawing/2014/main" id="{00000000-0008-0000-0100-0000A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0" name="Text Box 15">
          <a:extLst>
            <a:ext uri="{FF2B5EF4-FFF2-40B4-BE49-F238E27FC236}">
              <a16:creationId xmlns:a16="http://schemas.microsoft.com/office/drawing/2014/main" id="{00000000-0008-0000-0100-0000AA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1" name="Text Box 15">
          <a:extLst>
            <a:ext uri="{FF2B5EF4-FFF2-40B4-BE49-F238E27FC236}">
              <a16:creationId xmlns:a16="http://schemas.microsoft.com/office/drawing/2014/main" id="{00000000-0008-0000-0100-0000A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92" name="Text Box 15">
          <a:extLst>
            <a:ext uri="{FF2B5EF4-FFF2-40B4-BE49-F238E27FC236}">
              <a16:creationId xmlns:a16="http://schemas.microsoft.com/office/drawing/2014/main" id="{00000000-0008-0000-0100-0000AC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3" name="Text Box 15">
          <a:extLst>
            <a:ext uri="{FF2B5EF4-FFF2-40B4-BE49-F238E27FC236}">
              <a16:creationId xmlns:a16="http://schemas.microsoft.com/office/drawing/2014/main" id="{00000000-0008-0000-0100-0000A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4" name="Text Box 15">
          <a:extLst>
            <a:ext uri="{FF2B5EF4-FFF2-40B4-BE49-F238E27FC236}">
              <a16:creationId xmlns:a16="http://schemas.microsoft.com/office/drawing/2014/main" id="{00000000-0008-0000-0100-0000A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5" name="Text Box 15">
          <a:extLst>
            <a:ext uri="{FF2B5EF4-FFF2-40B4-BE49-F238E27FC236}">
              <a16:creationId xmlns:a16="http://schemas.microsoft.com/office/drawing/2014/main" id="{00000000-0008-0000-0100-0000A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6" name="Text Box 15">
          <a:extLst>
            <a:ext uri="{FF2B5EF4-FFF2-40B4-BE49-F238E27FC236}">
              <a16:creationId xmlns:a16="http://schemas.microsoft.com/office/drawing/2014/main" id="{00000000-0008-0000-0100-0000B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7" name="Text Box 15">
          <a:extLst>
            <a:ext uri="{FF2B5EF4-FFF2-40B4-BE49-F238E27FC236}">
              <a16:creationId xmlns:a16="http://schemas.microsoft.com/office/drawing/2014/main" id="{00000000-0008-0000-0100-0000B1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8" name="Text Box 15">
          <a:extLst>
            <a:ext uri="{FF2B5EF4-FFF2-40B4-BE49-F238E27FC236}">
              <a16:creationId xmlns:a16="http://schemas.microsoft.com/office/drawing/2014/main" id="{00000000-0008-0000-0100-0000B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9" name="Text Box 15">
          <a:extLst>
            <a:ext uri="{FF2B5EF4-FFF2-40B4-BE49-F238E27FC236}">
              <a16:creationId xmlns:a16="http://schemas.microsoft.com/office/drawing/2014/main" id="{00000000-0008-0000-0100-0000B3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00" name="Text Box 15">
          <a:extLst>
            <a:ext uri="{FF2B5EF4-FFF2-40B4-BE49-F238E27FC236}">
              <a16:creationId xmlns:a16="http://schemas.microsoft.com/office/drawing/2014/main" id="{00000000-0008-0000-0100-0000B4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1" name="Text Box 15">
          <a:extLst>
            <a:ext uri="{FF2B5EF4-FFF2-40B4-BE49-F238E27FC236}">
              <a16:creationId xmlns:a16="http://schemas.microsoft.com/office/drawing/2014/main" id="{00000000-0008-0000-0100-0000B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2" name="Text Box 15">
          <a:extLst>
            <a:ext uri="{FF2B5EF4-FFF2-40B4-BE49-F238E27FC236}">
              <a16:creationId xmlns:a16="http://schemas.microsoft.com/office/drawing/2014/main" id="{00000000-0008-0000-0100-0000B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3" name="Text Box 15">
          <a:extLst>
            <a:ext uri="{FF2B5EF4-FFF2-40B4-BE49-F238E27FC236}">
              <a16:creationId xmlns:a16="http://schemas.microsoft.com/office/drawing/2014/main" id="{00000000-0008-0000-0100-0000B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4" name="Text Box 15">
          <a:extLst>
            <a:ext uri="{FF2B5EF4-FFF2-40B4-BE49-F238E27FC236}">
              <a16:creationId xmlns:a16="http://schemas.microsoft.com/office/drawing/2014/main" id="{00000000-0008-0000-0100-0000B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5" name="Text Box 15">
          <a:extLst>
            <a:ext uri="{FF2B5EF4-FFF2-40B4-BE49-F238E27FC236}">
              <a16:creationId xmlns:a16="http://schemas.microsoft.com/office/drawing/2014/main" id="{00000000-0008-0000-0100-0000B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6" name="Text Box 15">
          <a:extLst>
            <a:ext uri="{FF2B5EF4-FFF2-40B4-BE49-F238E27FC236}">
              <a16:creationId xmlns:a16="http://schemas.microsoft.com/office/drawing/2014/main" id="{00000000-0008-0000-0100-0000B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7" name="Text Box 15">
          <a:extLst>
            <a:ext uri="{FF2B5EF4-FFF2-40B4-BE49-F238E27FC236}">
              <a16:creationId xmlns:a16="http://schemas.microsoft.com/office/drawing/2014/main" id="{00000000-0008-0000-0100-0000B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8" name="Text Box 15">
          <a:extLst>
            <a:ext uri="{FF2B5EF4-FFF2-40B4-BE49-F238E27FC236}">
              <a16:creationId xmlns:a16="http://schemas.microsoft.com/office/drawing/2014/main" id="{00000000-0008-0000-0100-0000B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9" name="Text Box 15">
          <a:extLst>
            <a:ext uri="{FF2B5EF4-FFF2-40B4-BE49-F238E27FC236}">
              <a16:creationId xmlns:a16="http://schemas.microsoft.com/office/drawing/2014/main" id="{00000000-0008-0000-0100-0000B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0" name="Text Box 15">
          <a:extLst>
            <a:ext uri="{FF2B5EF4-FFF2-40B4-BE49-F238E27FC236}">
              <a16:creationId xmlns:a16="http://schemas.microsoft.com/office/drawing/2014/main" id="{00000000-0008-0000-0100-0000B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1" name="Text Box 15">
          <a:extLst>
            <a:ext uri="{FF2B5EF4-FFF2-40B4-BE49-F238E27FC236}">
              <a16:creationId xmlns:a16="http://schemas.microsoft.com/office/drawing/2014/main" id="{00000000-0008-0000-0100-0000B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2" name="Text Box 15">
          <a:extLst>
            <a:ext uri="{FF2B5EF4-FFF2-40B4-BE49-F238E27FC236}">
              <a16:creationId xmlns:a16="http://schemas.microsoft.com/office/drawing/2014/main" id="{00000000-0008-0000-0100-0000C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3" name="Text Box 15">
          <a:extLst>
            <a:ext uri="{FF2B5EF4-FFF2-40B4-BE49-F238E27FC236}">
              <a16:creationId xmlns:a16="http://schemas.microsoft.com/office/drawing/2014/main" id="{00000000-0008-0000-0100-0000C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4" name="Text Box 15">
          <a:extLst>
            <a:ext uri="{FF2B5EF4-FFF2-40B4-BE49-F238E27FC236}">
              <a16:creationId xmlns:a16="http://schemas.microsoft.com/office/drawing/2014/main" id="{00000000-0008-0000-0100-0000C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5" name="Text Box 15">
          <a:extLst>
            <a:ext uri="{FF2B5EF4-FFF2-40B4-BE49-F238E27FC236}">
              <a16:creationId xmlns:a16="http://schemas.microsoft.com/office/drawing/2014/main" id="{00000000-0008-0000-0100-0000C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6" name="Text Box 15">
          <a:extLst>
            <a:ext uri="{FF2B5EF4-FFF2-40B4-BE49-F238E27FC236}">
              <a16:creationId xmlns:a16="http://schemas.microsoft.com/office/drawing/2014/main" id="{00000000-0008-0000-0100-0000C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7" name="Text Box 15">
          <a:extLst>
            <a:ext uri="{FF2B5EF4-FFF2-40B4-BE49-F238E27FC236}">
              <a16:creationId xmlns:a16="http://schemas.microsoft.com/office/drawing/2014/main" id="{00000000-0008-0000-0100-0000C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8" name="Text Box 15">
          <a:extLst>
            <a:ext uri="{FF2B5EF4-FFF2-40B4-BE49-F238E27FC236}">
              <a16:creationId xmlns:a16="http://schemas.microsoft.com/office/drawing/2014/main" id="{00000000-0008-0000-0100-0000C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9" name="Text Box 15">
          <a:extLst>
            <a:ext uri="{FF2B5EF4-FFF2-40B4-BE49-F238E27FC236}">
              <a16:creationId xmlns:a16="http://schemas.microsoft.com/office/drawing/2014/main" id="{00000000-0008-0000-0100-0000C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0" name="Text Box 15">
          <a:extLst>
            <a:ext uri="{FF2B5EF4-FFF2-40B4-BE49-F238E27FC236}">
              <a16:creationId xmlns:a16="http://schemas.microsoft.com/office/drawing/2014/main" id="{00000000-0008-0000-0100-0000C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1" name="Text Box 15">
          <a:extLst>
            <a:ext uri="{FF2B5EF4-FFF2-40B4-BE49-F238E27FC236}">
              <a16:creationId xmlns:a16="http://schemas.microsoft.com/office/drawing/2014/main" id="{00000000-0008-0000-0100-0000C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2" name="Text Box 15">
          <a:extLst>
            <a:ext uri="{FF2B5EF4-FFF2-40B4-BE49-F238E27FC236}">
              <a16:creationId xmlns:a16="http://schemas.microsoft.com/office/drawing/2014/main" id="{00000000-0008-0000-0100-0000C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3" name="Text Box 15">
          <a:extLst>
            <a:ext uri="{FF2B5EF4-FFF2-40B4-BE49-F238E27FC236}">
              <a16:creationId xmlns:a16="http://schemas.microsoft.com/office/drawing/2014/main" id="{00000000-0008-0000-0100-0000C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4" name="Text Box 15">
          <a:extLst>
            <a:ext uri="{FF2B5EF4-FFF2-40B4-BE49-F238E27FC236}">
              <a16:creationId xmlns:a16="http://schemas.microsoft.com/office/drawing/2014/main" id="{00000000-0008-0000-0100-0000C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25" name="Text Box 15">
          <a:extLst>
            <a:ext uri="{FF2B5EF4-FFF2-40B4-BE49-F238E27FC236}">
              <a16:creationId xmlns:a16="http://schemas.microsoft.com/office/drawing/2014/main" id="{00000000-0008-0000-0100-0000CD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6" name="Text Box 15">
          <a:extLst>
            <a:ext uri="{FF2B5EF4-FFF2-40B4-BE49-F238E27FC236}">
              <a16:creationId xmlns:a16="http://schemas.microsoft.com/office/drawing/2014/main" id="{00000000-0008-0000-0100-0000C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7" name="Text Box 15">
          <a:extLst>
            <a:ext uri="{FF2B5EF4-FFF2-40B4-BE49-F238E27FC236}">
              <a16:creationId xmlns:a16="http://schemas.microsoft.com/office/drawing/2014/main" id="{00000000-0008-0000-0100-0000C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8" name="Text Box 15">
          <a:extLst>
            <a:ext uri="{FF2B5EF4-FFF2-40B4-BE49-F238E27FC236}">
              <a16:creationId xmlns:a16="http://schemas.microsoft.com/office/drawing/2014/main" id="{00000000-0008-0000-0100-0000D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9" name="Text Box 15">
          <a:extLst>
            <a:ext uri="{FF2B5EF4-FFF2-40B4-BE49-F238E27FC236}">
              <a16:creationId xmlns:a16="http://schemas.microsoft.com/office/drawing/2014/main" id="{00000000-0008-0000-0100-0000D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0" name="Text Box 15">
          <a:extLst>
            <a:ext uri="{FF2B5EF4-FFF2-40B4-BE49-F238E27FC236}">
              <a16:creationId xmlns:a16="http://schemas.microsoft.com/office/drawing/2014/main" id="{00000000-0008-0000-0100-0000D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1" name="Text Box 15">
          <a:extLst>
            <a:ext uri="{FF2B5EF4-FFF2-40B4-BE49-F238E27FC236}">
              <a16:creationId xmlns:a16="http://schemas.microsoft.com/office/drawing/2014/main" id="{00000000-0008-0000-0100-0000D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2" name="Text Box 15">
          <a:extLst>
            <a:ext uri="{FF2B5EF4-FFF2-40B4-BE49-F238E27FC236}">
              <a16:creationId xmlns:a16="http://schemas.microsoft.com/office/drawing/2014/main" id="{00000000-0008-0000-0100-0000D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3" name="Text Box 15">
          <a:extLst>
            <a:ext uri="{FF2B5EF4-FFF2-40B4-BE49-F238E27FC236}">
              <a16:creationId xmlns:a16="http://schemas.microsoft.com/office/drawing/2014/main" id="{00000000-0008-0000-0100-0000D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4" name="Text Box 15">
          <a:extLst>
            <a:ext uri="{FF2B5EF4-FFF2-40B4-BE49-F238E27FC236}">
              <a16:creationId xmlns:a16="http://schemas.microsoft.com/office/drawing/2014/main" id="{00000000-0008-0000-0100-0000D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5" name="Text Box 15">
          <a:extLst>
            <a:ext uri="{FF2B5EF4-FFF2-40B4-BE49-F238E27FC236}">
              <a16:creationId xmlns:a16="http://schemas.microsoft.com/office/drawing/2014/main" id="{00000000-0008-0000-0100-0000D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6" name="Text Box 15">
          <a:extLst>
            <a:ext uri="{FF2B5EF4-FFF2-40B4-BE49-F238E27FC236}">
              <a16:creationId xmlns:a16="http://schemas.microsoft.com/office/drawing/2014/main" id="{00000000-0008-0000-0100-0000D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7" name="Text Box 15">
          <a:extLst>
            <a:ext uri="{FF2B5EF4-FFF2-40B4-BE49-F238E27FC236}">
              <a16:creationId xmlns:a16="http://schemas.microsoft.com/office/drawing/2014/main" id="{00000000-0008-0000-0100-0000D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8" name="Text Box 15">
          <a:extLst>
            <a:ext uri="{FF2B5EF4-FFF2-40B4-BE49-F238E27FC236}">
              <a16:creationId xmlns:a16="http://schemas.microsoft.com/office/drawing/2014/main" id="{00000000-0008-0000-0100-0000D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9" name="Text Box 15">
          <a:extLst>
            <a:ext uri="{FF2B5EF4-FFF2-40B4-BE49-F238E27FC236}">
              <a16:creationId xmlns:a16="http://schemas.microsoft.com/office/drawing/2014/main" id="{00000000-0008-0000-0100-0000D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0" name="Text Box 15">
          <a:extLst>
            <a:ext uri="{FF2B5EF4-FFF2-40B4-BE49-F238E27FC236}">
              <a16:creationId xmlns:a16="http://schemas.microsoft.com/office/drawing/2014/main" id="{00000000-0008-0000-0100-0000D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1" name="Text Box 15">
          <a:extLst>
            <a:ext uri="{FF2B5EF4-FFF2-40B4-BE49-F238E27FC236}">
              <a16:creationId xmlns:a16="http://schemas.microsoft.com/office/drawing/2014/main" id="{00000000-0008-0000-0100-0000D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2" name="Text Box 15">
          <a:extLst>
            <a:ext uri="{FF2B5EF4-FFF2-40B4-BE49-F238E27FC236}">
              <a16:creationId xmlns:a16="http://schemas.microsoft.com/office/drawing/2014/main" id="{00000000-0008-0000-0100-0000D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3" name="Text Box 15">
          <a:extLst>
            <a:ext uri="{FF2B5EF4-FFF2-40B4-BE49-F238E27FC236}">
              <a16:creationId xmlns:a16="http://schemas.microsoft.com/office/drawing/2014/main" id="{00000000-0008-0000-0100-0000D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4" name="Text Box 15">
          <a:extLst>
            <a:ext uri="{FF2B5EF4-FFF2-40B4-BE49-F238E27FC236}">
              <a16:creationId xmlns:a16="http://schemas.microsoft.com/office/drawing/2014/main" id="{00000000-0008-0000-0100-0000E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5" name="Text Box 15">
          <a:extLst>
            <a:ext uri="{FF2B5EF4-FFF2-40B4-BE49-F238E27FC236}">
              <a16:creationId xmlns:a16="http://schemas.microsoft.com/office/drawing/2014/main" id="{00000000-0008-0000-0100-0000E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6" name="Text Box 15">
          <a:extLst>
            <a:ext uri="{FF2B5EF4-FFF2-40B4-BE49-F238E27FC236}">
              <a16:creationId xmlns:a16="http://schemas.microsoft.com/office/drawing/2014/main" id="{00000000-0008-0000-0100-0000E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7" name="Text Box 15">
          <a:extLst>
            <a:ext uri="{FF2B5EF4-FFF2-40B4-BE49-F238E27FC236}">
              <a16:creationId xmlns:a16="http://schemas.microsoft.com/office/drawing/2014/main" id="{00000000-0008-0000-0100-0000E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8" name="Text Box 15">
          <a:extLst>
            <a:ext uri="{FF2B5EF4-FFF2-40B4-BE49-F238E27FC236}">
              <a16:creationId xmlns:a16="http://schemas.microsoft.com/office/drawing/2014/main" id="{00000000-0008-0000-0100-0000E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9" name="Text Box 15">
          <a:extLst>
            <a:ext uri="{FF2B5EF4-FFF2-40B4-BE49-F238E27FC236}">
              <a16:creationId xmlns:a16="http://schemas.microsoft.com/office/drawing/2014/main" id="{00000000-0008-0000-0100-0000E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0" name="Text Box 15">
          <a:extLst>
            <a:ext uri="{FF2B5EF4-FFF2-40B4-BE49-F238E27FC236}">
              <a16:creationId xmlns:a16="http://schemas.microsoft.com/office/drawing/2014/main" id="{00000000-0008-0000-0100-0000E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1" name="Text Box 15">
          <a:extLst>
            <a:ext uri="{FF2B5EF4-FFF2-40B4-BE49-F238E27FC236}">
              <a16:creationId xmlns:a16="http://schemas.microsoft.com/office/drawing/2014/main" id="{00000000-0008-0000-0100-0000E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2" name="Text Box 15">
          <a:extLst>
            <a:ext uri="{FF2B5EF4-FFF2-40B4-BE49-F238E27FC236}">
              <a16:creationId xmlns:a16="http://schemas.microsoft.com/office/drawing/2014/main" id="{00000000-0008-0000-0100-0000E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3" name="Text Box 15">
          <a:extLst>
            <a:ext uri="{FF2B5EF4-FFF2-40B4-BE49-F238E27FC236}">
              <a16:creationId xmlns:a16="http://schemas.microsoft.com/office/drawing/2014/main" id="{00000000-0008-0000-0100-0000E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4" name="Text Box 15">
          <a:extLst>
            <a:ext uri="{FF2B5EF4-FFF2-40B4-BE49-F238E27FC236}">
              <a16:creationId xmlns:a16="http://schemas.microsoft.com/office/drawing/2014/main" id="{00000000-0008-0000-0100-0000E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5" name="Text Box 15">
          <a:extLst>
            <a:ext uri="{FF2B5EF4-FFF2-40B4-BE49-F238E27FC236}">
              <a16:creationId xmlns:a16="http://schemas.microsoft.com/office/drawing/2014/main" id="{00000000-0008-0000-0100-0000E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6" name="Text Box 15">
          <a:extLst>
            <a:ext uri="{FF2B5EF4-FFF2-40B4-BE49-F238E27FC236}">
              <a16:creationId xmlns:a16="http://schemas.microsoft.com/office/drawing/2014/main" id="{00000000-0008-0000-0100-0000E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7" name="Text Box 15">
          <a:extLst>
            <a:ext uri="{FF2B5EF4-FFF2-40B4-BE49-F238E27FC236}">
              <a16:creationId xmlns:a16="http://schemas.microsoft.com/office/drawing/2014/main" id="{00000000-0008-0000-0100-0000E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8" name="Text Box 15">
          <a:extLst>
            <a:ext uri="{FF2B5EF4-FFF2-40B4-BE49-F238E27FC236}">
              <a16:creationId xmlns:a16="http://schemas.microsoft.com/office/drawing/2014/main" id="{00000000-0008-0000-0100-0000E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9" name="Text Box 15">
          <a:extLst>
            <a:ext uri="{FF2B5EF4-FFF2-40B4-BE49-F238E27FC236}">
              <a16:creationId xmlns:a16="http://schemas.microsoft.com/office/drawing/2014/main" id="{00000000-0008-0000-0100-0000E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0" name="Text Box 15">
          <a:extLst>
            <a:ext uri="{FF2B5EF4-FFF2-40B4-BE49-F238E27FC236}">
              <a16:creationId xmlns:a16="http://schemas.microsoft.com/office/drawing/2014/main" id="{00000000-0008-0000-0100-0000F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1" name="Text Box 15">
          <a:extLst>
            <a:ext uri="{FF2B5EF4-FFF2-40B4-BE49-F238E27FC236}">
              <a16:creationId xmlns:a16="http://schemas.microsoft.com/office/drawing/2014/main" id="{00000000-0008-0000-0100-0000F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2" name="Text Box 15">
          <a:extLst>
            <a:ext uri="{FF2B5EF4-FFF2-40B4-BE49-F238E27FC236}">
              <a16:creationId xmlns:a16="http://schemas.microsoft.com/office/drawing/2014/main" id="{00000000-0008-0000-0100-0000F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3" name="Text Box 15">
          <a:extLst>
            <a:ext uri="{FF2B5EF4-FFF2-40B4-BE49-F238E27FC236}">
              <a16:creationId xmlns:a16="http://schemas.microsoft.com/office/drawing/2014/main" id="{00000000-0008-0000-0100-0000F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4" name="Text Box 15">
          <a:extLst>
            <a:ext uri="{FF2B5EF4-FFF2-40B4-BE49-F238E27FC236}">
              <a16:creationId xmlns:a16="http://schemas.microsoft.com/office/drawing/2014/main" id="{00000000-0008-0000-0100-0000F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5" name="Text Box 15">
          <a:extLst>
            <a:ext uri="{FF2B5EF4-FFF2-40B4-BE49-F238E27FC236}">
              <a16:creationId xmlns:a16="http://schemas.microsoft.com/office/drawing/2014/main" id="{00000000-0008-0000-0100-0000F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6" name="Text Box 15">
          <a:extLst>
            <a:ext uri="{FF2B5EF4-FFF2-40B4-BE49-F238E27FC236}">
              <a16:creationId xmlns:a16="http://schemas.microsoft.com/office/drawing/2014/main" id="{00000000-0008-0000-0100-0000F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7" name="Text Box 15">
          <a:extLst>
            <a:ext uri="{FF2B5EF4-FFF2-40B4-BE49-F238E27FC236}">
              <a16:creationId xmlns:a16="http://schemas.microsoft.com/office/drawing/2014/main" id="{00000000-0008-0000-0100-0000F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8" name="Text Box 15">
          <a:extLst>
            <a:ext uri="{FF2B5EF4-FFF2-40B4-BE49-F238E27FC236}">
              <a16:creationId xmlns:a16="http://schemas.microsoft.com/office/drawing/2014/main" id="{00000000-0008-0000-0100-0000F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9" name="Text Box 15">
          <a:extLst>
            <a:ext uri="{FF2B5EF4-FFF2-40B4-BE49-F238E27FC236}">
              <a16:creationId xmlns:a16="http://schemas.microsoft.com/office/drawing/2014/main" id="{00000000-0008-0000-0100-0000F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0" name="Text Box 15">
          <a:extLst>
            <a:ext uri="{FF2B5EF4-FFF2-40B4-BE49-F238E27FC236}">
              <a16:creationId xmlns:a16="http://schemas.microsoft.com/office/drawing/2014/main" id="{00000000-0008-0000-0100-0000F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1" name="Text Box 15">
          <a:extLst>
            <a:ext uri="{FF2B5EF4-FFF2-40B4-BE49-F238E27FC236}">
              <a16:creationId xmlns:a16="http://schemas.microsoft.com/office/drawing/2014/main" id="{00000000-0008-0000-0100-0000F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2" name="Text Box 15">
          <a:extLst>
            <a:ext uri="{FF2B5EF4-FFF2-40B4-BE49-F238E27FC236}">
              <a16:creationId xmlns:a16="http://schemas.microsoft.com/office/drawing/2014/main" id="{00000000-0008-0000-0100-0000F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3" name="Text Box 15">
          <a:extLst>
            <a:ext uri="{FF2B5EF4-FFF2-40B4-BE49-F238E27FC236}">
              <a16:creationId xmlns:a16="http://schemas.microsoft.com/office/drawing/2014/main" id="{00000000-0008-0000-0100-0000F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4" name="Text Box 15">
          <a:extLst>
            <a:ext uri="{FF2B5EF4-FFF2-40B4-BE49-F238E27FC236}">
              <a16:creationId xmlns:a16="http://schemas.microsoft.com/office/drawing/2014/main" id="{00000000-0008-0000-0100-0000F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5" name="Text Box 15">
          <a:extLst>
            <a:ext uri="{FF2B5EF4-FFF2-40B4-BE49-F238E27FC236}">
              <a16:creationId xmlns:a16="http://schemas.microsoft.com/office/drawing/2014/main" id="{00000000-0008-0000-0100-0000F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6" name="Text Box 15">
          <a:extLst>
            <a:ext uri="{FF2B5EF4-FFF2-40B4-BE49-F238E27FC236}">
              <a16:creationId xmlns:a16="http://schemas.microsoft.com/office/drawing/2014/main" id="{00000000-0008-0000-0100-00000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7" name="Text Box 15">
          <a:extLst>
            <a:ext uri="{FF2B5EF4-FFF2-40B4-BE49-F238E27FC236}">
              <a16:creationId xmlns:a16="http://schemas.microsoft.com/office/drawing/2014/main" id="{00000000-0008-0000-0100-00000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8" name="Text Box 15">
          <a:extLst>
            <a:ext uri="{FF2B5EF4-FFF2-40B4-BE49-F238E27FC236}">
              <a16:creationId xmlns:a16="http://schemas.microsoft.com/office/drawing/2014/main" id="{00000000-0008-0000-0100-00000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9" name="Text Box 15">
          <a:extLst>
            <a:ext uri="{FF2B5EF4-FFF2-40B4-BE49-F238E27FC236}">
              <a16:creationId xmlns:a16="http://schemas.microsoft.com/office/drawing/2014/main" id="{00000000-0008-0000-0100-00000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0" name="Text Box 15">
          <a:extLst>
            <a:ext uri="{FF2B5EF4-FFF2-40B4-BE49-F238E27FC236}">
              <a16:creationId xmlns:a16="http://schemas.microsoft.com/office/drawing/2014/main" id="{00000000-0008-0000-0100-00000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1" name="Text Box 15">
          <a:extLst>
            <a:ext uri="{FF2B5EF4-FFF2-40B4-BE49-F238E27FC236}">
              <a16:creationId xmlns:a16="http://schemas.microsoft.com/office/drawing/2014/main" id="{00000000-0008-0000-0100-00000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2" name="Text Box 15">
          <a:extLst>
            <a:ext uri="{FF2B5EF4-FFF2-40B4-BE49-F238E27FC236}">
              <a16:creationId xmlns:a16="http://schemas.microsoft.com/office/drawing/2014/main" id="{00000000-0008-0000-0100-00000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3" name="Text Box 15">
          <a:extLst>
            <a:ext uri="{FF2B5EF4-FFF2-40B4-BE49-F238E27FC236}">
              <a16:creationId xmlns:a16="http://schemas.microsoft.com/office/drawing/2014/main" id="{00000000-0008-0000-0100-00000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4" name="Text Box 15">
          <a:extLst>
            <a:ext uri="{FF2B5EF4-FFF2-40B4-BE49-F238E27FC236}">
              <a16:creationId xmlns:a16="http://schemas.microsoft.com/office/drawing/2014/main" id="{00000000-0008-0000-0100-00000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5" name="Text Box 15">
          <a:extLst>
            <a:ext uri="{FF2B5EF4-FFF2-40B4-BE49-F238E27FC236}">
              <a16:creationId xmlns:a16="http://schemas.microsoft.com/office/drawing/2014/main" id="{00000000-0008-0000-0100-00000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6" name="Text Box 15">
          <a:extLst>
            <a:ext uri="{FF2B5EF4-FFF2-40B4-BE49-F238E27FC236}">
              <a16:creationId xmlns:a16="http://schemas.microsoft.com/office/drawing/2014/main" id="{00000000-0008-0000-0100-00000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7" name="Text Box 15">
          <a:extLst>
            <a:ext uri="{FF2B5EF4-FFF2-40B4-BE49-F238E27FC236}">
              <a16:creationId xmlns:a16="http://schemas.microsoft.com/office/drawing/2014/main" id="{00000000-0008-0000-0100-00000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8" name="Text Box 15">
          <a:extLst>
            <a:ext uri="{FF2B5EF4-FFF2-40B4-BE49-F238E27FC236}">
              <a16:creationId xmlns:a16="http://schemas.microsoft.com/office/drawing/2014/main" id="{00000000-0008-0000-0100-00000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9" name="Text Box 15">
          <a:extLst>
            <a:ext uri="{FF2B5EF4-FFF2-40B4-BE49-F238E27FC236}">
              <a16:creationId xmlns:a16="http://schemas.microsoft.com/office/drawing/2014/main" id="{00000000-0008-0000-0100-00000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0" name="Text Box 15">
          <a:extLst>
            <a:ext uri="{FF2B5EF4-FFF2-40B4-BE49-F238E27FC236}">
              <a16:creationId xmlns:a16="http://schemas.microsoft.com/office/drawing/2014/main" id="{00000000-0008-0000-0100-00000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1" name="Text Box 15">
          <a:extLst>
            <a:ext uri="{FF2B5EF4-FFF2-40B4-BE49-F238E27FC236}">
              <a16:creationId xmlns:a16="http://schemas.microsoft.com/office/drawing/2014/main" id="{00000000-0008-0000-0100-00000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2" name="Text Box 15">
          <a:extLst>
            <a:ext uri="{FF2B5EF4-FFF2-40B4-BE49-F238E27FC236}">
              <a16:creationId xmlns:a16="http://schemas.microsoft.com/office/drawing/2014/main" id="{00000000-0008-0000-0100-00001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3" name="Text Box 15">
          <a:extLst>
            <a:ext uri="{FF2B5EF4-FFF2-40B4-BE49-F238E27FC236}">
              <a16:creationId xmlns:a16="http://schemas.microsoft.com/office/drawing/2014/main" id="{00000000-0008-0000-0100-00001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4" name="Text Box 15">
          <a:extLst>
            <a:ext uri="{FF2B5EF4-FFF2-40B4-BE49-F238E27FC236}">
              <a16:creationId xmlns:a16="http://schemas.microsoft.com/office/drawing/2014/main" id="{00000000-0008-0000-0100-00001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5" name="Text Box 15">
          <a:extLst>
            <a:ext uri="{FF2B5EF4-FFF2-40B4-BE49-F238E27FC236}">
              <a16:creationId xmlns:a16="http://schemas.microsoft.com/office/drawing/2014/main" id="{00000000-0008-0000-0100-00001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6" name="Text Box 15">
          <a:extLst>
            <a:ext uri="{FF2B5EF4-FFF2-40B4-BE49-F238E27FC236}">
              <a16:creationId xmlns:a16="http://schemas.microsoft.com/office/drawing/2014/main" id="{00000000-0008-0000-0100-00001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7" name="Text Box 15">
          <a:extLst>
            <a:ext uri="{FF2B5EF4-FFF2-40B4-BE49-F238E27FC236}">
              <a16:creationId xmlns:a16="http://schemas.microsoft.com/office/drawing/2014/main" id="{00000000-0008-0000-0100-00001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598" name="Text Box 15">
          <a:extLst>
            <a:ext uri="{FF2B5EF4-FFF2-40B4-BE49-F238E27FC236}">
              <a16:creationId xmlns:a16="http://schemas.microsoft.com/office/drawing/2014/main" id="{00000000-0008-0000-0100-000016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599" name="Text Box 15">
          <a:extLst>
            <a:ext uri="{FF2B5EF4-FFF2-40B4-BE49-F238E27FC236}">
              <a16:creationId xmlns:a16="http://schemas.microsoft.com/office/drawing/2014/main" id="{00000000-0008-0000-0100-00001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0" name="Text Box 15">
          <a:extLst>
            <a:ext uri="{FF2B5EF4-FFF2-40B4-BE49-F238E27FC236}">
              <a16:creationId xmlns:a16="http://schemas.microsoft.com/office/drawing/2014/main" id="{00000000-0008-0000-0100-00001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1" name="Text Box 15">
          <a:extLst>
            <a:ext uri="{FF2B5EF4-FFF2-40B4-BE49-F238E27FC236}">
              <a16:creationId xmlns:a16="http://schemas.microsoft.com/office/drawing/2014/main" id="{00000000-0008-0000-0100-00001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2" name="Text Box 15">
          <a:extLst>
            <a:ext uri="{FF2B5EF4-FFF2-40B4-BE49-F238E27FC236}">
              <a16:creationId xmlns:a16="http://schemas.microsoft.com/office/drawing/2014/main" id="{00000000-0008-0000-0100-00001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03" name="Text Box 15">
          <a:extLst>
            <a:ext uri="{FF2B5EF4-FFF2-40B4-BE49-F238E27FC236}">
              <a16:creationId xmlns:a16="http://schemas.microsoft.com/office/drawing/2014/main" id="{00000000-0008-0000-0100-00001B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4" name="Text Box 15">
          <a:extLst>
            <a:ext uri="{FF2B5EF4-FFF2-40B4-BE49-F238E27FC236}">
              <a16:creationId xmlns:a16="http://schemas.microsoft.com/office/drawing/2014/main" id="{00000000-0008-0000-0100-00001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5" name="Text Box 15">
          <a:extLst>
            <a:ext uri="{FF2B5EF4-FFF2-40B4-BE49-F238E27FC236}">
              <a16:creationId xmlns:a16="http://schemas.microsoft.com/office/drawing/2014/main" id="{00000000-0008-0000-0100-00001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6" name="Text Box 15">
          <a:extLst>
            <a:ext uri="{FF2B5EF4-FFF2-40B4-BE49-F238E27FC236}">
              <a16:creationId xmlns:a16="http://schemas.microsoft.com/office/drawing/2014/main" id="{00000000-0008-0000-0100-00001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7" name="Text Box 15">
          <a:extLst>
            <a:ext uri="{FF2B5EF4-FFF2-40B4-BE49-F238E27FC236}">
              <a16:creationId xmlns:a16="http://schemas.microsoft.com/office/drawing/2014/main" id="{00000000-0008-0000-0100-00001F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08" name="Text Box 15">
          <a:extLst>
            <a:ext uri="{FF2B5EF4-FFF2-40B4-BE49-F238E27FC236}">
              <a16:creationId xmlns:a16="http://schemas.microsoft.com/office/drawing/2014/main" id="{00000000-0008-0000-0100-000020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9" name="Text Box 15">
          <a:extLst>
            <a:ext uri="{FF2B5EF4-FFF2-40B4-BE49-F238E27FC236}">
              <a16:creationId xmlns:a16="http://schemas.microsoft.com/office/drawing/2014/main" id="{00000000-0008-0000-0100-00002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0" name="Text Box 15">
          <a:extLst>
            <a:ext uri="{FF2B5EF4-FFF2-40B4-BE49-F238E27FC236}">
              <a16:creationId xmlns:a16="http://schemas.microsoft.com/office/drawing/2014/main" id="{00000000-0008-0000-0100-00002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1" name="Text Box 15">
          <a:extLst>
            <a:ext uri="{FF2B5EF4-FFF2-40B4-BE49-F238E27FC236}">
              <a16:creationId xmlns:a16="http://schemas.microsoft.com/office/drawing/2014/main" id="{00000000-0008-0000-0100-000023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2" name="Text Box 15">
          <a:extLst>
            <a:ext uri="{FF2B5EF4-FFF2-40B4-BE49-F238E27FC236}">
              <a16:creationId xmlns:a16="http://schemas.microsoft.com/office/drawing/2014/main" id="{00000000-0008-0000-0100-00002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3" name="Text Box 15">
          <a:extLst>
            <a:ext uri="{FF2B5EF4-FFF2-40B4-BE49-F238E27FC236}">
              <a16:creationId xmlns:a16="http://schemas.microsoft.com/office/drawing/2014/main" id="{00000000-0008-0000-0100-00002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4" name="Text Box 15">
          <a:extLst>
            <a:ext uri="{FF2B5EF4-FFF2-40B4-BE49-F238E27FC236}">
              <a16:creationId xmlns:a16="http://schemas.microsoft.com/office/drawing/2014/main" id="{00000000-0008-0000-0100-00002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5" name="Text Box 15">
          <a:extLst>
            <a:ext uri="{FF2B5EF4-FFF2-40B4-BE49-F238E27FC236}">
              <a16:creationId xmlns:a16="http://schemas.microsoft.com/office/drawing/2014/main" id="{00000000-0008-0000-0100-00002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16" name="Text Box 15">
          <a:extLst>
            <a:ext uri="{FF2B5EF4-FFF2-40B4-BE49-F238E27FC236}">
              <a16:creationId xmlns:a16="http://schemas.microsoft.com/office/drawing/2014/main" id="{00000000-0008-0000-0100-000028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7" name="Text Box 15">
          <a:extLst>
            <a:ext uri="{FF2B5EF4-FFF2-40B4-BE49-F238E27FC236}">
              <a16:creationId xmlns:a16="http://schemas.microsoft.com/office/drawing/2014/main" id="{00000000-0008-0000-0100-00002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8" name="Text Box 15">
          <a:extLst>
            <a:ext uri="{FF2B5EF4-FFF2-40B4-BE49-F238E27FC236}">
              <a16:creationId xmlns:a16="http://schemas.microsoft.com/office/drawing/2014/main" id="{00000000-0008-0000-0100-00002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9" name="Text Box 15">
          <a:extLst>
            <a:ext uri="{FF2B5EF4-FFF2-40B4-BE49-F238E27FC236}">
              <a16:creationId xmlns:a16="http://schemas.microsoft.com/office/drawing/2014/main" id="{00000000-0008-0000-0100-00002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0" name="Text Box 15">
          <a:extLst>
            <a:ext uri="{FF2B5EF4-FFF2-40B4-BE49-F238E27FC236}">
              <a16:creationId xmlns:a16="http://schemas.microsoft.com/office/drawing/2014/main" id="{00000000-0008-0000-0100-00002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1" name="Text Box 15">
          <a:extLst>
            <a:ext uri="{FF2B5EF4-FFF2-40B4-BE49-F238E27FC236}">
              <a16:creationId xmlns:a16="http://schemas.microsoft.com/office/drawing/2014/main" id="{00000000-0008-0000-0100-00002D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2" name="Text Box 15">
          <a:extLst>
            <a:ext uri="{FF2B5EF4-FFF2-40B4-BE49-F238E27FC236}">
              <a16:creationId xmlns:a16="http://schemas.microsoft.com/office/drawing/2014/main" id="{00000000-0008-0000-0100-00002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3" name="Text Box 15">
          <a:extLst>
            <a:ext uri="{FF2B5EF4-FFF2-40B4-BE49-F238E27FC236}">
              <a16:creationId xmlns:a16="http://schemas.microsoft.com/office/drawing/2014/main" id="{00000000-0008-0000-0100-00002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24" name="Text Box 15">
          <a:extLst>
            <a:ext uri="{FF2B5EF4-FFF2-40B4-BE49-F238E27FC236}">
              <a16:creationId xmlns:a16="http://schemas.microsoft.com/office/drawing/2014/main" id="{00000000-0008-0000-0100-000030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5" name="Text Box 15">
          <a:extLst>
            <a:ext uri="{FF2B5EF4-FFF2-40B4-BE49-F238E27FC236}">
              <a16:creationId xmlns:a16="http://schemas.microsoft.com/office/drawing/2014/main" id="{00000000-0008-0000-0100-00003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6" name="Text Box 15">
          <a:extLst>
            <a:ext uri="{FF2B5EF4-FFF2-40B4-BE49-F238E27FC236}">
              <a16:creationId xmlns:a16="http://schemas.microsoft.com/office/drawing/2014/main" id="{00000000-0008-0000-0100-00003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7" name="Text Box 15">
          <a:extLst>
            <a:ext uri="{FF2B5EF4-FFF2-40B4-BE49-F238E27FC236}">
              <a16:creationId xmlns:a16="http://schemas.microsoft.com/office/drawing/2014/main" id="{00000000-0008-0000-0100-00003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8" name="Text Box 15">
          <a:extLst>
            <a:ext uri="{FF2B5EF4-FFF2-40B4-BE49-F238E27FC236}">
              <a16:creationId xmlns:a16="http://schemas.microsoft.com/office/drawing/2014/main" id="{00000000-0008-0000-0100-00003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9" name="Text Box 15">
          <a:extLst>
            <a:ext uri="{FF2B5EF4-FFF2-40B4-BE49-F238E27FC236}">
              <a16:creationId xmlns:a16="http://schemas.microsoft.com/office/drawing/2014/main" id="{00000000-0008-0000-0100-00003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0" name="Text Box 15">
          <a:extLst>
            <a:ext uri="{FF2B5EF4-FFF2-40B4-BE49-F238E27FC236}">
              <a16:creationId xmlns:a16="http://schemas.microsoft.com/office/drawing/2014/main" id="{00000000-0008-0000-0100-00003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1" name="Text Box 15">
          <a:extLst>
            <a:ext uri="{FF2B5EF4-FFF2-40B4-BE49-F238E27FC236}">
              <a16:creationId xmlns:a16="http://schemas.microsoft.com/office/drawing/2014/main" id="{00000000-0008-0000-0100-00003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2" name="Text Box 15">
          <a:extLst>
            <a:ext uri="{FF2B5EF4-FFF2-40B4-BE49-F238E27FC236}">
              <a16:creationId xmlns:a16="http://schemas.microsoft.com/office/drawing/2014/main" id="{00000000-0008-0000-0100-00003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3" name="Text Box 15">
          <a:extLst>
            <a:ext uri="{FF2B5EF4-FFF2-40B4-BE49-F238E27FC236}">
              <a16:creationId xmlns:a16="http://schemas.microsoft.com/office/drawing/2014/main" id="{00000000-0008-0000-0100-00003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4" name="Text Box 15">
          <a:extLst>
            <a:ext uri="{FF2B5EF4-FFF2-40B4-BE49-F238E27FC236}">
              <a16:creationId xmlns:a16="http://schemas.microsoft.com/office/drawing/2014/main" id="{00000000-0008-0000-0100-00003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5" name="Text Box 15">
          <a:extLst>
            <a:ext uri="{FF2B5EF4-FFF2-40B4-BE49-F238E27FC236}">
              <a16:creationId xmlns:a16="http://schemas.microsoft.com/office/drawing/2014/main" id="{00000000-0008-0000-0100-00003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6" name="Text Box 15">
          <a:extLst>
            <a:ext uri="{FF2B5EF4-FFF2-40B4-BE49-F238E27FC236}">
              <a16:creationId xmlns:a16="http://schemas.microsoft.com/office/drawing/2014/main" id="{00000000-0008-0000-0100-00003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7" name="Text Box 15">
          <a:extLst>
            <a:ext uri="{FF2B5EF4-FFF2-40B4-BE49-F238E27FC236}">
              <a16:creationId xmlns:a16="http://schemas.microsoft.com/office/drawing/2014/main" id="{00000000-0008-0000-0100-00003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8" name="Text Box 15">
          <a:extLst>
            <a:ext uri="{FF2B5EF4-FFF2-40B4-BE49-F238E27FC236}">
              <a16:creationId xmlns:a16="http://schemas.microsoft.com/office/drawing/2014/main" id="{00000000-0008-0000-0100-00003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9" name="Text Box 15">
          <a:extLst>
            <a:ext uri="{FF2B5EF4-FFF2-40B4-BE49-F238E27FC236}">
              <a16:creationId xmlns:a16="http://schemas.microsoft.com/office/drawing/2014/main" id="{00000000-0008-0000-0100-00003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0" name="Text Box 15">
          <a:extLst>
            <a:ext uri="{FF2B5EF4-FFF2-40B4-BE49-F238E27FC236}">
              <a16:creationId xmlns:a16="http://schemas.microsoft.com/office/drawing/2014/main" id="{00000000-0008-0000-0100-00004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1" name="Text Box 15">
          <a:extLst>
            <a:ext uri="{FF2B5EF4-FFF2-40B4-BE49-F238E27FC236}">
              <a16:creationId xmlns:a16="http://schemas.microsoft.com/office/drawing/2014/main" id="{00000000-0008-0000-0100-00004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2" name="Text Box 15">
          <a:extLst>
            <a:ext uri="{FF2B5EF4-FFF2-40B4-BE49-F238E27FC236}">
              <a16:creationId xmlns:a16="http://schemas.microsoft.com/office/drawing/2014/main" id="{00000000-0008-0000-0100-00004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3" name="Text Box 15">
          <a:extLst>
            <a:ext uri="{FF2B5EF4-FFF2-40B4-BE49-F238E27FC236}">
              <a16:creationId xmlns:a16="http://schemas.microsoft.com/office/drawing/2014/main" id="{00000000-0008-0000-0100-00004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4" name="Text Box 15">
          <a:extLst>
            <a:ext uri="{FF2B5EF4-FFF2-40B4-BE49-F238E27FC236}">
              <a16:creationId xmlns:a16="http://schemas.microsoft.com/office/drawing/2014/main" id="{00000000-0008-0000-0100-00004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5" name="Text Box 15">
          <a:extLst>
            <a:ext uri="{FF2B5EF4-FFF2-40B4-BE49-F238E27FC236}">
              <a16:creationId xmlns:a16="http://schemas.microsoft.com/office/drawing/2014/main" id="{00000000-0008-0000-0100-00004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6" name="Text Box 15">
          <a:extLst>
            <a:ext uri="{FF2B5EF4-FFF2-40B4-BE49-F238E27FC236}">
              <a16:creationId xmlns:a16="http://schemas.microsoft.com/office/drawing/2014/main" id="{00000000-0008-0000-0100-00004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7" name="Text Box 15">
          <a:extLst>
            <a:ext uri="{FF2B5EF4-FFF2-40B4-BE49-F238E27FC236}">
              <a16:creationId xmlns:a16="http://schemas.microsoft.com/office/drawing/2014/main" id="{00000000-0008-0000-0100-00004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8" name="Text Box 15">
          <a:extLst>
            <a:ext uri="{FF2B5EF4-FFF2-40B4-BE49-F238E27FC236}">
              <a16:creationId xmlns:a16="http://schemas.microsoft.com/office/drawing/2014/main" id="{00000000-0008-0000-0100-00004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49" name="Text Box 15">
          <a:extLst>
            <a:ext uri="{FF2B5EF4-FFF2-40B4-BE49-F238E27FC236}">
              <a16:creationId xmlns:a16="http://schemas.microsoft.com/office/drawing/2014/main" id="{00000000-0008-0000-0100-000049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0" name="Text Box 15">
          <a:extLst>
            <a:ext uri="{FF2B5EF4-FFF2-40B4-BE49-F238E27FC236}">
              <a16:creationId xmlns:a16="http://schemas.microsoft.com/office/drawing/2014/main" id="{00000000-0008-0000-0100-00004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1" name="Text Box 15">
          <a:extLst>
            <a:ext uri="{FF2B5EF4-FFF2-40B4-BE49-F238E27FC236}">
              <a16:creationId xmlns:a16="http://schemas.microsoft.com/office/drawing/2014/main" id="{00000000-0008-0000-0100-00004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2" name="Text Box 15">
          <a:extLst>
            <a:ext uri="{FF2B5EF4-FFF2-40B4-BE49-F238E27FC236}">
              <a16:creationId xmlns:a16="http://schemas.microsoft.com/office/drawing/2014/main" id="{00000000-0008-0000-0100-00004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3" name="Text Box 15">
          <a:extLst>
            <a:ext uri="{FF2B5EF4-FFF2-40B4-BE49-F238E27FC236}">
              <a16:creationId xmlns:a16="http://schemas.microsoft.com/office/drawing/2014/main" id="{00000000-0008-0000-0100-00004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4" name="Text Box 15">
          <a:extLst>
            <a:ext uri="{FF2B5EF4-FFF2-40B4-BE49-F238E27FC236}">
              <a16:creationId xmlns:a16="http://schemas.microsoft.com/office/drawing/2014/main" id="{00000000-0008-0000-0100-00004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5" name="Text Box 15">
          <a:extLst>
            <a:ext uri="{FF2B5EF4-FFF2-40B4-BE49-F238E27FC236}">
              <a16:creationId xmlns:a16="http://schemas.microsoft.com/office/drawing/2014/main" id="{00000000-0008-0000-0100-00004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6" name="Text Box 15">
          <a:extLst>
            <a:ext uri="{FF2B5EF4-FFF2-40B4-BE49-F238E27FC236}">
              <a16:creationId xmlns:a16="http://schemas.microsoft.com/office/drawing/2014/main" id="{00000000-0008-0000-0100-00005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7" name="Text Box 15">
          <a:extLst>
            <a:ext uri="{FF2B5EF4-FFF2-40B4-BE49-F238E27FC236}">
              <a16:creationId xmlns:a16="http://schemas.microsoft.com/office/drawing/2014/main" id="{00000000-0008-0000-0100-00005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8" name="Text Box 15">
          <a:extLst>
            <a:ext uri="{FF2B5EF4-FFF2-40B4-BE49-F238E27FC236}">
              <a16:creationId xmlns:a16="http://schemas.microsoft.com/office/drawing/2014/main" id="{00000000-0008-0000-0100-00005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9" name="Text Box 15">
          <a:extLst>
            <a:ext uri="{FF2B5EF4-FFF2-40B4-BE49-F238E27FC236}">
              <a16:creationId xmlns:a16="http://schemas.microsoft.com/office/drawing/2014/main" id="{00000000-0008-0000-0100-00005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0" name="Text Box 15">
          <a:extLst>
            <a:ext uri="{FF2B5EF4-FFF2-40B4-BE49-F238E27FC236}">
              <a16:creationId xmlns:a16="http://schemas.microsoft.com/office/drawing/2014/main" id="{00000000-0008-0000-0100-00005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1" name="Text Box 15">
          <a:extLst>
            <a:ext uri="{FF2B5EF4-FFF2-40B4-BE49-F238E27FC236}">
              <a16:creationId xmlns:a16="http://schemas.microsoft.com/office/drawing/2014/main" id="{00000000-0008-0000-0100-00005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2" name="Text Box 15">
          <a:extLst>
            <a:ext uri="{FF2B5EF4-FFF2-40B4-BE49-F238E27FC236}">
              <a16:creationId xmlns:a16="http://schemas.microsoft.com/office/drawing/2014/main" id="{00000000-0008-0000-0100-00005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3" name="Text Box 15">
          <a:extLst>
            <a:ext uri="{FF2B5EF4-FFF2-40B4-BE49-F238E27FC236}">
              <a16:creationId xmlns:a16="http://schemas.microsoft.com/office/drawing/2014/main" id="{00000000-0008-0000-0100-00005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4" name="Text Box 15">
          <a:extLst>
            <a:ext uri="{FF2B5EF4-FFF2-40B4-BE49-F238E27FC236}">
              <a16:creationId xmlns:a16="http://schemas.microsoft.com/office/drawing/2014/main" id="{00000000-0008-0000-0100-00005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5" name="Text Box 15">
          <a:extLst>
            <a:ext uri="{FF2B5EF4-FFF2-40B4-BE49-F238E27FC236}">
              <a16:creationId xmlns:a16="http://schemas.microsoft.com/office/drawing/2014/main" id="{00000000-0008-0000-0100-00005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6" name="Text Box 15">
          <a:extLst>
            <a:ext uri="{FF2B5EF4-FFF2-40B4-BE49-F238E27FC236}">
              <a16:creationId xmlns:a16="http://schemas.microsoft.com/office/drawing/2014/main" id="{00000000-0008-0000-0100-00005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7" name="Text Box 15">
          <a:extLst>
            <a:ext uri="{FF2B5EF4-FFF2-40B4-BE49-F238E27FC236}">
              <a16:creationId xmlns:a16="http://schemas.microsoft.com/office/drawing/2014/main" id="{00000000-0008-0000-0100-00005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8" name="Text Box 15">
          <a:extLst>
            <a:ext uri="{FF2B5EF4-FFF2-40B4-BE49-F238E27FC236}">
              <a16:creationId xmlns:a16="http://schemas.microsoft.com/office/drawing/2014/main" id="{00000000-0008-0000-0100-00005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9" name="Text Box 15">
          <a:extLst>
            <a:ext uri="{FF2B5EF4-FFF2-40B4-BE49-F238E27FC236}">
              <a16:creationId xmlns:a16="http://schemas.microsoft.com/office/drawing/2014/main" id="{00000000-0008-0000-0100-00005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0" name="Text Box 15">
          <a:extLst>
            <a:ext uri="{FF2B5EF4-FFF2-40B4-BE49-F238E27FC236}">
              <a16:creationId xmlns:a16="http://schemas.microsoft.com/office/drawing/2014/main" id="{00000000-0008-0000-0100-00005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1" name="Text Box 15">
          <a:extLst>
            <a:ext uri="{FF2B5EF4-FFF2-40B4-BE49-F238E27FC236}">
              <a16:creationId xmlns:a16="http://schemas.microsoft.com/office/drawing/2014/main" id="{00000000-0008-0000-0100-00005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2" name="Text Box 15">
          <a:extLst>
            <a:ext uri="{FF2B5EF4-FFF2-40B4-BE49-F238E27FC236}">
              <a16:creationId xmlns:a16="http://schemas.microsoft.com/office/drawing/2014/main" id="{00000000-0008-0000-0100-00006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3" name="Text Box 15">
          <a:extLst>
            <a:ext uri="{FF2B5EF4-FFF2-40B4-BE49-F238E27FC236}">
              <a16:creationId xmlns:a16="http://schemas.microsoft.com/office/drawing/2014/main" id="{00000000-0008-0000-0100-00006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4" name="Text Box 15">
          <a:extLst>
            <a:ext uri="{FF2B5EF4-FFF2-40B4-BE49-F238E27FC236}">
              <a16:creationId xmlns:a16="http://schemas.microsoft.com/office/drawing/2014/main" id="{00000000-0008-0000-0100-00006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5" name="Text Box 15">
          <a:extLst>
            <a:ext uri="{FF2B5EF4-FFF2-40B4-BE49-F238E27FC236}">
              <a16:creationId xmlns:a16="http://schemas.microsoft.com/office/drawing/2014/main" id="{00000000-0008-0000-0100-00006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6" name="Text Box 15">
          <a:extLst>
            <a:ext uri="{FF2B5EF4-FFF2-40B4-BE49-F238E27FC236}">
              <a16:creationId xmlns:a16="http://schemas.microsoft.com/office/drawing/2014/main" id="{00000000-0008-0000-0100-00006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7" name="Text Box 15">
          <a:extLst>
            <a:ext uri="{FF2B5EF4-FFF2-40B4-BE49-F238E27FC236}">
              <a16:creationId xmlns:a16="http://schemas.microsoft.com/office/drawing/2014/main" id="{00000000-0008-0000-0100-00006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8" name="Text Box 15">
          <a:extLst>
            <a:ext uri="{FF2B5EF4-FFF2-40B4-BE49-F238E27FC236}">
              <a16:creationId xmlns:a16="http://schemas.microsoft.com/office/drawing/2014/main" id="{00000000-0008-0000-0100-00006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9" name="Text Box 15">
          <a:extLst>
            <a:ext uri="{FF2B5EF4-FFF2-40B4-BE49-F238E27FC236}">
              <a16:creationId xmlns:a16="http://schemas.microsoft.com/office/drawing/2014/main" id="{00000000-0008-0000-0100-00006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0" name="Text Box 15">
          <a:extLst>
            <a:ext uri="{FF2B5EF4-FFF2-40B4-BE49-F238E27FC236}">
              <a16:creationId xmlns:a16="http://schemas.microsoft.com/office/drawing/2014/main" id="{00000000-0008-0000-0100-00006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1" name="Text Box 15">
          <a:extLst>
            <a:ext uri="{FF2B5EF4-FFF2-40B4-BE49-F238E27FC236}">
              <a16:creationId xmlns:a16="http://schemas.microsoft.com/office/drawing/2014/main" id="{00000000-0008-0000-0100-00006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2" name="Text Box 15">
          <a:extLst>
            <a:ext uri="{FF2B5EF4-FFF2-40B4-BE49-F238E27FC236}">
              <a16:creationId xmlns:a16="http://schemas.microsoft.com/office/drawing/2014/main" id="{00000000-0008-0000-0100-00006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3" name="Text Box 15">
          <a:extLst>
            <a:ext uri="{FF2B5EF4-FFF2-40B4-BE49-F238E27FC236}">
              <a16:creationId xmlns:a16="http://schemas.microsoft.com/office/drawing/2014/main" id="{00000000-0008-0000-0100-00006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4" name="Text Box 15">
          <a:extLst>
            <a:ext uri="{FF2B5EF4-FFF2-40B4-BE49-F238E27FC236}">
              <a16:creationId xmlns:a16="http://schemas.microsoft.com/office/drawing/2014/main" id="{00000000-0008-0000-0100-00006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5" name="Text Box 15">
          <a:extLst>
            <a:ext uri="{FF2B5EF4-FFF2-40B4-BE49-F238E27FC236}">
              <a16:creationId xmlns:a16="http://schemas.microsoft.com/office/drawing/2014/main" id="{00000000-0008-0000-0100-00006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6" name="Text Box 15">
          <a:extLst>
            <a:ext uri="{FF2B5EF4-FFF2-40B4-BE49-F238E27FC236}">
              <a16:creationId xmlns:a16="http://schemas.microsoft.com/office/drawing/2014/main" id="{00000000-0008-0000-0100-00006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7" name="Text Box 15">
          <a:extLst>
            <a:ext uri="{FF2B5EF4-FFF2-40B4-BE49-F238E27FC236}">
              <a16:creationId xmlns:a16="http://schemas.microsoft.com/office/drawing/2014/main" id="{00000000-0008-0000-0100-00006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8" name="Text Box 15">
          <a:extLst>
            <a:ext uri="{FF2B5EF4-FFF2-40B4-BE49-F238E27FC236}">
              <a16:creationId xmlns:a16="http://schemas.microsoft.com/office/drawing/2014/main" id="{00000000-0008-0000-0100-00007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9" name="Text Box 15">
          <a:extLst>
            <a:ext uri="{FF2B5EF4-FFF2-40B4-BE49-F238E27FC236}">
              <a16:creationId xmlns:a16="http://schemas.microsoft.com/office/drawing/2014/main" id="{00000000-0008-0000-0100-00007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0" name="Text Box 15">
          <a:extLst>
            <a:ext uri="{FF2B5EF4-FFF2-40B4-BE49-F238E27FC236}">
              <a16:creationId xmlns:a16="http://schemas.microsoft.com/office/drawing/2014/main" id="{00000000-0008-0000-0100-00007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1" name="Text Box 15">
          <a:extLst>
            <a:ext uri="{FF2B5EF4-FFF2-40B4-BE49-F238E27FC236}">
              <a16:creationId xmlns:a16="http://schemas.microsoft.com/office/drawing/2014/main" id="{00000000-0008-0000-0100-00007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2" name="Text Box 15">
          <a:extLst>
            <a:ext uri="{FF2B5EF4-FFF2-40B4-BE49-F238E27FC236}">
              <a16:creationId xmlns:a16="http://schemas.microsoft.com/office/drawing/2014/main" id="{00000000-0008-0000-0100-00007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3" name="Text Box 15">
          <a:extLst>
            <a:ext uri="{FF2B5EF4-FFF2-40B4-BE49-F238E27FC236}">
              <a16:creationId xmlns:a16="http://schemas.microsoft.com/office/drawing/2014/main" id="{00000000-0008-0000-0100-00007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4" name="Text Box 15">
          <a:extLst>
            <a:ext uri="{FF2B5EF4-FFF2-40B4-BE49-F238E27FC236}">
              <a16:creationId xmlns:a16="http://schemas.microsoft.com/office/drawing/2014/main" id="{00000000-0008-0000-0100-00007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5" name="Text Box 15">
          <a:extLst>
            <a:ext uri="{FF2B5EF4-FFF2-40B4-BE49-F238E27FC236}">
              <a16:creationId xmlns:a16="http://schemas.microsoft.com/office/drawing/2014/main" id="{00000000-0008-0000-0100-00007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6" name="Text Box 15">
          <a:extLst>
            <a:ext uri="{FF2B5EF4-FFF2-40B4-BE49-F238E27FC236}">
              <a16:creationId xmlns:a16="http://schemas.microsoft.com/office/drawing/2014/main" id="{00000000-0008-0000-0100-00007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7" name="Text Box 15">
          <a:extLst>
            <a:ext uri="{FF2B5EF4-FFF2-40B4-BE49-F238E27FC236}">
              <a16:creationId xmlns:a16="http://schemas.microsoft.com/office/drawing/2014/main" id="{00000000-0008-0000-0100-00007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8" name="Text Box 15">
          <a:extLst>
            <a:ext uri="{FF2B5EF4-FFF2-40B4-BE49-F238E27FC236}">
              <a16:creationId xmlns:a16="http://schemas.microsoft.com/office/drawing/2014/main" id="{00000000-0008-0000-0100-00007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9" name="Text Box 15">
          <a:extLst>
            <a:ext uri="{FF2B5EF4-FFF2-40B4-BE49-F238E27FC236}">
              <a16:creationId xmlns:a16="http://schemas.microsoft.com/office/drawing/2014/main" id="{00000000-0008-0000-0100-00007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0" name="Text Box 15">
          <a:extLst>
            <a:ext uri="{FF2B5EF4-FFF2-40B4-BE49-F238E27FC236}">
              <a16:creationId xmlns:a16="http://schemas.microsoft.com/office/drawing/2014/main" id="{00000000-0008-0000-0100-00007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1" name="Text Box 15">
          <a:extLst>
            <a:ext uri="{FF2B5EF4-FFF2-40B4-BE49-F238E27FC236}">
              <a16:creationId xmlns:a16="http://schemas.microsoft.com/office/drawing/2014/main" id="{00000000-0008-0000-0100-00007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2" name="Text Box 15">
          <a:extLst>
            <a:ext uri="{FF2B5EF4-FFF2-40B4-BE49-F238E27FC236}">
              <a16:creationId xmlns:a16="http://schemas.microsoft.com/office/drawing/2014/main" id="{00000000-0008-0000-0100-00007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3" name="Text Box 15">
          <a:extLst>
            <a:ext uri="{FF2B5EF4-FFF2-40B4-BE49-F238E27FC236}">
              <a16:creationId xmlns:a16="http://schemas.microsoft.com/office/drawing/2014/main" id="{00000000-0008-0000-0100-00007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4" name="Text Box 15">
          <a:extLst>
            <a:ext uri="{FF2B5EF4-FFF2-40B4-BE49-F238E27FC236}">
              <a16:creationId xmlns:a16="http://schemas.microsoft.com/office/drawing/2014/main" id="{00000000-0008-0000-0100-00008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5" name="Text Box 15">
          <a:extLst>
            <a:ext uri="{FF2B5EF4-FFF2-40B4-BE49-F238E27FC236}">
              <a16:creationId xmlns:a16="http://schemas.microsoft.com/office/drawing/2014/main" id="{00000000-0008-0000-0100-00008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6" name="Text Box 15">
          <a:extLst>
            <a:ext uri="{FF2B5EF4-FFF2-40B4-BE49-F238E27FC236}">
              <a16:creationId xmlns:a16="http://schemas.microsoft.com/office/drawing/2014/main" id="{00000000-0008-0000-0100-00008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7" name="Text Box 15">
          <a:extLst>
            <a:ext uri="{FF2B5EF4-FFF2-40B4-BE49-F238E27FC236}">
              <a16:creationId xmlns:a16="http://schemas.microsoft.com/office/drawing/2014/main" id="{00000000-0008-0000-0100-00008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8" name="Text Box 15">
          <a:extLst>
            <a:ext uri="{FF2B5EF4-FFF2-40B4-BE49-F238E27FC236}">
              <a16:creationId xmlns:a16="http://schemas.microsoft.com/office/drawing/2014/main" id="{00000000-0008-0000-0100-00008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9" name="Text Box 15">
          <a:extLst>
            <a:ext uri="{FF2B5EF4-FFF2-40B4-BE49-F238E27FC236}">
              <a16:creationId xmlns:a16="http://schemas.microsoft.com/office/drawing/2014/main" id="{00000000-0008-0000-0100-00008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0" name="Text Box 15">
          <a:extLst>
            <a:ext uri="{FF2B5EF4-FFF2-40B4-BE49-F238E27FC236}">
              <a16:creationId xmlns:a16="http://schemas.microsoft.com/office/drawing/2014/main" id="{00000000-0008-0000-0100-00008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1" name="Text Box 15">
          <a:extLst>
            <a:ext uri="{FF2B5EF4-FFF2-40B4-BE49-F238E27FC236}">
              <a16:creationId xmlns:a16="http://schemas.microsoft.com/office/drawing/2014/main" id="{00000000-0008-0000-0100-00008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2" name="Text Box 15">
          <a:extLst>
            <a:ext uri="{FF2B5EF4-FFF2-40B4-BE49-F238E27FC236}">
              <a16:creationId xmlns:a16="http://schemas.microsoft.com/office/drawing/2014/main" id="{00000000-0008-0000-0100-00008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3" name="Text Box 15">
          <a:extLst>
            <a:ext uri="{FF2B5EF4-FFF2-40B4-BE49-F238E27FC236}">
              <a16:creationId xmlns:a16="http://schemas.microsoft.com/office/drawing/2014/main" id="{00000000-0008-0000-0100-00008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4" name="Text Box 15">
          <a:extLst>
            <a:ext uri="{FF2B5EF4-FFF2-40B4-BE49-F238E27FC236}">
              <a16:creationId xmlns:a16="http://schemas.microsoft.com/office/drawing/2014/main" id="{00000000-0008-0000-0100-00008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5" name="Text Box 15">
          <a:extLst>
            <a:ext uri="{FF2B5EF4-FFF2-40B4-BE49-F238E27FC236}">
              <a16:creationId xmlns:a16="http://schemas.microsoft.com/office/drawing/2014/main" id="{00000000-0008-0000-0100-00008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6" name="Text Box 15">
          <a:extLst>
            <a:ext uri="{FF2B5EF4-FFF2-40B4-BE49-F238E27FC236}">
              <a16:creationId xmlns:a16="http://schemas.microsoft.com/office/drawing/2014/main" id="{00000000-0008-0000-0100-00008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7" name="Text Box 15">
          <a:extLst>
            <a:ext uri="{FF2B5EF4-FFF2-40B4-BE49-F238E27FC236}">
              <a16:creationId xmlns:a16="http://schemas.microsoft.com/office/drawing/2014/main" id="{00000000-0008-0000-0100-00008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8" name="Text Box 15">
          <a:extLst>
            <a:ext uri="{FF2B5EF4-FFF2-40B4-BE49-F238E27FC236}">
              <a16:creationId xmlns:a16="http://schemas.microsoft.com/office/drawing/2014/main" id="{00000000-0008-0000-0100-00008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9" name="Text Box 15">
          <a:extLst>
            <a:ext uri="{FF2B5EF4-FFF2-40B4-BE49-F238E27FC236}">
              <a16:creationId xmlns:a16="http://schemas.microsoft.com/office/drawing/2014/main" id="{00000000-0008-0000-0100-00008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0" name="Text Box 15">
          <a:extLst>
            <a:ext uri="{FF2B5EF4-FFF2-40B4-BE49-F238E27FC236}">
              <a16:creationId xmlns:a16="http://schemas.microsoft.com/office/drawing/2014/main" id="{00000000-0008-0000-0100-00009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1" name="Text Box 15">
          <a:extLst>
            <a:ext uri="{FF2B5EF4-FFF2-40B4-BE49-F238E27FC236}">
              <a16:creationId xmlns:a16="http://schemas.microsoft.com/office/drawing/2014/main" id="{00000000-0008-0000-0100-00009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22" name="Text Box 15">
          <a:extLst>
            <a:ext uri="{FF2B5EF4-FFF2-40B4-BE49-F238E27FC236}">
              <a16:creationId xmlns:a16="http://schemas.microsoft.com/office/drawing/2014/main" id="{00000000-0008-0000-0100-00009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3" name="Text Box 15">
          <a:extLst>
            <a:ext uri="{FF2B5EF4-FFF2-40B4-BE49-F238E27FC236}">
              <a16:creationId xmlns:a16="http://schemas.microsoft.com/office/drawing/2014/main" id="{00000000-0008-0000-0100-00009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4" name="Text Box 15">
          <a:extLst>
            <a:ext uri="{FF2B5EF4-FFF2-40B4-BE49-F238E27FC236}">
              <a16:creationId xmlns:a16="http://schemas.microsoft.com/office/drawing/2014/main" id="{00000000-0008-0000-0100-00009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5" name="Text Box 15">
          <a:extLst>
            <a:ext uri="{FF2B5EF4-FFF2-40B4-BE49-F238E27FC236}">
              <a16:creationId xmlns:a16="http://schemas.microsoft.com/office/drawing/2014/main" id="{00000000-0008-0000-0100-00009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6" name="Text Box 15">
          <a:extLst>
            <a:ext uri="{FF2B5EF4-FFF2-40B4-BE49-F238E27FC236}">
              <a16:creationId xmlns:a16="http://schemas.microsoft.com/office/drawing/2014/main" id="{00000000-0008-0000-0100-00009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27" name="Text Box 15">
          <a:extLst>
            <a:ext uri="{FF2B5EF4-FFF2-40B4-BE49-F238E27FC236}">
              <a16:creationId xmlns:a16="http://schemas.microsoft.com/office/drawing/2014/main" id="{00000000-0008-0000-0100-000097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8" name="Text Box 15">
          <a:extLst>
            <a:ext uri="{FF2B5EF4-FFF2-40B4-BE49-F238E27FC236}">
              <a16:creationId xmlns:a16="http://schemas.microsoft.com/office/drawing/2014/main" id="{00000000-0008-0000-0100-00009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9" name="Text Box 15">
          <a:extLst>
            <a:ext uri="{FF2B5EF4-FFF2-40B4-BE49-F238E27FC236}">
              <a16:creationId xmlns:a16="http://schemas.microsoft.com/office/drawing/2014/main" id="{00000000-0008-0000-0100-00009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0" name="Text Box 15">
          <a:extLst>
            <a:ext uri="{FF2B5EF4-FFF2-40B4-BE49-F238E27FC236}">
              <a16:creationId xmlns:a16="http://schemas.microsoft.com/office/drawing/2014/main" id="{00000000-0008-0000-0100-00009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1" name="Text Box 15">
          <a:extLst>
            <a:ext uri="{FF2B5EF4-FFF2-40B4-BE49-F238E27FC236}">
              <a16:creationId xmlns:a16="http://schemas.microsoft.com/office/drawing/2014/main" id="{00000000-0008-0000-0100-00009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2" name="Text Box 15">
          <a:extLst>
            <a:ext uri="{FF2B5EF4-FFF2-40B4-BE49-F238E27FC236}">
              <a16:creationId xmlns:a16="http://schemas.microsoft.com/office/drawing/2014/main" id="{00000000-0008-0000-0100-00009C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3" name="Text Box 15">
          <a:extLst>
            <a:ext uri="{FF2B5EF4-FFF2-40B4-BE49-F238E27FC236}">
              <a16:creationId xmlns:a16="http://schemas.microsoft.com/office/drawing/2014/main" id="{00000000-0008-0000-0100-00009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4" name="Text Box 15">
          <a:extLst>
            <a:ext uri="{FF2B5EF4-FFF2-40B4-BE49-F238E27FC236}">
              <a16:creationId xmlns:a16="http://schemas.microsoft.com/office/drawing/2014/main" id="{00000000-0008-0000-0100-00009E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5" name="Text Box 15">
          <a:extLst>
            <a:ext uri="{FF2B5EF4-FFF2-40B4-BE49-F238E27FC236}">
              <a16:creationId xmlns:a16="http://schemas.microsoft.com/office/drawing/2014/main" id="{00000000-0008-0000-0100-00009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6" name="Text Box 15">
          <a:extLst>
            <a:ext uri="{FF2B5EF4-FFF2-40B4-BE49-F238E27FC236}">
              <a16:creationId xmlns:a16="http://schemas.microsoft.com/office/drawing/2014/main" id="{00000000-0008-0000-0100-0000A0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7" name="Text Box 15">
          <a:extLst>
            <a:ext uri="{FF2B5EF4-FFF2-40B4-BE49-F238E27FC236}">
              <a16:creationId xmlns:a16="http://schemas.microsoft.com/office/drawing/2014/main" id="{00000000-0008-0000-0100-0000A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8" name="Text Box 15">
          <a:extLst>
            <a:ext uri="{FF2B5EF4-FFF2-40B4-BE49-F238E27FC236}">
              <a16:creationId xmlns:a16="http://schemas.microsoft.com/office/drawing/2014/main" id="{00000000-0008-0000-0100-0000A2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9" name="Text Box 15">
          <a:extLst>
            <a:ext uri="{FF2B5EF4-FFF2-40B4-BE49-F238E27FC236}">
              <a16:creationId xmlns:a16="http://schemas.microsoft.com/office/drawing/2014/main" id="{00000000-0008-0000-0100-0000A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40" name="Text Box 15">
          <a:extLst>
            <a:ext uri="{FF2B5EF4-FFF2-40B4-BE49-F238E27FC236}">
              <a16:creationId xmlns:a16="http://schemas.microsoft.com/office/drawing/2014/main" id="{00000000-0008-0000-0100-0000A4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1" name="Text Box 15">
          <a:extLst>
            <a:ext uri="{FF2B5EF4-FFF2-40B4-BE49-F238E27FC236}">
              <a16:creationId xmlns:a16="http://schemas.microsoft.com/office/drawing/2014/main" id="{00000000-0008-0000-0100-0000A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2" name="Text Box 15">
          <a:extLst>
            <a:ext uri="{FF2B5EF4-FFF2-40B4-BE49-F238E27FC236}">
              <a16:creationId xmlns:a16="http://schemas.microsoft.com/office/drawing/2014/main" id="{00000000-0008-0000-0100-0000A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3" name="Text Box 15">
          <a:extLst>
            <a:ext uri="{FF2B5EF4-FFF2-40B4-BE49-F238E27FC236}">
              <a16:creationId xmlns:a16="http://schemas.microsoft.com/office/drawing/2014/main" id="{00000000-0008-0000-0100-0000A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4" name="Text Box 15">
          <a:extLst>
            <a:ext uri="{FF2B5EF4-FFF2-40B4-BE49-F238E27FC236}">
              <a16:creationId xmlns:a16="http://schemas.microsoft.com/office/drawing/2014/main" id="{00000000-0008-0000-0100-0000A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5" name="Text Box 15">
          <a:extLst>
            <a:ext uri="{FF2B5EF4-FFF2-40B4-BE49-F238E27FC236}">
              <a16:creationId xmlns:a16="http://schemas.microsoft.com/office/drawing/2014/main" id="{00000000-0008-0000-0100-0000A9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6" name="Text Box 15">
          <a:extLst>
            <a:ext uri="{FF2B5EF4-FFF2-40B4-BE49-F238E27FC236}">
              <a16:creationId xmlns:a16="http://schemas.microsoft.com/office/drawing/2014/main" id="{00000000-0008-0000-0100-0000A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7" name="Text Box 15">
          <a:extLst>
            <a:ext uri="{FF2B5EF4-FFF2-40B4-BE49-F238E27FC236}">
              <a16:creationId xmlns:a16="http://schemas.microsoft.com/office/drawing/2014/main" id="{00000000-0008-0000-0100-0000AB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48" name="Text Box 15">
          <a:extLst>
            <a:ext uri="{FF2B5EF4-FFF2-40B4-BE49-F238E27FC236}">
              <a16:creationId xmlns:a16="http://schemas.microsoft.com/office/drawing/2014/main" id="{00000000-0008-0000-0100-0000AC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49" name="Text Box 15">
          <a:extLst>
            <a:ext uri="{FF2B5EF4-FFF2-40B4-BE49-F238E27FC236}">
              <a16:creationId xmlns:a16="http://schemas.microsoft.com/office/drawing/2014/main" id="{00000000-0008-0000-0100-0000A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0" name="Text Box 15">
          <a:extLst>
            <a:ext uri="{FF2B5EF4-FFF2-40B4-BE49-F238E27FC236}">
              <a16:creationId xmlns:a16="http://schemas.microsoft.com/office/drawing/2014/main" id="{00000000-0008-0000-0100-0000A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1" name="Text Box 15">
          <a:extLst>
            <a:ext uri="{FF2B5EF4-FFF2-40B4-BE49-F238E27FC236}">
              <a16:creationId xmlns:a16="http://schemas.microsoft.com/office/drawing/2014/main" id="{00000000-0008-0000-0100-0000A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2" name="Text Box 15">
          <a:extLst>
            <a:ext uri="{FF2B5EF4-FFF2-40B4-BE49-F238E27FC236}">
              <a16:creationId xmlns:a16="http://schemas.microsoft.com/office/drawing/2014/main" id="{00000000-0008-0000-0100-0000B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3" name="Text Box 15">
          <a:extLst>
            <a:ext uri="{FF2B5EF4-FFF2-40B4-BE49-F238E27FC236}">
              <a16:creationId xmlns:a16="http://schemas.microsoft.com/office/drawing/2014/main" id="{00000000-0008-0000-0100-0000B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4" name="Text Box 15">
          <a:extLst>
            <a:ext uri="{FF2B5EF4-FFF2-40B4-BE49-F238E27FC236}">
              <a16:creationId xmlns:a16="http://schemas.microsoft.com/office/drawing/2014/main" id="{00000000-0008-0000-0100-0000B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5" name="Text Box 15">
          <a:extLst>
            <a:ext uri="{FF2B5EF4-FFF2-40B4-BE49-F238E27FC236}">
              <a16:creationId xmlns:a16="http://schemas.microsoft.com/office/drawing/2014/main" id="{00000000-0008-0000-0100-0000B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6" name="Text Box 15">
          <a:extLst>
            <a:ext uri="{FF2B5EF4-FFF2-40B4-BE49-F238E27FC236}">
              <a16:creationId xmlns:a16="http://schemas.microsoft.com/office/drawing/2014/main" id="{00000000-0008-0000-0100-0000B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7" name="Text Box 15">
          <a:extLst>
            <a:ext uri="{FF2B5EF4-FFF2-40B4-BE49-F238E27FC236}">
              <a16:creationId xmlns:a16="http://schemas.microsoft.com/office/drawing/2014/main" id="{00000000-0008-0000-0100-0000B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8" name="Text Box 15">
          <a:extLst>
            <a:ext uri="{FF2B5EF4-FFF2-40B4-BE49-F238E27FC236}">
              <a16:creationId xmlns:a16="http://schemas.microsoft.com/office/drawing/2014/main" id="{00000000-0008-0000-0100-0000B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9" name="Text Box 15">
          <a:extLst>
            <a:ext uri="{FF2B5EF4-FFF2-40B4-BE49-F238E27FC236}">
              <a16:creationId xmlns:a16="http://schemas.microsoft.com/office/drawing/2014/main" id="{00000000-0008-0000-0100-0000B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0" name="Text Box 15">
          <a:extLst>
            <a:ext uri="{FF2B5EF4-FFF2-40B4-BE49-F238E27FC236}">
              <a16:creationId xmlns:a16="http://schemas.microsoft.com/office/drawing/2014/main" id="{00000000-0008-0000-0100-0000B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1" name="Text Box 15">
          <a:extLst>
            <a:ext uri="{FF2B5EF4-FFF2-40B4-BE49-F238E27FC236}">
              <a16:creationId xmlns:a16="http://schemas.microsoft.com/office/drawing/2014/main" id="{00000000-0008-0000-0100-0000B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2" name="Text Box 15">
          <a:extLst>
            <a:ext uri="{FF2B5EF4-FFF2-40B4-BE49-F238E27FC236}">
              <a16:creationId xmlns:a16="http://schemas.microsoft.com/office/drawing/2014/main" id="{00000000-0008-0000-0100-0000B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3" name="Text Box 15">
          <a:extLst>
            <a:ext uri="{FF2B5EF4-FFF2-40B4-BE49-F238E27FC236}">
              <a16:creationId xmlns:a16="http://schemas.microsoft.com/office/drawing/2014/main" id="{00000000-0008-0000-0100-0000B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4" name="Text Box 15">
          <a:extLst>
            <a:ext uri="{FF2B5EF4-FFF2-40B4-BE49-F238E27FC236}">
              <a16:creationId xmlns:a16="http://schemas.microsoft.com/office/drawing/2014/main" id="{00000000-0008-0000-0100-0000B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5" name="Text Box 15">
          <a:extLst>
            <a:ext uri="{FF2B5EF4-FFF2-40B4-BE49-F238E27FC236}">
              <a16:creationId xmlns:a16="http://schemas.microsoft.com/office/drawing/2014/main" id="{00000000-0008-0000-0100-0000B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6" name="Text Box 15">
          <a:extLst>
            <a:ext uri="{FF2B5EF4-FFF2-40B4-BE49-F238E27FC236}">
              <a16:creationId xmlns:a16="http://schemas.microsoft.com/office/drawing/2014/main" id="{00000000-0008-0000-0100-0000B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7" name="Text Box 15">
          <a:extLst>
            <a:ext uri="{FF2B5EF4-FFF2-40B4-BE49-F238E27FC236}">
              <a16:creationId xmlns:a16="http://schemas.microsoft.com/office/drawing/2014/main" id="{00000000-0008-0000-0100-0000B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8" name="Text Box 15">
          <a:extLst>
            <a:ext uri="{FF2B5EF4-FFF2-40B4-BE49-F238E27FC236}">
              <a16:creationId xmlns:a16="http://schemas.microsoft.com/office/drawing/2014/main" id="{00000000-0008-0000-0100-0000C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9" name="Text Box 15">
          <a:extLst>
            <a:ext uri="{FF2B5EF4-FFF2-40B4-BE49-F238E27FC236}">
              <a16:creationId xmlns:a16="http://schemas.microsoft.com/office/drawing/2014/main" id="{00000000-0008-0000-0100-0000C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0" name="Text Box 15">
          <a:extLst>
            <a:ext uri="{FF2B5EF4-FFF2-40B4-BE49-F238E27FC236}">
              <a16:creationId xmlns:a16="http://schemas.microsoft.com/office/drawing/2014/main" id="{00000000-0008-0000-0100-0000C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1" name="Text Box 15">
          <a:extLst>
            <a:ext uri="{FF2B5EF4-FFF2-40B4-BE49-F238E27FC236}">
              <a16:creationId xmlns:a16="http://schemas.microsoft.com/office/drawing/2014/main" id="{00000000-0008-0000-0100-0000C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2" name="Text Box 15">
          <a:extLst>
            <a:ext uri="{FF2B5EF4-FFF2-40B4-BE49-F238E27FC236}">
              <a16:creationId xmlns:a16="http://schemas.microsoft.com/office/drawing/2014/main" id="{00000000-0008-0000-0100-0000C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73" name="Text Box 15">
          <a:extLst>
            <a:ext uri="{FF2B5EF4-FFF2-40B4-BE49-F238E27FC236}">
              <a16:creationId xmlns:a16="http://schemas.microsoft.com/office/drawing/2014/main" id="{00000000-0008-0000-0100-0000C5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4" name="Text Box 15">
          <a:extLst>
            <a:ext uri="{FF2B5EF4-FFF2-40B4-BE49-F238E27FC236}">
              <a16:creationId xmlns:a16="http://schemas.microsoft.com/office/drawing/2014/main" id="{00000000-0008-0000-0100-0000C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5" name="Text Box 15">
          <a:extLst>
            <a:ext uri="{FF2B5EF4-FFF2-40B4-BE49-F238E27FC236}">
              <a16:creationId xmlns:a16="http://schemas.microsoft.com/office/drawing/2014/main" id="{00000000-0008-0000-0100-0000C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6" name="Text Box 15">
          <a:extLst>
            <a:ext uri="{FF2B5EF4-FFF2-40B4-BE49-F238E27FC236}">
              <a16:creationId xmlns:a16="http://schemas.microsoft.com/office/drawing/2014/main" id="{00000000-0008-0000-0100-0000C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7" name="Text Box 15">
          <a:extLst>
            <a:ext uri="{FF2B5EF4-FFF2-40B4-BE49-F238E27FC236}">
              <a16:creationId xmlns:a16="http://schemas.microsoft.com/office/drawing/2014/main" id="{00000000-0008-0000-0100-0000C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8" name="Text Box 15">
          <a:extLst>
            <a:ext uri="{FF2B5EF4-FFF2-40B4-BE49-F238E27FC236}">
              <a16:creationId xmlns:a16="http://schemas.microsoft.com/office/drawing/2014/main" id="{00000000-0008-0000-0100-0000C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9" name="Text Box 15">
          <a:extLst>
            <a:ext uri="{FF2B5EF4-FFF2-40B4-BE49-F238E27FC236}">
              <a16:creationId xmlns:a16="http://schemas.microsoft.com/office/drawing/2014/main" id="{00000000-0008-0000-0100-0000C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0" name="Text Box 15">
          <a:extLst>
            <a:ext uri="{FF2B5EF4-FFF2-40B4-BE49-F238E27FC236}">
              <a16:creationId xmlns:a16="http://schemas.microsoft.com/office/drawing/2014/main" id="{00000000-0008-0000-0100-0000C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1" name="Text Box 15">
          <a:extLst>
            <a:ext uri="{FF2B5EF4-FFF2-40B4-BE49-F238E27FC236}">
              <a16:creationId xmlns:a16="http://schemas.microsoft.com/office/drawing/2014/main" id="{00000000-0008-0000-0100-0000C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2" name="Text Box 15">
          <a:extLst>
            <a:ext uri="{FF2B5EF4-FFF2-40B4-BE49-F238E27FC236}">
              <a16:creationId xmlns:a16="http://schemas.microsoft.com/office/drawing/2014/main" id="{00000000-0008-0000-0100-0000C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3" name="Text Box 15">
          <a:extLst>
            <a:ext uri="{FF2B5EF4-FFF2-40B4-BE49-F238E27FC236}">
              <a16:creationId xmlns:a16="http://schemas.microsoft.com/office/drawing/2014/main" id="{00000000-0008-0000-0100-0000C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4" name="Text Box 15">
          <a:extLst>
            <a:ext uri="{FF2B5EF4-FFF2-40B4-BE49-F238E27FC236}">
              <a16:creationId xmlns:a16="http://schemas.microsoft.com/office/drawing/2014/main" id="{00000000-0008-0000-0100-0000D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5" name="Text Box 15">
          <a:extLst>
            <a:ext uri="{FF2B5EF4-FFF2-40B4-BE49-F238E27FC236}">
              <a16:creationId xmlns:a16="http://schemas.microsoft.com/office/drawing/2014/main" id="{00000000-0008-0000-0100-0000D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6" name="Text Box 15">
          <a:extLst>
            <a:ext uri="{FF2B5EF4-FFF2-40B4-BE49-F238E27FC236}">
              <a16:creationId xmlns:a16="http://schemas.microsoft.com/office/drawing/2014/main" id="{00000000-0008-0000-0100-0000D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7" name="Text Box 15">
          <a:extLst>
            <a:ext uri="{FF2B5EF4-FFF2-40B4-BE49-F238E27FC236}">
              <a16:creationId xmlns:a16="http://schemas.microsoft.com/office/drawing/2014/main" id="{00000000-0008-0000-0100-0000D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8" name="Text Box 15">
          <a:extLst>
            <a:ext uri="{FF2B5EF4-FFF2-40B4-BE49-F238E27FC236}">
              <a16:creationId xmlns:a16="http://schemas.microsoft.com/office/drawing/2014/main" id="{00000000-0008-0000-0100-0000D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9" name="Text Box 15">
          <a:extLst>
            <a:ext uri="{FF2B5EF4-FFF2-40B4-BE49-F238E27FC236}">
              <a16:creationId xmlns:a16="http://schemas.microsoft.com/office/drawing/2014/main" id="{00000000-0008-0000-0100-0000D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0" name="Text Box 15">
          <a:extLst>
            <a:ext uri="{FF2B5EF4-FFF2-40B4-BE49-F238E27FC236}">
              <a16:creationId xmlns:a16="http://schemas.microsoft.com/office/drawing/2014/main" id="{00000000-0008-0000-0100-0000D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1" name="Text Box 15">
          <a:extLst>
            <a:ext uri="{FF2B5EF4-FFF2-40B4-BE49-F238E27FC236}">
              <a16:creationId xmlns:a16="http://schemas.microsoft.com/office/drawing/2014/main" id="{00000000-0008-0000-0100-0000D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2" name="Text Box 15">
          <a:extLst>
            <a:ext uri="{FF2B5EF4-FFF2-40B4-BE49-F238E27FC236}">
              <a16:creationId xmlns:a16="http://schemas.microsoft.com/office/drawing/2014/main" id="{00000000-0008-0000-0100-0000D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3" name="Text Box 15">
          <a:extLst>
            <a:ext uri="{FF2B5EF4-FFF2-40B4-BE49-F238E27FC236}">
              <a16:creationId xmlns:a16="http://schemas.microsoft.com/office/drawing/2014/main" id="{00000000-0008-0000-0100-0000D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4" name="Text Box 15">
          <a:extLst>
            <a:ext uri="{FF2B5EF4-FFF2-40B4-BE49-F238E27FC236}">
              <a16:creationId xmlns:a16="http://schemas.microsoft.com/office/drawing/2014/main" id="{00000000-0008-0000-0100-0000D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5" name="Text Box 15">
          <a:extLst>
            <a:ext uri="{FF2B5EF4-FFF2-40B4-BE49-F238E27FC236}">
              <a16:creationId xmlns:a16="http://schemas.microsoft.com/office/drawing/2014/main" id="{00000000-0008-0000-0100-0000D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6" name="Text Box 15">
          <a:extLst>
            <a:ext uri="{FF2B5EF4-FFF2-40B4-BE49-F238E27FC236}">
              <a16:creationId xmlns:a16="http://schemas.microsoft.com/office/drawing/2014/main" id="{00000000-0008-0000-0100-0000D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7" name="Text Box 15">
          <a:extLst>
            <a:ext uri="{FF2B5EF4-FFF2-40B4-BE49-F238E27FC236}">
              <a16:creationId xmlns:a16="http://schemas.microsoft.com/office/drawing/2014/main" id="{00000000-0008-0000-0100-0000D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8" name="Text Box 15">
          <a:extLst>
            <a:ext uri="{FF2B5EF4-FFF2-40B4-BE49-F238E27FC236}">
              <a16:creationId xmlns:a16="http://schemas.microsoft.com/office/drawing/2014/main" id="{00000000-0008-0000-0100-0000D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9" name="Text Box 15">
          <a:extLst>
            <a:ext uri="{FF2B5EF4-FFF2-40B4-BE49-F238E27FC236}">
              <a16:creationId xmlns:a16="http://schemas.microsoft.com/office/drawing/2014/main" id="{00000000-0008-0000-0100-0000D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0" name="Text Box 15">
          <a:extLst>
            <a:ext uri="{FF2B5EF4-FFF2-40B4-BE49-F238E27FC236}">
              <a16:creationId xmlns:a16="http://schemas.microsoft.com/office/drawing/2014/main" id="{00000000-0008-0000-0100-0000E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1" name="Text Box 15">
          <a:extLst>
            <a:ext uri="{FF2B5EF4-FFF2-40B4-BE49-F238E27FC236}">
              <a16:creationId xmlns:a16="http://schemas.microsoft.com/office/drawing/2014/main" id="{00000000-0008-0000-0100-0000E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2" name="Text Box 15">
          <a:extLst>
            <a:ext uri="{FF2B5EF4-FFF2-40B4-BE49-F238E27FC236}">
              <a16:creationId xmlns:a16="http://schemas.microsoft.com/office/drawing/2014/main" id="{00000000-0008-0000-0100-0000E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3" name="Text Box 15">
          <a:extLst>
            <a:ext uri="{FF2B5EF4-FFF2-40B4-BE49-F238E27FC236}">
              <a16:creationId xmlns:a16="http://schemas.microsoft.com/office/drawing/2014/main" id="{00000000-0008-0000-0100-0000E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4" name="Text Box 15">
          <a:extLst>
            <a:ext uri="{FF2B5EF4-FFF2-40B4-BE49-F238E27FC236}">
              <a16:creationId xmlns:a16="http://schemas.microsoft.com/office/drawing/2014/main" id="{00000000-0008-0000-0100-0000E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5" name="Text Box 15">
          <a:extLst>
            <a:ext uri="{FF2B5EF4-FFF2-40B4-BE49-F238E27FC236}">
              <a16:creationId xmlns:a16="http://schemas.microsoft.com/office/drawing/2014/main" id="{00000000-0008-0000-0100-0000E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6" name="Text Box 15">
          <a:extLst>
            <a:ext uri="{FF2B5EF4-FFF2-40B4-BE49-F238E27FC236}">
              <a16:creationId xmlns:a16="http://schemas.microsoft.com/office/drawing/2014/main" id="{00000000-0008-0000-0100-0000E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7" name="Text Box 15">
          <a:extLst>
            <a:ext uri="{FF2B5EF4-FFF2-40B4-BE49-F238E27FC236}">
              <a16:creationId xmlns:a16="http://schemas.microsoft.com/office/drawing/2014/main" id="{00000000-0008-0000-0100-0000E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8" name="Text Box 15">
          <a:extLst>
            <a:ext uri="{FF2B5EF4-FFF2-40B4-BE49-F238E27FC236}">
              <a16:creationId xmlns:a16="http://schemas.microsoft.com/office/drawing/2014/main" id="{00000000-0008-0000-0100-0000E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9" name="Text Box 15">
          <a:extLst>
            <a:ext uri="{FF2B5EF4-FFF2-40B4-BE49-F238E27FC236}">
              <a16:creationId xmlns:a16="http://schemas.microsoft.com/office/drawing/2014/main" id="{00000000-0008-0000-0100-0000E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0" name="Text Box 15">
          <a:extLst>
            <a:ext uri="{FF2B5EF4-FFF2-40B4-BE49-F238E27FC236}">
              <a16:creationId xmlns:a16="http://schemas.microsoft.com/office/drawing/2014/main" id="{00000000-0008-0000-0100-0000E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1" name="Text Box 15">
          <a:extLst>
            <a:ext uri="{FF2B5EF4-FFF2-40B4-BE49-F238E27FC236}">
              <a16:creationId xmlns:a16="http://schemas.microsoft.com/office/drawing/2014/main" id="{00000000-0008-0000-0100-0000E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2" name="Text Box 15">
          <a:extLst>
            <a:ext uri="{FF2B5EF4-FFF2-40B4-BE49-F238E27FC236}">
              <a16:creationId xmlns:a16="http://schemas.microsoft.com/office/drawing/2014/main" id="{00000000-0008-0000-0100-0000E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3" name="Text Box 15">
          <a:extLst>
            <a:ext uri="{FF2B5EF4-FFF2-40B4-BE49-F238E27FC236}">
              <a16:creationId xmlns:a16="http://schemas.microsoft.com/office/drawing/2014/main" id="{00000000-0008-0000-0100-0000E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4" name="Text Box 15">
          <a:extLst>
            <a:ext uri="{FF2B5EF4-FFF2-40B4-BE49-F238E27FC236}">
              <a16:creationId xmlns:a16="http://schemas.microsoft.com/office/drawing/2014/main" id="{00000000-0008-0000-0100-0000E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5" name="Text Box 15">
          <a:extLst>
            <a:ext uri="{FF2B5EF4-FFF2-40B4-BE49-F238E27FC236}">
              <a16:creationId xmlns:a16="http://schemas.microsoft.com/office/drawing/2014/main" id="{00000000-0008-0000-0100-0000E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6" name="Text Box 15">
          <a:extLst>
            <a:ext uri="{FF2B5EF4-FFF2-40B4-BE49-F238E27FC236}">
              <a16:creationId xmlns:a16="http://schemas.microsoft.com/office/drawing/2014/main" id="{00000000-0008-0000-0100-0000F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7" name="Text Box 15">
          <a:extLst>
            <a:ext uri="{FF2B5EF4-FFF2-40B4-BE49-F238E27FC236}">
              <a16:creationId xmlns:a16="http://schemas.microsoft.com/office/drawing/2014/main" id="{00000000-0008-0000-0100-0000F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8" name="Text Box 15">
          <a:extLst>
            <a:ext uri="{FF2B5EF4-FFF2-40B4-BE49-F238E27FC236}">
              <a16:creationId xmlns:a16="http://schemas.microsoft.com/office/drawing/2014/main" id="{00000000-0008-0000-0100-0000F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9" name="Text Box 15">
          <a:extLst>
            <a:ext uri="{FF2B5EF4-FFF2-40B4-BE49-F238E27FC236}">
              <a16:creationId xmlns:a16="http://schemas.microsoft.com/office/drawing/2014/main" id="{00000000-0008-0000-0100-0000F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0" name="Text Box 15">
          <a:extLst>
            <a:ext uri="{FF2B5EF4-FFF2-40B4-BE49-F238E27FC236}">
              <a16:creationId xmlns:a16="http://schemas.microsoft.com/office/drawing/2014/main" id="{00000000-0008-0000-0100-0000F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1" name="Text Box 15">
          <a:extLst>
            <a:ext uri="{FF2B5EF4-FFF2-40B4-BE49-F238E27FC236}">
              <a16:creationId xmlns:a16="http://schemas.microsoft.com/office/drawing/2014/main" id="{00000000-0008-0000-0100-0000F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2" name="Text Box 15">
          <a:extLst>
            <a:ext uri="{FF2B5EF4-FFF2-40B4-BE49-F238E27FC236}">
              <a16:creationId xmlns:a16="http://schemas.microsoft.com/office/drawing/2014/main" id="{00000000-0008-0000-0100-0000F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3" name="Text Box 15">
          <a:extLst>
            <a:ext uri="{FF2B5EF4-FFF2-40B4-BE49-F238E27FC236}">
              <a16:creationId xmlns:a16="http://schemas.microsoft.com/office/drawing/2014/main" id="{00000000-0008-0000-0100-0000F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4" name="Text Box 15">
          <a:extLst>
            <a:ext uri="{FF2B5EF4-FFF2-40B4-BE49-F238E27FC236}">
              <a16:creationId xmlns:a16="http://schemas.microsoft.com/office/drawing/2014/main" id="{00000000-0008-0000-0100-0000F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5" name="Text Box 15">
          <a:extLst>
            <a:ext uri="{FF2B5EF4-FFF2-40B4-BE49-F238E27FC236}">
              <a16:creationId xmlns:a16="http://schemas.microsoft.com/office/drawing/2014/main" id="{00000000-0008-0000-0100-0000F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6" name="Text Box 15">
          <a:extLst>
            <a:ext uri="{FF2B5EF4-FFF2-40B4-BE49-F238E27FC236}">
              <a16:creationId xmlns:a16="http://schemas.microsoft.com/office/drawing/2014/main" id="{00000000-0008-0000-0100-0000F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7" name="Text Box 15">
          <a:extLst>
            <a:ext uri="{FF2B5EF4-FFF2-40B4-BE49-F238E27FC236}">
              <a16:creationId xmlns:a16="http://schemas.microsoft.com/office/drawing/2014/main" id="{00000000-0008-0000-0100-0000F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8" name="Text Box 15">
          <a:extLst>
            <a:ext uri="{FF2B5EF4-FFF2-40B4-BE49-F238E27FC236}">
              <a16:creationId xmlns:a16="http://schemas.microsoft.com/office/drawing/2014/main" id="{00000000-0008-0000-0100-0000F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9" name="Text Box 15">
          <a:extLst>
            <a:ext uri="{FF2B5EF4-FFF2-40B4-BE49-F238E27FC236}">
              <a16:creationId xmlns:a16="http://schemas.microsoft.com/office/drawing/2014/main" id="{00000000-0008-0000-0100-0000F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0" name="Text Box 15">
          <a:extLst>
            <a:ext uri="{FF2B5EF4-FFF2-40B4-BE49-F238E27FC236}">
              <a16:creationId xmlns:a16="http://schemas.microsoft.com/office/drawing/2014/main" id="{00000000-0008-0000-0100-0000F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1" name="Text Box 15">
          <a:extLst>
            <a:ext uri="{FF2B5EF4-FFF2-40B4-BE49-F238E27FC236}">
              <a16:creationId xmlns:a16="http://schemas.microsoft.com/office/drawing/2014/main" id="{00000000-0008-0000-0100-0000F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2" name="Text Box 15">
          <a:extLst>
            <a:ext uri="{FF2B5EF4-FFF2-40B4-BE49-F238E27FC236}">
              <a16:creationId xmlns:a16="http://schemas.microsoft.com/office/drawing/2014/main" id="{00000000-0008-0000-0100-00000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3" name="Text Box 15">
          <a:extLst>
            <a:ext uri="{FF2B5EF4-FFF2-40B4-BE49-F238E27FC236}">
              <a16:creationId xmlns:a16="http://schemas.microsoft.com/office/drawing/2014/main" id="{00000000-0008-0000-0100-00000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4" name="Text Box 15">
          <a:extLst>
            <a:ext uri="{FF2B5EF4-FFF2-40B4-BE49-F238E27FC236}">
              <a16:creationId xmlns:a16="http://schemas.microsoft.com/office/drawing/2014/main" id="{00000000-0008-0000-0100-00000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5" name="Text Box 15">
          <a:extLst>
            <a:ext uri="{FF2B5EF4-FFF2-40B4-BE49-F238E27FC236}">
              <a16:creationId xmlns:a16="http://schemas.microsoft.com/office/drawing/2014/main" id="{00000000-0008-0000-0100-00000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6" name="Text Box 15">
          <a:extLst>
            <a:ext uri="{FF2B5EF4-FFF2-40B4-BE49-F238E27FC236}">
              <a16:creationId xmlns:a16="http://schemas.microsoft.com/office/drawing/2014/main" id="{00000000-0008-0000-0100-00000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7" name="Text Box 15">
          <a:extLst>
            <a:ext uri="{FF2B5EF4-FFF2-40B4-BE49-F238E27FC236}">
              <a16:creationId xmlns:a16="http://schemas.microsoft.com/office/drawing/2014/main" id="{00000000-0008-0000-0100-00000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8" name="Text Box 15">
          <a:extLst>
            <a:ext uri="{FF2B5EF4-FFF2-40B4-BE49-F238E27FC236}">
              <a16:creationId xmlns:a16="http://schemas.microsoft.com/office/drawing/2014/main" id="{00000000-0008-0000-0100-00000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9" name="Text Box 15">
          <a:extLst>
            <a:ext uri="{FF2B5EF4-FFF2-40B4-BE49-F238E27FC236}">
              <a16:creationId xmlns:a16="http://schemas.microsoft.com/office/drawing/2014/main" id="{00000000-0008-0000-0100-00000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0" name="Text Box 15">
          <a:extLst>
            <a:ext uri="{FF2B5EF4-FFF2-40B4-BE49-F238E27FC236}">
              <a16:creationId xmlns:a16="http://schemas.microsoft.com/office/drawing/2014/main" id="{00000000-0008-0000-0100-00000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1" name="Text Box 15">
          <a:extLst>
            <a:ext uri="{FF2B5EF4-FFF2-40B4-BE49-F238E27FC236}">
              <a16:creationId xmlns:a16="http://schemas.microsoft.com/office/drawing/2014/main" id="{00000000-0008-0000-0100-00000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2" name="Text Box 15">
          <a:extLst>
            <a:ext uri="{FF2B5EF4-FFF2-40B4-BE49-F238E27FC236}">
              <a16:creationId xmlns:a16="http://schemas.microsoft.com/office/drawing/2014/main" id="{00000000-0008-0000-0100-00000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3" name="Text Box 15">
          <a:extLst>
            <a:ext uri="{FF2B5EF4-FFF2-40B4-BE49-F238E27FC236}">
              <a16:creationId xmlns:a16="http://schemas.microsoft.com/office/drawing/2014/main" id="{00000000-0008-0000-0100-00000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4" name="Text Box 15">
          <a:extLst>
            <a:ext uri="{FF2B5EF4-FFF2-40B4-BE49-F238E27FC236}">
              <a16:creationId xmlns:a16="http://schemas.microsoft.com/office/drawing/2014/main" id="{00000000-0008-0000-0100-00000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5" name="Text Box 15">
          <a:extLst>
            <a:ext uri="{FF2B5EF4-FFF2-40B4-BE49-F238E27FC236}">
              <a16:creationId xmlns:a16="http://schemas.microsoft.com/office/drawing/2014/main" id="{00000000-0008-0000-0100-00000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46" name="Text Box 15">
          <a:extLst>
            <a:ext uri="{FF2B5EF4-FFF2-40B4-BE49-F238E27FC236}">
              <a16:creationId xmlns:a16="http://schemas.microsoft.com/office/drawing/2014/main" id="{00000000-0008-0000-0100-00000E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7" name="Text Box 15">
          <a:extLst>
            <a:ext uri="{FF2B5EF4-FFF2-40B4-BE49-F238E27FC236}">
              <a16:creationId xmlns:a16="http://schemas.microsoft.com/office/drawing/2014/main" id="{00000000-0008-0000-0100-00000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8" name="Text Box 15">
          <a:extLst>
            <a:ext uri="{FF2B5EF4-FFF2-40B4-BE49-F238E27FC236}">
              <a16:creationId xmlns:a16="http://schemas.microsoft.com/office/drawing/2014/main" id="{00000000-0008-0000-0100-00001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9" name="Text Box 15">
          <a:extLst>
            <a:ext uri="{FF2B5EF4-FFF2-40B4-BE49-F238E27FC236}">
              <a16:creationId xmlns:a16="http://schemas.microsoft.com/office/drawing/2014/main" id="{00000000-0008-0000-0100-00001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0" name="Text Box 15">
          <a:extLst>
            <a:ext uri="{FF2B5EF4-FFF2-40B4-BE49-F238E27FC236}">
              <a16:creationId xmlns:a16="http://schemas.microsoft.com/office/drawing/2014/main" id="{00000000-0008-0000-0100-00001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51" name="Text Box 15">
          <a:extLst>
            <a:ext uri="{FF2B5EF4-FFF2-40B4-BE49-F238E27FC236}">
              <a16:creationId xmlns:a16="http://schemas.microsoft.com/office/drawing/2014/main" id="{00000000-0008-0000-0100-000013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2" name="Text Box 15">
          <a:extLst>
            <a:ext uri="{FF2B5EF4-FFF2-40B4-BE49-F238E27FC236}">
              <a16:creationId xmlns:a16="http://schemas.microsoft.com/office/drawing/2014/main" id="{00000000-0008-0000-0100-00001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3" name="Text Box 15">
          <a:extLst>
            <a:ext uri="{FF2B5EF4-FFF2-40B4-BE49-F238E27FC236}">
              <a16:creationId xmlns:a16="http://schemas.microsoft.com/office/drawing/2014/main" id="{00000000-0008-0000-0100-00001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4" name="Text Box 15">
          <a:extLst>
            <a:ext uri="{FF2B5EF4-FFF2-40B4-BE49-F238E27FC236}">
              <a16:creationId xmlns:a16="http://schemas.microsoft.com/office/drawing/2014/main" id="{00000000-0008-0000-0100-00001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5" name="Text Box 15">
          <a:extLst>
            <a:ext uri="{FF2B5EF4-FFF2-40B4-BE49-F238E27FC236}">
              <a16:creationId xmlns:a16="http://schemas.microsoft.com/office/drawing/2014/main" id="{00000000-0008-0000-0100-000017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6" name="Text Box 15">
          <a:extLst>
            <a:ext uri="{FF2B5EF4-FFF2-40B4-BE49-F238E27FC236}">
              <a16:creationId xmlns:a16="http://schemas.microsoft.com/office/drawing/2014/main" id="{00000000-0008-0000-0100-000018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7" name="Text Box 15">
          <a:extLst>
            <a:ext uri="{FF2B5EF4-FFF2-40B4-BE49-F238E27FC236}">
              <a16:creationId xmlns:a16="http://schemas.microsoft.com/office/drawing/2014/main" id="{00000000-0008-0000-0100-00001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8" name="Text Box 15">
          <a:extLst>
            <a:ext uri="{FF2B5EF4-FFF2-40B4-BE49-F238E27FC236}">
              <a16:creationId xmlns:a16="http://schemas.microsoft.com/office/drawing/2014/main" id="{00000000-0008-0000-0100-00001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9" name="Text Box 15">
          <a:extLst>
            <a:ext uri="{FF2B5EF4-FFF2-40B4-BE49-F238E27FC236}">
              <a16:creationId xmlns:a16="http://schemas.microsoft.com/office/drawing/2014/main" id="{00000000-0008-0000-0100-00001B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0" name="Text Box 15">
          <a:extLst>
            <a:ext uri="{FF2B5EF4-FFF2-40B4-BE49-F238E27FC236}">
              <a16:creationId xmlns:a16="http://schemas.microsoft.com/office/drawing/2014/main" id="{00000000-0008-0000-0100-00001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1" name="Text Box 15">
          <a:extLst>
            <a:ext uri="{FF2B5EF4-FFF2-40B4-BE49-F238E27FC236}">
              <a16:creationId xmlns:a16="http://schemas.microsoft.com/office/drawing/2014/main" id="{00000000-0008-0000-0100-00001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2" name="Text Box 15">
          <a:extLst>
            <a:ext uri="{FF2B5EF4-FFF2-40B4-BE49-F238E27FC236}">
              <a16:creationId xmlns:a16="http://schemas.microsoft.com/office/drawing/2014/main" id="{00000000-0008-0000-0100-00001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3" name="Text Box 15">
          <a:extLst>
            <a:ext uri="{FF2B5EF4-FFF2-40B4-BE49-F238E27FC236}">
              <a16:creationId xmlns:a16="http://schemas.microsoft.com/office/drawing/2014/main" id="{00000000-0008-0000-0100-00001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64" name="Text Box 15">
          <a:extLst>
            <a:ext uri="{FF2B5EF4-FFF2-40B4-BE49-F238E27FC236}">
              <a16:creationId xmlns:a16="http://schemas.microsoft.com/office/drawing/2014/main" id="{00000000-0008-0000-0100-000020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5" name="Text Box 15">
          <a:extLst>
            <a:ext uri="{FF2B5EF4-FFF2-40B4-BE49-F238E27FC236}">
              <a16:creationId xmlns:a16="http://schemas.microsoft.com/office/drawing/2014/main" id="{00000000-0008-0000-0100-00002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6" name="Text Box 15">
          <a:extLst>
            <a:ext uri="{FF2B5EF4-FFF2-40B4-BE49-F238E27FC236}">
              <a16:creationId xmlns:a16="http://schemas.microsoft.com/office/drawing/2014/main" id="{00000000-0008-0000-0100-00002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7" name="Text Box 15">
          <a:extLst>
            <a:ext uri="{FF2B5EF4-FFF2-40B4-BE49-F238E27FC236}">
              <a16:creationId xmlns:a16="http://schemas.microsoft.com/office/drawing/2014/main" id="{00000000-0008-0000-0100-00002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8" name="Text Box 15">
          <a:extLst>
            <a:ext uri="{FF2B5EF4-FFF2-40B4-BE49-F238E27FC236}">
              <a16:creationId xmlns:a16="http://schemas.microsoft.com/office/drawing/2014/main" id="{00000000-0008-0000-0100-00002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69" name="Text Box 15">
          <a:extLst>
            <a:ext uri="{FF2B5EF4-FFF2-40B4-BE49-F238E27FC236}">
              <a16:creationId xmlns:a16="http://schemas.microsoft.com/office/drawing/2014/main" id="{00000000-0008-0000-0100-000025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70" name="Text Box 15">
          <a:extLst>
            <a:ext uri="{FF2B5EF4-FFF2-40B4-BE49-F238E27FC236}">
              <a16:creationId xmlns:a16="http://schemas.microsoft.com/office/drawing/2014/main" id="{00000000-0008-0000-0100-00002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71" name="Text Box 15">
          <a:extLst>
            <a:ext uri="{FF2B5EF4-FFF2-40B4-BE49-F238E27FC236}">
              <a16:creationId xmlns:a16="http://schemas.microsoft.com/office/drawing/2014/main" id="{00000000-0008-0000-0100-00002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72" name="Text Box 15">
          <a:extLst>
            <a:ext uri="{FF2B5EF4-FFF2-40B4-BE49-F238E27FC236}">
              <a16:creationId xmlns:a16="http://schemas.microsoft.com/office/drawing/2014/main" id="{00000000-0008-0000-0100-000028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3" name="Text Box 15">
          <a:extLst>
            <a:ext uri="{FF2B5EF4-FFF2-40B4-BE49-F238E27FC236}">
              <a16:creationId xmlns:a16="http://schemas.microsoft.com/office/drawing/2014/main" id="{00000000-0008-0000-0100-00002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4" name="Text Box 15">
          <a:extLst>
            <a:ext uri="{FF2B5EF4-FFF2-40B4-BE49-F238E27FC236}">
              <a16:creationId xmlns:a16="http://schemas.microsoft.com/office/drawing/2014/main" id="{00000000-0008-0000-0100-00002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5" name="Text Box 15">
          <a:extLst>
            <a:ext uri="{FF2B5EF4-FFF2-40B4-BE49-F238E27FC236}">
              <a16:creationId xmlns:a16="http://schemas.microsoft.com/office/drawing/2014/main" id="{00000000-0008-0000-0100-00002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6" name="Text Box 15">
          <a:extLst>
            <a:ext uri="{FF2B5EF4-FFF2-40B4-BE49-F238E27FC236}">
              <a16:creationId xmlns:a16="http://schemas.microsoft.com/office/drawing/2014/main" id="{00000000-0008-0000-0100-00002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7" name="Text Box 15">
          <a:extLst>
            <a:ext uri="{FF2B5EF4-FFF2-40B4-BE49-F238E27FC236}">
              <a16:creationId xmlns:a16="http://schemas.microsoft.com/office/drawing/2014/main" id="{00000000-0008-0000-0100-00002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8" name="Text Box 15">
          <a:extLst>
            <a:ext uri="{FF2B5EF4-FFF2-40B4-BE49-F238E27FC236}">
              <a16:creationId xmlns:a16="http://schemas.microsoft.com/office/drawing/2014/main" id="{00000000-0008-0000-0100-00002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9" name="Text Box 15">
          <a:extLst>
            <a:ext uri="{FF2B5EF4-FFF2-40B4-BE49-F238E27FC236}">
              <a16:creationId xmlns:a16="http://schemas.microsoft.com/office/drawing/2014/main" id="{00000000-0008-0000-0100-00002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0" name="Text Box 15">
          <a:extLst>
            <a:ext uri="{FF2B5EF4-FFF2-40B4-BE49-F238E27FC236}">
              <a16:creationId xmlns:a16="http://schemas.microsoft.com/office/drawing/2014/main" id="{00000000-0008-0000-0100-00003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1" name="Text Box 15">
          <a:extLst>
            <a:ext uri="{FF2B5EF4-FFF2-40B4-BE49-F238E27FC236}">
              <a16:creationId xmlns:a16="http://schemas.microsoft.com/office/drawing/2014/main" id="{00000000-0008-0000-0100-00003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2" name="Text Box 15">
          <a:extLst>
            <a:ext uri="{FF2B5EF4-FFF2-40B4-BE49-F238E27FC236}">
              <a16:creationId xmlns:a16="http://schemas.microsoft.com/office/drawing/2014/main" id="{00000000-0008-0000-0100-00003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3" name="Text Box 15">
          <a:extLst>
            <a:ext uri="{FF2B5EF4-FFF2-40B4-BE49-F238E27FC236}">
              <a16:creationId xmlns:a16="http://schemas.microsoft.com/office/drawing/2014/main" id="{00000000-0008-0000-0100-00003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4" name="Text Box 15">
          <a:extLst>
            <a:ext uri="{FF2B5EF4-FFF2-40B4-BE49-F238E27FC236}">
              <a16:creationId xmlns:a16="http://schemas.microsoft.com/office/drawing/2014/main" id="{00000000-0008-0000-0100-00003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5" name="Text Box 15">
          <a:extLst>
            <a:ext uri="{FF2B5EF4-FFF2-40B4-BE49-F238E27FC236}">
              <a16:creationId xmlns:a16="http://schemas.microsoft.com/office/drawing/2014/main" id="{00000000-0008-0000-0100-00003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6" name="Text Box 15">
          <a:extLst>
            <a:ext uri="{FF2B5EF4-FFF2-40B4-BE49-F238E27FC236}">
              <a16:creationId xmlns:a16="http://schemas.microsoft.com/office/drawing/2014/main" id="{00000000-0008-0000-0100-00003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7" name="Text Box 15">
          <a:extLst>
            <a:ext uri="{FF2B5EF4-FFF2-40B4-BE49-F238E27FC236}">
              <a16:creationId xmlns:a16="http://schemas.microsoft.com/office/drawing/2014/main" id="{00000000-0008-0000-0100-00003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8" name="Text Box 15">
          <a:extLst>
            <a:ext uri="{FF2B5EF4-FFF2-40B4-BE49-F238E27FC236}">
              <a16:creationId xmlns:a16="http://schemas.microsoft.com/office/drawing/2014/main" id="{00000000-0008-0000-0100-00003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9" name="Text Box 15">
          <a:extLst>
            <a:ext uri="{FF2B5EF4-FFF2-40B4-BE49-F238E27FC236}">
              <a16:creationId xmlns:a16="http://schemas.microsoft.com/office/drawing/2014/main" id="{00000000-0008-0000-0100-00003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0" name="Text Box 15">
          <a:extLst>
            <a:ext uri="{FF2B5EF4-FFF2-40B4-BE49-F238E27FC236}">
              <a16:creationId xmlns:a16="http://schemas.microsoft.com/office/drawing/2014/main" id="{00000000-0008-0000-0100-00003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1" name="Text Box 15">
          <a:extLst>
            <a:ext uri="{FF2B5EF4-FFF2-40B4-BE49-F238E27FC236}">
              <a16:creationId xmlns:a16="http://schemas.microsoft.com/office/drawing/2014/main" id="{00000000-0008-0000-0100-00003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2" name="Text Box 15">
          <a:extLst>
            <a:ext uri="{FF2B5EF4-FFF2-40B4-BE49-F238E27FC236}">
              <a16:creationId xmlns:a16="http://schemas.microsoft.com/office/drawing/2014/main" id="{00000000-0008-0000-0100-00003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3" name="Text Box 15">
          <a:extLst>
            <a:ext uri="{FF2B5EF4-FFF2-40B4-BE49-F238E27FC236}">
              <a16:creationId xmlns:a16="http://schemas.microsoft.com/office/drawing/2014/main" id="{00000000-0008-0000-0100-00003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4" name="Text Box 15">
          <a:extLst>
            <a:ext uri="{FF2B5EF4-FFF2-40B4-BE49-F238E27FC236}">
              <a16:creationId xmlns:a16="http://schemas.microsoft.com/office/drawing/2014/main" id="{00000000-0008-0000-0100-00003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5" name="Text Box 15">
          <a:extLst>
            <a:ext uri="{FF2B5EF4-FFF2-40B4-BE49-F238E27FC236}">
              <a16:creationId xmlns:a16="http://schemas.microsoft.com/office/drawing/2014/main" id="{00000000-0008-0000-0100-00003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6" name="Text Box 15">
          <a:extLst>
            <a:ext uri="{FF2B5EF4-FFF2-40B4-BE49-F238E27FC236}">
              <a16:creationId xmlns:a16="http://schemas.microsoft.com/office/drawing/2014/main" id="{00000000-0008-0000-0100-00004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97" name="Text Box 15">
          <a:extLst>
            <a:ext uri="{FF2B5EF4-FFF2-40B4-BE49-F238E27FC236}">
              <a16:creationId xmlns:a16="http://schemas.microsoft.com/office/drawing/2014/main" id="{00000000-0008-0000-0100-000041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8" name="Text Box 15">
          <a:extLst>
            <a:ext uri="{FF2B5EF4-FFF2-40B4-BE49-F238E27FC236}">
              <a16:creationId xmlns:a16="http://schemas.microsoft.com/office/drawing/2014/main" id="{00000000-0008-0000-0100-00004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9" name="Text Box 15">
          <a:extLst>
            <a:ext uri="{FF2B5EF4-FFF2-40B4-BE49-F238E27FC236}">
              <a16:creationId xmlns:a16="http://schemas.microsoft.com/office/drawing/2014/main" id="{00000000-0008-0000-0100-00004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0" name="Text Box 15">
          <a:extLst>
            <a:ext uri="{FF2B5EF4-FFF2-40B4-BE49-F238E27FC236}">
              <a16:creationId xmlns:a16="http://schemas.microsoft.com/office/drawing/2014/main" id="{00000000-0008-0000-0100-00004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1" name="Text Box 15">
          <a:extLst>
            <a:ext uri="{FF2B5EF4-FFF2-40B4-BE49-F238E27FC236}">
              <a16:creationId xmlns:a16="http://schemas.microsoft.com/office/drawing/2014/main" id="{00000000-0008-0000-0100-00004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2" name="Text Box 15">
          <a:extLst>
            <a:ext uri="{FF2B5EF4-FFF2-40B4-BE49-F238E27FC236}">
              <a16:creationId xmlns:a16="http://schemas.microsoft.com/office/drawing/2014/main" id="{00000000-0008-0000-0100-00004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3" name="Text Box 15">
          <a:extLst>
            <a:ext uri="{FF2B5EF4-FFF2-40B4-BE49-F238E27FC236}">
              <a16:creationId xmlns:a16="http://schemas.microsoft.com/office/drawing/2014/main" id="{00000000-0008-0000-0100-00004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4" name="Text Box 15">
          <a:extLst>
            <a:ext uri="{FF2B5EF4-FFF2-40B4-BE49-F238E27FC236}">
              <a16:creationId xmlns:a16="http://schemas.microsoft.com/office/drawing/2014/main" id="{00000000-0008-0000-0100-00004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5" name="Text Box 15">
          <a:extLst>
            <a:ext uri="{FF2B5EF4-FFF2-40B4-BE49-F238E27FC236}">
              <a16:creationId xmlns:a16="http://schemas.microsoft.com/office/drawing/2014/main" id="{00000000-0008-0000-0100-00004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6" name="Text Box 15">
          <a:extLst>
            <a:ext uri="{FF2B5EF4-FFF2-40B4-BE49-F238E27FC236}">
              <a16:creationId xmlns:a16="http://schemas.microsoft.com/office/drawing/2014/main" id="{00000000-0008-0000-0100-00004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7" name="Text Box 15">
          <a:extLst>
            <a:ext uri="{FF2B5EF4-FFF2-40B4-BE49-F238E27FC236}">
              <a16:creationId xmlns:a16="http://schemas.microsoft.com/office/drawing/2014/main" id="{00000000-0008-0000-0100-00004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8" name="Text Box 15">
          <a:extLst>
            <a:ext uri="{FF2B5EF4-FFF2-40B4-BE49-F238E27FC236}">
              <a16:creationId xmlns:a16="http://schemas.microsoft.com/office/drawing/2014/main" id="{00000000-0008-0000-0100-00004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9" name="Text Box 15">
          <a:extLst>
            <a:ext uri="{FF2B5EF4-FFF2-40B4-BE49-F238E27FC236}">
              <a16:creationId xmlns:a16="http://schemas.microsoft.com/office/drawing/2014/main" id="{00000000-0008-0000-0100-00004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0" name="Text Box 15">
          <a:extLst>
            <a:ext uri="{FF2B5EF4-FFF2-40B4-BE49-F238E27FC236}">
              <a16:creationId xmlns:a16="http://schemas.microsoft.com/office/drawing/2014/main" id="{00000000-0008-0000-0100-00004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1" name="Text Box 15">
          <a:extLst>
            <a:ext uri="{FF2B5EF4-FFF2-40B4-BE49-F238E27FC236}">
              <a16:creationId xmlns:a16="http://schemas.microsoft.com/office/drawing/2014/main" id="{00000000-0008-0000-0100-00004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2" name="Text Box 15">
          <a:extLst>
            <a:ext uri="{FF2B5EF4-FFF2-40B4-BE49-F238E27FC236}">
              <a16:creationId xmlns:a16="http://schemas.microsoft.com/office/drawing/2014/main" id="{00000000-0008-0000-0100-00005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3" name="Text Box 15">
          <a:extLst>
            <a:ext uri="{FF2B5EF4-FFF2-40B4-BE49-F238E27FC236}">
              <a16:creationId xmlns:a16="http://schemas.microsoft.com/office/drawing/2014/main" id="{00000000-0008-0000-0100-00005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4" name="Text Box 15">
          <a:extLst>
            <a:ext uri="{FF2B5EF4-FFF2-40B4-BE49-F238E27FC236}">
              <a16:creationId xmlns:a16="http://schemas.microsoft.com/office/drawing/2014/main" id="{00000000-0008-0000-0100-00005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5" name="Text Box 15">
          <a:extLst>
            <a:ext uri="{FF2B5EF4-FFF2-40B4-BE49-F238E27FC236}">
              <a16:creationId xmlns:a16="http://schemas.microsoft.com/office/drawing/2014/main" id="{00000000-0008-0000-0100-00005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6" name="Text Box 15">
          <a:extLst>
            <a:ext uri="{FF2B5EF4-FFF2-40B4-BE49-F238E27FC236}">
              <a16:creationId xmlns:a16="http://schemas.microsoft.com/office/drawing/2014/main" id="{00000000-0008-0000-0100-00005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7" name="Text Box 15">
          <a:extLst>
            <a:ext uri="{FF2B5EF4-FFF2-40B4-BE49-F238E27FC236}">
              <a16:creationId xmlns:a16="http://schemas.microsoft.com/office/drawing/2014/main" id="{00000000-0008-0000-0100-00005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8" name="Text Box 15">
          <a:extLst>
            <a:ext uri="{FF2B5EF4-FFF2-40B4-BE49-F238E27FC236}">
              <a16:creationId xmlns:a16="http://schemas.microsoft.com/office/drawing/2014/main" id="{00000000-0008-0000-0100-00005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9" name="Text Box 15">
          <a:extLst>
            <a:ext uri="{FF2B5EF4-FFF2-40B4-BE49-F238E27FC236}">
              <a16:creationId xmlns:a16="http://schemas.microsoft.com/office/drawing/2014/main" id="{00000000-0008-0000-0100-00005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0" name="Text Box 15">
          <a:extLst>
            <a:ext uri="{FF2B5EF4-FFF2-40B4-BE49-F238E27FC236}">
              <a16:creationId xmlns:a16="http://schemas.microsoft.com/office/drawing/2014/main" id="{00000000-0008-0000-0100-00005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1" name="Text Box 15">
          <a:extLst>
            <a:ext uri="{FF2B5EF4-FFF2-40B4-BE49-F238E27FC236}">
              <a16:creationId xmlns:a16="http://schemas.microsoft.com/office/drawing/2014/main" id="{00000000-0008-0000-0100-00005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2" name="Text Box 15">
          <a:extLst>
            <a:ext uri="{FF2B5EF4-FFF2-40B4-BE49-F238E27FC236}">
              <a16:creationId xmlns:a16="http://schemas.microsoft.com/office/drawing/2014/main" id="{00000000-0008-0000-0100-00005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3" name="Text Box 15">
          <a:extLst>
            <a:ext uri="{FF2B5EF4-FFF2-40B4-BE49-F238E27FC236}">
              <a16:creationId xmlns:a16="http://schemas.microsoft.com/office/drawing/2014/main" id="{00000000-0008-0000-0100-00005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4" name="Text Box 15">
          <a:extLst>
            <a:ext uri="{FF2B5EF4-FFF2-40B4-BE49-F238E27FC236}">
              <a16:creationId xmlns:a16="http://schemas.microsoft.com/office/drawing/2014/main" id="{00000000-0008-0000-0100-00005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5" name="Text Box 15">
          <a:extLst>
            <a:ext uri="{FF2B5EF4-FFF2-40B4-BE49-F238E27FC236}">
              <a16:creationId xmlns:a16="http://schemas.microsoft.com/office/drawing/2014/main" id="{00000000-0008-0000-0100-00005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6" name="Text Box 15">
          <a:extLst>
            <a:ext uri="{FF2B5EF4-FFF2-40B4-BE49-F238E27FC236}">
              <a16:creationId xmlns:a16="http://schemas.microsoft.com/office/drawing/2014/main" id="{00000000-0008-0000-0100-00005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7" name="Text Box 15">
          <a:extLst>
            <a:ext uri="{FF2B5EF4-FFF2-40B4-BE49-F238E27FC236}">
              <a16:creationId xmlns:a16="http://schemas.microsoft.com/office/drawing/2014/main" id="{00000000-0008-0000-0100-00005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8" name="Text Box 15">
          <a:extLst>
            <a:ext uri="{FF2B5EF4-FFF2-40B4-BE49-F238E27FC236}">
              <a16:creationId xmlns:a16="http://schemas.microsoft.com/office/drawing/2014/main" id="{00000000-0008-0000-0100-00006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9" name="Text Box 15">
          <a:extLst>
            <a:ext uri="{FF2B5EF4-FFF2-40B4-BE49-F238E27FC236}">
              <a16:creationId xmlns:a16="http://schemas.microsoft.com/office/drawing/2014/main" id="{00000000-0008-0000-0100-00006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0" name="Text Box 15">
          <a:extLst>
            <a:ext uri="{FF2B5EF4-FFF2-40B4-BE49-F238E27FC236}">
              <a16:creationId xmlns:a16="http://schemas.microsoft.com/office/drawing/2014/main" id="{00000000-0008-0000-0100-00006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1" name="Text Box 15">
          <a:extLst>
            <a:ext uri="{FF2B5EF4-FFF2-40B4-BE49-F238E27FC236}">
              <a16:creationId xmlns:a16="http://schemas.microsoft.com/office/drawing/2014/main" id="{00000000-0008-0000-0100-00006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2" name="Text Box 15">
          <a:extLst>
            <a:ext uri="{FF2B5EF4-FFF2-40B4-BE49-F238E27FC236}">
              <a16:creationId xmlns:a16="http://schemas.microsoft.com/office/drawing/2014/main" id="{00000000-0008-0000-0100-00006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3" name="Text Box 15">
          <a:extLst>
            <a:ext uri="{FF2B5EF4-FFF2-40B4-BE49-F238E27FC236}">
              <a16:creationId xmlns:a16="http://schemas.microsoft.com/office/drawing/2014/main" id="{00000000-0008-0000-0100-00006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4" name="Text Box 15">
          <a:extLst>
            <a:ext uri="{FF2B5EF4-FFF2-40B4-BE49-F238E27FC236}">
              <a16:creationId xmlns:a16="http://schemas.microsoft.com/office/drawing/2014/main" id="{00000000-0008-0000-0100-00006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5" name="Text Box 15">
          <a:extLst>
            <a:ext uri="{FF2B5EF4-FFF2-40B4-BE49-F238E27FC236}">
              <a16:creationId xmlns:a16="http://schemas.microsoft.com/office/drawing/2014/main" id="{00000000-0008-0000-0100-00006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6" name="Text Box 15">
          <a:extLst>
            <a:ext uri="{FF2B5EF4-FFF2-40B4-BE49-F238E27FC236}">
              <a16:creationId xmlns:a16="http://schemas.microsoft.com/office/drawing/2014/main" id="{00000000-0008-0000-0100-00006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7" name="Text Box 15">
          <a:extLst>
            <a:ext uri="{FF2B5EF4-FFF2-40B4-BE49-F238E27FC236}">
              <a16:creationId xmlns:a16="http://schemas.microsoft.com/office/drawing/2014/main" id="{00000000-0008-0000-0100-00006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8" name="Text Box 15">
          <a:extLst>
            <a:ext uri="{FF2B5EF4-FFF2-40B4-BE49-F238E27FC236}">
              <a16:creationId xmlns:a16="http://schemas.microsoft.com/office/drawing/2014/main" id="{00000000-0008-0000-0100-00006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9" name="Text Box 15">
          <a:extLst>
            <a:ext uri="{FF2B5EF4-FFF2-40B4-BE49-F238E27FC236}">
              <a16:creationId xmlns:a16="http://schemas.microsoft.com/office/drawing/2014/main" id="{00000000-0008-0000-0100-00006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0" name="Text Box 15">
          <a:extLst>
            <a:ext uri="{FF2B5EF4-FFF2-40B4-BE49-F238E27FC236}">
              <a16:creationId xmlns:a16="http://schemas.microsoft.com/office/drawing/2014/main" id="{00000000-0008-0000-0100-00006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1" name="Text Box 15">
          <a:extLst>
            <a:ext uri="{FF2B5EF4-FFF2-40B4-BE49-F238E27FC236}">
              <a16:creationId xmlns:a16="http://schemas.microsoft.com/office/drawing/2014/main" id="{00000000-0008-0000-0100-00006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2" name="Text Box 15">
          <a:extLst>
            <a:ext uri="{FF2B5EF4-FFF2-40B4-BE49-F238E27FC236}">
              <a16:creationId xmlns:a16="http://schemas.microsoft.com/office/drawing/2014/main" id="{00000000-0008-0000-0100-00006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3" name="Text Box 15">
          <a:extLst>
            <a:ext uri="{FF2B5EF4-FFF2-40B4-BE49-F238E27FC236}">
              <a16:creationId xmlns:a16="http://schemas.microsoft.com/office/drawing/2014/main" id="{00000000-0008-0000-0100-00006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4" name="Text Box 15">
          <a:extLst>
            <a:ext uri="{FF2B5EF4-FFF2-40B4-BE49-F238E27FC236}">
              <a16:creationId xmlns:a16="http://schemas.microsoft.com/office/drawing/2014/main" id="{00000000-0008-0000-0100-00007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5" name="Text Box 15">
          <a:extLst>
            <a:ext uri="{FF2B5EF4-FFF2-40B4-BE49-F238E27FC236}">
              <a16:creationId xmlns:a16="http://schemas.microsoft.com/office/drawing/2014/main" id="{00000000-0008-0000-0100-00007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6" name="Text Box 15">
          <a:extLst>
            <a:ext uri="{FF2B5EF4-FFF2-40B4-BE49-F238E27FC236}">
              <a16:creationId xmlns:a16="http://schemas.microsoft.com/office/drawing/2014/main" id="{00000000-0008-0000-0100-00007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7" name="Text Box 15">
          <a:extLst>
            <a:ext uri="{FF2B5EF4-FFF2-40B4-BE49-F238E27FC236}">
              <a16:creationId xmlns:a16="http://schemas.microsoft.com/office/drawing/2014/main" id="{00000000-0008-0000-0100-00007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8" name="Text Box 15">
          <a:extLst>
            <a:ext uri="{FF2B5EF4-FFF2-40B4-BE49-F238E27FC236}">
              <a16:creationId xmlns:a16="http://schemas.microsoft.com/office/drawing/2014/main" id="{00000000-0008-0000-0100-00007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9" name="Text Box 15">
          <a:extLst>
            <a:ext uri="{FF2B5EF4-FFF2-40B4-BE49-F238E27FC236}">
              <a16:creationId xmlns:a16="http://schemas.microsoft.com/office/drawing/2014/main" id="{00000000-0008-0000-0100-00007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0" name="Text Box 15">
          <a:extLst>
            <a:ext uri="{FF2B5EF4-FFF2-40B4-BE49-F238E27FC236}">
              <a16:creationId xmlns:a16="http://schemas.microsoft.com/office/drawing/2014/main" id="{00000000-0008-0000-0100-00007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1" name="Text Box 15">
          <a:extLst>
            <a:ext uri="{FF2B5EF4-FFF2-40B4-BE49-F238E27FC236}">
              <a16:creationId xmlns:a16="http://schemas.microsoft.com/office/drawing/2014/main" id="{00000000-0008-0000-0100-00007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2" name="Text Box 15">
          <a:extLst>
            <a:ext uri="{FF2B5EF4-FFF2-40B4-BE49-F238E27FC236}">
              <a16:creationId xmlns:a16="http://schemas.microsoft.com/office/drawing/2014/main" id="{00000000-0008-0000-0100-00007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3" name="Text Box 15">
          <a:extLst>
            <a:ext uri="{FF2B5EF4-FFF2-40B4-BE49-F238E27FC236}">
              <a16:creationId xmlns:a16="http://schemas.microsoft.com/office/drawing/2014/main" id="{00000000-0008-0000-0100-00007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4" name="Text Box 15">
          <a:extLst>
            <a:ext uri="{FF2B5EF4-FFF2-40B4-BE49-F238E27FC236}">
              <a16:creationId xmlns:a16="http://schemas.microsoft.com/office/drawing/2014/main" id="{00000000-0008-0000-0100-00007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5" name="Text Box 15">
          <a:extLst>
            <a:ext uri="{FF2B5EF4-FFF2-40B4-BE49-F238E27FC236}">
              <a16:creationId xmlns:a16="http://schemas.microsoft.com/office/drawing/2014/main" id="{00000000-0008-0000-0100-00007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6" name="Text Box 15">
          <a:extLst>
            <a:ext uri="{FF2B5EF4-FFF2-40B4-BE49-F238E27FC236}">
              <a16:creationId xmlns:a16="http://schemas.microsoft.com/office/drawing/2014/main" id="{00000000-0008-0000-0100-00007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7" name="Text Box 15">
          <a:extLst>
            <a:ext uri="{FF2B5EF4-FFF2-40B4-BE49-F238E27FC236}">
              <a16:creationId xmlns:a16="http://schemas.microsoft.com/office/drawing/2014/main" id="{00000000-0008-0000-0100-00007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8" name="Text Box 15">
          <a:extLst>
            <a:ext uri="{FF2B5EF4-FFF2-40B4-BE49-F238E27FC236}">
              <a16:creationId xmlns:a16="http://schemas.microsoft.com/office/drawing/2014/main" id="{00000000-0008-0000-0100-00007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9" name="Text Box 15">
          <a:extLst>
            <a:ext uri="{FF2B5EF4-FFF2-40B4-BE49-F238E27FC236}">
              <a16:creationId xmlns:a16="http://schemas.microsoft.com/office/drawing/2014/main" id="{00000000-0008-0000-0100-00007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0" name="Text Box 15">
          <a:extLst>
            <a:ext uri="{FF2B5EF4-FFF2-40B4-BE49-F238E27FC236}">
              <a16:creationId xmlns:a16="http://schemas.microsoft.com/office/drawing/2014/main" id="{00000000-0008-0000-0100-00008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1" name="Text Box 15">
          <a:extLst>
            <a:ext uri="{FF2B5EF4-FFF2-40B4-BE49-F238E27FC236}">
              <a16:creationId xmlns:a16="http://schemas.microsoft.com/office/drawing/2014/main" id="{00000000-0008-0000-0100-00008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2" name="Text Box 15">
          <a:extLst>
            <a:ext uri="{FF2B5EF4-FFF2-40B4-BE49-F238E27FC236}">
              <a16:creationId xmlns:a16="http://schemas.microsoft.com/office/drawing/2014/main" id="{00000000-0008-0000-0100-00008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3" name="Text Box 15">
          <a:extLst>
            <a:ext uri="{FF2B5EF4-FFF2-40B4-BE49-F238E27FC236}">
              <a16:creationId xmlns:a16="http://schemas.microsoft.com/office/drawing/2014/main" id="{00000000-0008-0000-0100-00008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4" name="Text Box 15">
          <a:extLst>
            <a:ext uri="{FF2B5EF4-FFF2-40B4-BE49-F238E27FC236}">
              <a16:creationId xmlns:a16="http://schemas.microsoft.com/office/drawing/2014/main" id="{00000000-0008-0000-0100-00008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5" name="Text Box 15">
          <a:extLst>
            <a:ext uri="{FF2B5EF4-FFF2-40B4-BE49-F238E27FC236}">
              <a16:creationId xmlns:a16="http://schemas.microsoft.com/office/drawing/2014/main" id="{00000000-0008-0000-0100-00008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6" name="Text Box 15">
          <a:extLst>
            <a:ext uri="{FF2B5EF4-FFF2-40B4-BE49-F238E27FC236}">
              <a16:creationId xmlns:a16="http://schemas.microsoft.com/office/drawing/2014/main" id="{00000000-0008-0000-0100-00008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7" name="Text Box 15">
          <a:extLst>
            <a:ext uri="{FF2B5EF4-FFF2-40B4-BE49-F238E27FC236}">
              <a16:creationId xmlns:a16="http://schemas.microsoft.com/office/drawing/2014/main" id="{00000000-0008-0000-0100-00008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8" name="Text Box 15">
          <a:extLst>
            <a:ext uri="{FF2B5EF4-FFF2-40B4-BE49-F238E27FC236}">
              <a16:creationId xmlns:a16="http://schemas.microsoft.com/office/drawing/2014/main" id="{00000000-0008-0000-0100-00008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9" name="Text Box 15">
          <a:extLst>
            <a:ext uri="{FF2B5EF4-FFF2-40B4-BE49-F238E27FC236}">
              <a16:creationId xmlns:a16="http://schemas.microsoft.com/office/drawing/2014/main" id="{00000000-0008-0000-0100-00008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70" name="Text Box 15">
          <a:extLst>
            <a:ext uri="{FF2B5EF4-FFF2-40B4-BE49-F238E27FC236}">
              <a16:creationId xmlns:a16="http://schemas.microsoft.com/office/drawing/2014/main" id="{00000000-0008-0000-0100-00008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1" name="Text Box 15">
          <a:extLst>
            <a:ext uri="{FF2B5EF4-FFF2-40B4-BE49-F238E27FC236}">
              <a16:creationId xmlns:a16="http://schemas.microsoft.com/office/drawing/2014/main" id="{00000000-0008-0000-0100-00008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2" name="Text Box 15">
          <a:extLst>
            <a:ext uri="{FF2B5EF4-FFF2-40B4-BE49-F238E27FC236}">
              <a16:creationId xmlns:a16="http://schemas.microsoft.com/office/drawing/2014/main" id="{00000000-0008-0000-0100-00008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3" name="Text Box 15">
          <a:extLst>
            <a:ext uri="{FF2B5EF4-FFF2-40B4-BE49-F238E27FC236}">
              <a16:creationId xmlns:a16="http://schemas.microsoft.com/office/drawing/2014/main" id="{00000000-0008-0000-0100-00008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4" name="Text Box 15">
          <a:extLst>
            <a:ext uri="{FF2B5EF4-FFF2-40B4-BE49-F238E27FC236}">
              <a16:creationId xmlns:a16="http://schemas.microsoft.com/office/drawing/2014/main" id="{00000000-0008-0000-0100-00008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75" name="Text Box 15">
          <a:extLst>
            <a:ext uri="{FF2B5EF4-FFF2-40B4-BE49-F238E27FC236}">
              <a16:creationId xmlns:a16="http://schemas.microsoft.com/office/drawing/2014/main" id="{00000000-0008-0000-0100-00008F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6" name="Text Box 15">
          <a:extLst>
            <a:ext uri="{FF2B5EF4-FFF2-40B4-BE49-F238E27FC236}">
              <a16:creationId xmlns:a16="http://schemas.microsoft.com/office/drawing/2014/main" id="{00000000-0008-0000-0100-00009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7" name="Text Box 15">
          <a:extLst>
            <a:ext uri="{FF2B5EF4-FFF2-40B4-BE49-F238E27FC236}">
              <a16:creationId xmlns:a16="http://schemas.microsoft.com/office/drawing/2014/main" id="{00000000-0008-0000-0100-00009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8" name="Text Box 15">
          <a:extLst>
            <a:ext uri="{FF2B5EF4-FFF2-40B4-BE49-F238E27FC236}">
              <a16:creationId xmlns:a16="http://schemas.microsoft.com/office/drawing/2014/main" id="{00000000-0008-0000-0100-00009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9" name="Text Box 15">
          <a:extLst>
            <a:ext uri="{FF2B5EF4-FFF2-40B4-BE49-F238E27FC236}">
              <a16:creationId xmlns:a16="http://schemas.microsoft.com/office/drawing/2014/main" id="{00000000-0008-0000-0100-00009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0" name="Text Box 15">
          <a:extLst>
            <a:ext uri="{FF2B5EF4-FFF2-40B4-BE49-F238E27FC236}">
              <a16:creationId xmlns:a16="http://schemas.microsoft.com/office/drawing/2014/main" id="{00000000-0008-0000-0100-000094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1" name="Text Box 15">
          <a:extLst>
            <a:ext uri="{FF2B5EF4-FFF2-40B4-BE49-F238E27FC236}">
              <a16:creationId xmlns:a16="http://schemas.microsoft.com/office/drawing/2014/main" id="{00000000-0008-0000-0100-00009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2" name="Text Box 15">
          <a:extLst>
            <a:ext uri="{FF2B5EF4-FFF2-40B4-BE49-F238E27FC236}">
              <a16:creationId xmlns:a16="http://schemas.microsoft.com/office/drawing/2014/main" id="{00000000-0008-0000-0100-000096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3" name="Text Box 15">
          <a:extLst>
            <a:ext uri="{FF2B5EF4-FFF2-40B4-BE49-F238E27FC236}">
              <a16:creationId xmlns:a16="http://schemas.microsoft.com/office/drawing/2014/main" id="{00000000-0008-0000-0100-00009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4" name="Text Box 15">
          <a:extLst>
            <a:ext uri="{FF2B5EF4-FFF2-40B4-BE49-F238E27FC236}">
              <a16:creationId xmlns:a16="http://schemas.microsoft.com/office/drawing/2014/main" id="{00000000-0008-0000-0100-000098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5" name="Text Box 15">
          <a:extLst>
            <a:ext uri="{FF2B5EF4-FFF2-40B4-BE49-F238E27FC236}">
              <a16:creationId xmlns:a16="http://schemas.microsoft.com/office/drawing/2014/main" id="{00000000-0008-0000-0100-00009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6" name="Text Box 15">
          <a:extLst>
            <a:ext uri="{FF2B5EF4-FFF2-40B4-BE49-F238E27FC236}">
              <a16:creationId xmlns:a16="http://schemas.microsoft.com/office/drawing/2014/main" id="{00000000-0008-0000-0100-00009A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7" name="Text Box 15">
          <a:extLst>
            <a:ext uri="{FF2B5EF4-FFF2-40B4-BE49-F238E27FC236}">
              <a16:creationId xmlns:a16="http://schemas.microsoft.com/office/drawing/2014/main" id="{00000000-0008-0000-0100-00009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88" name="Text Box 15">
          <a:extLst>
            <a:ext uri="{FF2B5EF4-FFF2-40B4-BE49-F238E27FC236}">
              <a16:creationId xmlns:a16="http://schemas.microsoft.com/office/drawing/2014/main" id="{00000000-0008-0000-0100-00009C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9" name="Text Box 15">
          <a:extLst>
            <a:ext uri="{FF2B5EF4-FFF2-40B4-BE49-F238E27FC236}">
              <a16:creationId xmlns:a16="http://schemas.microsoft.com/office/drawing/2014/main" id="{00000000-0008-0000-0100-00009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0" name="Text Box 15">
          <a:extLst>
            <a:ext uri="{FF2B5EF4-FFF2-40B4-BE49-F238E27FC236}">
              <a16:creationId xmlns:a16="http://schemas.microsoft.com/office/drawing/2014/main" id="{00000000-0008-0000-0100-00009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1" name="Text Box 15">
          <a:extLst>
            <a:ext uri="{FF2B5EF4-FFF2-40B4-BE49-F238E27FC236}">
              <a16:creationId xmlns:a16="http://schemas.microsoft.com/office/drawing/2014/main" id="{00000000-0008-0000-0100-00009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2" name="Text Box 15">
          <a:extLst>
            <a:ext uri="{FF2B5EF4-FFF2-40B4-BE49-F238E27FC236}">
              <a16:creationId xmlns:a16="http://schemas.microsoft.com/office/drawing/2014/main" id="{00000000-0008-0000-0100-0000A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3" name="Text Box 15">
          <a:extLst>
            <a:ext uri="{FF2B5EF4-FFF2-40B4-BE49-F238E27FC236}">
              <a16:creationId xmlns:a16="http://schemas.microsoft.com/office/drawing/2014/main" id="{00000000-0008-0000-0100-0000A1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4" name="Text Box 15">
          <a:extLst>
            <a:ext uri="{FF2B5EF4-FFF2-40B4-BE49-F238E27FC236}">
              <a16:creationId xmlns:a16="http://schemas.microsoft.com/office/drawing/2014/main" id="{00000000-0008-0000-0100-0000A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5" name="Text Box 15">
          <a:extLst>
            <a:ext uri="{FF2B5EF4-FFF2-40B4-BE49-F238E27FC236}">
              <a16:creationId xmlns:a16="http://schemas.microsoft.com/office/drawing/2014/main" id="{00000000-0008-0000-0100-0000A3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996" name="Text Box 15">
          <a:extLst>
            <a:ext uri="{FF2B5EF4-FFF2-40B4-BE49-F238E27FC236}">
              <a16:creationId xmlns:a16="http://schemas.microsoft.com/office/drawing/2014/main" id="{00000000-0008-0000-0100-0000A4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7" name="Text Box 15">
          <a:extLst>
            <a:ext uri="{FF2B5EF4-FFF2-40B4-BE49-F238E27FC236}">
              <a16:creationId xmlns:a16="http://schemas.microsoft.com/office/drawing/2014/main" id="{00000000-0008-0000-0100-0000A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8" name="Text Box 15">
          <a:extLst>
            <a:ext uri="{FF2B5EF4-FFF2-40B4-BE49-F238E27FC236}">
              <a16:creationId xmlns:a16="http://schemas.microsoft.com/office/drawing/2014/main" id="{00000000-0008-0000-0100-0000A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9" name="Text Box 15">
          <a:extLst>
            <a:ext uri="{FF2B5EF4-FFF2-40B4-BE49-F238E27FC236}">
              <a16:creationId xmlns:a16="http://schemas.microsoft.com/office/drawing/2014/main" id="{00000000-0008-0000-0100-0000A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0" name="Text Box 15">
          <a:extLst>
            <a:ext uri="{FF2B5EF4-FFF2-40B4-BE49-F238E27FC236}">
              <a16:creationId xmlns:a16="http://schemas.microsoft.com/office/drawing/2014/main" id="{00000000-0008-0000-0100-0000A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1" name="Text Box 15">
          <a:extLst>
            <a:ext uri="{FF2B5EF4-FFF2-40B4-BE49-F238E27FC236}">
              <a16:creationId xmlns:a16="http://schemas.microsoft.com/office/drawing/2014/main" id="{00000000-0008-0000-0100-0000A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2" name="Text Box 15">
          <a:extLst>
            <a:ext uri="{FF2B5EF4-FFF2-40B4-BE49-F238E27FC236}">
              <a16:creationId xmlns:a16="http://schemas.microsoft.com/office/drawing/2014/main" id="{00000000-0008-0000-0100-0000A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3" name="Text Box 15">
          <a:extLst>
            <a:ext uri="{FF2B5EF4-FFF2-40B4-BE49-F238E27FC236}">
              <a16:creationId xmlns:a16="http://schemas.microsoft.com/office/drawing/2014/main" id="{00000000-0008-0000-0100-0000A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4" name="Text Box 15">
          <a:extLst>
            <a:ext uri="{FF2B5EF4-FFF2-40B4-BE49-F238E27FC236}">
              <a16:creationId xmlns:a16="http://schemas.microsoft.com/office/drawing/2014/main" id="{00000000-0008-0000-0100-0000A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5" name="Text Box 15">
          <a:extLst>
            <a:ext uri="{FF2B5EF4-FFF2-40B4-BE49-F238E27FC236}">
              <a16:creationId xmlns:a16="http://schemas.microsoft.com/office/drawing/2014/main" id="{00000000-0008-0000-0100-0000A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6" name="Text Box 15">
          <a:extLst>
            <a:ext uri="{FF2B5EF4-FFF2-40B4-BE49-F238E27FC236}">
              <a16:creationId xmlns:a16="http://schemas.microsoft.com/office/drawing/2014/main" id="{00000000-0008-0000-0100-0000A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7" name="Text Box 15">
          <a:extLst>
            <a:ext uri="{FF2B5EF4-FFF2-40B4-BE49-F238E27FC236}">
              <a16:creationId xmlns:a16="http://schemas.microsoft.com/office/drawing/2014/main" id="{00000000-0008-0000-0100-0000A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8" name="Text Box 15">
          <a:extLst>
            <a:ext uri="{FF2B5EF4-FFF2-40B4-BE49-F238E27FC236}">
              <a16:creationId xmlns:a16="http://schemas.microsoft.com/office/drawing/2014/main" id="{00000000-0008-0000-0100-0000B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9" name="Text Box 15">
          <a:extLst>
            <a:ext uri="{FF2B5EF4-FFF2-40B4-BE49-F238E27FC236}">
              <a16:creationId xmlns:a16="http://schemas.microsoft.com/office/drawing/2014/main" id="{00000000-0008-0000-0100-0000B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0" name="Text Box 15">
          <a:extLst>
            <a:ext uri="{FF2B5EF4-FFF2-40B4-BE49-F238E27FC236}">
              <a16:creationId xmlns:a16="http://schemas.microsoft.com/office/drawing/2014/main" id="{00000000-0008-0000-0100-0000B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1" name="Text Box 15">
          <a:extLst>
            <a:ext uri="{FF2B5EF4-FFF2-40B4-BE49-F238E27FC236}">
              <a16:creationId xmlns:a16="http://schemas.microsoft.com/office/drawing/2014/main" id="{00000000-0008-0000-0100-0000B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2" name="Text Box 15">
          <a:extLst>
            <a:ext uri="{FF2B5EF4-FFF2-40B4-BE49-F238E27FC236}">
              <a16:creationId xmlns:a16="http://schemas.microsoft.com/office/drawing/2014/main" id="{00000000-0008-0000-0100-0000B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3" name="Text Box 15">
          <a:extLst>
            <a:ext uri="{FF2B5EF4-FFF2-40B4-BE49-F238E27FC236}">
              <a16:creationId xmlns:a16="http://schemas.microsoft.com/office/drawing/2014/main" id="{00000000-0008-0000-0100-0000B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4" name="Text Box 15">
          <a:extLst>
            <a:ext uri="{FF2B5EF4-FFF2-40B4-BE49-F238E27FC236}">
              <a16:creationId xmlns:a16="http://schemas.microsoft.com/office/drawing/2014/main" id="{00000000-0008-0000-0100-0000B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5" name="Text Box 15">
          <a:extLst>
            <a:ext uri="{FF2B5EF4-FFF2-40B4-BE49-F238E27FC236}">
              <a16:creationId xmlns:a16="http://schemas.microsoft.com/office/drawing/2014/main" id="{00000000-0008-0000-0100-0000B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6" name="Text Box 15">
          <a:extLst>
            <a:ext uri="{FF2B5EF4-FFF2-40B4-BE49-F238E27FC236}">
              <a16:creationId xmlns:a16="http://schemas.microsoft.com/office/drawing/2014/main" id="{00000000-0008-0000-0100-0000B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7" name="Text Box 15">
          <a:extLst>
            <a:ext uri="{FF2B5EF4-FFF2-40B4-BE49-F238E27FC236}">
              <a16:creationId xmlns:a16="http://schemas.microsoft.com/office/drawing/2014/main" id="{00000000-0008-0000-0100-0000B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8" name="Text Box 15">
          <a:extLst>
            <a:ext uri="{FF2B5EF4-FFF2-40B4-BE49-F238E27FC236}">
              <a16:creationId xmlns:a16="http://schemas.microsoft.com/office/drawing/2014/main" id="{00000000-0008-0000-0100-0000B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9" name="Text Box 15">
          <a:extLst>
            <a:ext uri="{FF2B5EF4-FFF2-40B4-BE49-F238E27FC236}">
              <a16:creationId xmlns:a16="http://schemas.microsoft.com/office/drawing/2014/main" id="{00000000-0008-0000-0100-0000B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20" name="Text Box 15">
          <a:extLst>
            <a:ext uri="{FF2B5EF4-FFF2-40B4-BE49-F238E27FC236}">
              <a16:creationId xmlns:a16="http://schemas.microsoft.com/office/drawing/2014/main" id="{00000000-0008-0000-0100-0000B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5021" name="Text Box 15">
          <a:extLst>
            <a:ext uri="{FF2B5EF4-FFF2-40B4-BE49-F238E27FC236}">
              <a16:creationId xmlns:a16="http://schemas.microsoft.com/office/drawing/2014/main" id="{00000000-0008-0000-0100-0000BD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2" name="Text Box 8">
          <a:extLst>
            <a:ext uri="{FF2B5EF4-FFF2-40B4-BE49-F238E27FC236}">
              <a16:creationId xmlns:a16="http://schemas.microsoft.com/office/drawing/2014/main" id="{00000000-0008-0000-0100-0000B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3" name="Text Box 9">
          <a:extLst>
            <a:ext uri="{FF2B5EF4-FFF2-40B4-BE49-F238E27FC236}">
              <a16:creationId xmlns:a16="http://schemas.microsoft.com/office/drawing/2014/main" id="{00000000-0008-0000-0100-0000B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4" name="Text Box 8">
          <a:extLst>
            <a:ext uri="{FF2B5EF4-FFF2-40B4-BE49-F238E27FC236}">
              <a16:creationId xmlns:a16="http://schemas.microsoft.com/office/drawing/2014/main" id="{00000000-0008-0000-0100-0000C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5" name="Text Box 9">
          <a:extLst>
            <a:ext uri="{FF2B5EF4-FFF2-40B4-BE49-F238E27FC236}">
              <a16:creationId xmlns:a16="http://schemas.microsoft.com/office/drawing/2014/main" id="{00000000-0008-0000-0100-0000C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6" name="Text Box 8">
          <a:extLst>
            <a:ext uri="{FF2B5EF4-FFF2-40B4-BE49-F238E27FC236}">
              <a16:creationId xmlns:a16="http://schemas.microsoft.com/office/drawing/2014/main" id="{00000000-0008-0000-0100-0000C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7" name="Text Box 9">
          <a:extLst>
            <a:ext uri="{FF2B5EF4-FFF2-40B4-BE49-F238E27FC236}">
              <a16:creationId xmlns:a16="http://schemas.microsoft.com/office/drawing/2014/main" id="{00000000-0008-0000-0100-0000C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8" name="Text Box 8">
          <a:extLst>
            <a:ext uri="{FF2B5EF4-FFF2-40B4-BE49-F238E27FC236}">
              <a16:creationId xmlns:a16="http://schemas.microsoft.com/office/drawing/2014/main" id="{00000000-0008-0000-0100-0000C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9" name="Text Box 9">
          <a:extLst>
            <a:ext uri="{FF2B5EF4-FFF2-40B4-BE49-F238E27FC236}">
              <a16:creationId xmlns:a16="http://schemas.microsoft.com/office/drawing/2014/main" id="{00000000-0008-0000-0100-0000C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0" name="Text Box 8">
          <a:extLst>
            <a:ext uri="{FF2B5EF4-FFF2-40B4-BE49-F238E27FC236}">
              <a16:creationId xmlns:a16="http://schemas.microsoft.com/office/drawing/2014/main" id="{00000000-0008-0000-0100-0000C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1" name="Text Box 9">
          <a:extLst>
            <a:ext uri="{FF2B5EF4-FFF2-40B4-BE49-F238E27FC236}">
              <a16:creationId xmlns:a16="http://schemas.microsoft.com/office/drawing/2014/main" id="{00000000-0008-0000-0100-0000C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2" name="Text Box 8">
          <a:extLst>
            <a:ext uri="{FF2B5EF4-FFF2-40B4-BE49-F238E27FC236}">
              <a16:creationId xmlns:a16="http://schemas.microsoft.com/office/drawing/2014/main" id="{00000000-0008-0000-0100-0000C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3" name="Text Box 9">
          <a:extLst>
            <a:ext uri="{FF2B5EF4-FFF2-40B4-BE49-F238E27FC236}">
              <a16:creationId xmlns:a16="http://schemas.microsoft.com/office/drawing/2014/main" id="{00000000-0008-0000-0100-0000C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4" name="Text Box 8">
          <a:extLst>
            <a:ext uri="{FF2B5EF4-FFF2-40B4-BE49-F238E27FC236}">
              <a16:creationId xmlns:a16="http://schemas.microsoft.com/office/drawing/2014/main" id="{00000000-0008-0000-0100-0000C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5" name="Text Box 9">
          <a:extLst>
            <a:ext uri="{FF2B5EF4-FFF2-40B4-BE49-F238E27FC236}">
              <a16:creationId xmlns:a16="http://schemas.microsoft.com/office/drawing/2014/main" id="{00000000-0008-0000-0100-0000C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6" name="Text Box 8">
          <a:extLst>
            <a:ext uri="{FF2B5EF4-FFF2-40B4-BE49-F238E27FC236}">
              <a16:creationId xmlns:a16="http://schemas.microsoft.com/office/drawing/2014/main" id="{00000000-0008-0000-0100-0000C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7" name="Text Box 9">
          <a:extLst>
            <a:ext uri="{FF2B5EF4-FFF2-40B4-BE49-F238E27FC236}">
              <a16:creationId xmlns:a16="http://schemas.microsoft.com/office/drawing/2014/main" id="{00000000-0008-0000-0100-0000C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8" name="Text Box 8">
          <a:extLst>
            <a:ext uri="{FF2B5EF4-FFF2-40B4-BE49-F238E27FC236}">
              <a16:creationId xmlns:a16="http://schemas.microsoft.com/office/drawing/2014/main" id="{00000000-0008-0000-0100-0000C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9" name="Text Box 9">
          <a:extLst>
            <a:ext uri="{FF2B5EF4-FFF2-40B4-BE49-F238E27FC236}">
              <a16:creationId xmlns:a16="http://schemas.microsoft.com/office/drawing/2014/main" id="{00000000-0008-0000-0100-0000C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0" name="Text Box 8">
          <a:extLst>
            <a:ext uri="{FF2B5EF4-FFF2-40B4-BE49-F238E27FC236}">
              <a16:creationId xmlns:a16="http://schemas.microsoft.com/office/drawing/2014/main" id="{00000000-0008-0000-0100-0000D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1" name="Text Box 9">
          <a:extLst>
            <a:ext uri="{FF2B5EF4-FFF2-40B4-BE49-F238E27FC236}">
              <a16:creationId xmlns:a16="http://schemas.microsoft.com/office/drawing/2014/main" id="{00000000-0008-0000-0100-0000D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2" name="Text Box 8">
          <a:extLst>
            <a:ext uri="{FF2B5EF4-FFF2-40B4-BE49-F238E27FC236}">
              <a16:creationId xmlns:a16="http://schemas.microsoft.com/office/drawing/2014/main" id="{00000000-0008-0000-0100-0000D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3" name="Text Box 9">
          <a:extLst>
            <a:ext uri="{FF2B5EF4-FFF2-40B4-BE49-F238E27FC236}">
              <a16:creationId xmlns:a16="http://schemas.microsoft.com/office/drawing/2014/main" id="{00000000-0008-0000-0100-0000D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4" name="Text Box 8">
          <a:extLst>
            <a:ext uri="{FF2B5EF4-FFF2-40B4-BE49-F238E27FC236}">
              <a16:creationId xmlns:a16="http://schemas.microsoft.com/office/drawing/2014/main" id="{00000000-0008-0000-0100-0000D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5" name="Text Box 9">
          <a:extLst>
            <a:ext uri="{FF2B5EF4-FFF2-40B4-BE49-F238E27FC236}">
              <a16:creationId xmlns:a16="http://schemas.microsoft.com/office/drawing/2014/main" id="{00000000-0008-0000-0100-0000D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6" name="Text Box 8">
          <a:extLst>
            <a:ext uri="{FF2B5EF4-FFF2-40B4-BE49-F238E27FC236}">
              <a16:creationId xmlns:a16="http://schemas.microsoft.com/office/drawing/2014/main" id="{00000000-0008-0000-0100-0000D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7" name="Text Box 9">
          <a:extLst>
            <a:ext uri="{FF2B5EF4-FFF2-40B4-BE49-F238E27FC236}">
              <a16:creationId xmlns:a16="http://schemas.microsoft.com/office/drawing/2014/main" id="{00000000-0008-0000-0100-0000D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8" name="Text Box 8">
          <a:extLst>
            <a:ext uri="{FF2B5EF4-FFF2-40B4-BE49-F238E27FC236}">
              <a16:creationId xmlns:a16="http://schemas.microsoft.com/office/drawing/2014/main" id="{00000000-0008-0000-0100-0000D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9" name="Text Box 9">
          <a:extLst>
            <a:ext uri="{FF2B5EF4-FFF2-40B4-BE49-F238E27FC236}">
              <a16:creationId xmlns:a16="http://schemas.microsoft.com/office/drawing/2014/main" id="{00000000-0008-0000-0100-0000D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0" name="Text Box 8">
          <a:extLst>
            <a:ext uri="{FF2B5EF4-FFF2-40B4-BE49-F238E27FC236}">
              <a16:creationId xmlns:a16="http://schemas.microsoft.com/office/drawing/2014/main" id="{00000000-0008-0000-0100-0000D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1" name="Text Box 9">
          <a:extLst>
            <a:ext uri="{FF2B5EF4-FFF2-40B4-BE49-F238E27FC236}">
              <a16:creationId xmlns:a16="http://schemas.microsoft.com/office/drawing/2014/main" id="{00000000-0008-0000-0100-0000D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2" name="Text Box 8">
          <a:extLst>
            <a:ext uri="{FF2B5EF4-FFF2-40B4-BE49-F238E27FC236}">
              <a16:creationId xmlns:a16="http://schemas.microsoft.com/office/drawing/2014/main" id="{00000000-0008-0000-0100-0000D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3" name="Text Box 9">
          <a:extLst>
            <a:ext uri="{FF2B5EF4-FFF2-40B4-BE49-F238E27FC236}">
              <a16:creationId xmlns:a16="http://schemas.microsoft.com/office/drawing/2014/main" id="{00000000-0008-0000-0100-0000D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4" name="Text Box 8">
          <a:extLst>
            <a:ext uri="{FF2B5EF4-FFF2-40B4-BE49-F238E27FC236}">
              <a16:creationId xmlns:a16="http://schemas.microsoft.com/office/drawing/2014/main" id="{00000000-0008-0000-0100-0000D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5" name="Text Box 9">
          <a:extLst>
            <a:ext uri="{FF2B5EF4-FFF2-40B4-BE49-F238E27FC236}">
              <a16:creationId xmlns:a16="http://schemas.microsoft.com/office/drawing/2014/main" id="{00000000-0008-0000-0100-0000D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6" name="Text Box 8">
          <a:extLst>
            <a:ext uri="{FF2B5EF4-FFF2-40B4-BE49-F238E27FC236}">
              <a16:creationId xmlns:a16="http://schemas.microsoft.com/office/drawing/2014/main" id="{00000000-0008-0000-0100-0000E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7" name="Text Box 9">
          <a:extLst>
            <a:ext uri="{FF2B5EF4-FFF2-40B4-BE49-F238E27FC236}">
              <a16:creationId xmlns:a16="http://schemas.microsoft.com/office/drawing/2014/main" id="{00000000-0008-0000-0100-0000E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8" name="Text Box 8">
          <a:extLst>
            <a:ext uri="{FF2B5EF4-FFF2-40B4-BE49-F238E27FC236}">
              <a16:creationId xmlns:a16="http://schemas.microsoft.com/office/drawing/2014/main" id="{00000000-0008-0000-0100-0000E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9" name="Text Box 9">
          <a:extLst>
            <a:ext uri="{FF2B5EF4-FFF2-40B4-BE49-F238E27FC236}">
              <a16:creationId xmlns:a16="http://schemas.microsoft.com/office/drawing/2014/main" id="{00000000-0008-0000-0100-0000E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0" name="Text Box 8">
          <a:extLst>
            <a:ext uri="{FF2B5EF4-FFF2-40B4-BE49-F238E27FC236}">
              <a16:creationId xmlns:a16="http://schemas.microsoft.com/office/drawing/2014/main" id="{00000000-0008-0000-0100-0000E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1" name="Text Box 9">
          <a:extLst>
            <a:ext uri="{FF2B5EF4-FFF2-40B4-BE49-F238E27FC236}">
              <a16:creationId xmlns:a16="http://schemas.microsoft.com/office/drawing/2014/main" id="{00000000-0008-0000-0100-0000E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2" name="Text Box 8">
          <a:extLst>
            <a:ext uri="{FF2B5EF4-FFF2-40B4-BE49-F238E27FC236}">
              <a16:creationId xmlns:a16="http://schemas.microsoft.com/office/drawing/2014/main" id="{00000000-0008-0000-0100-0000E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3" name="Text Box 9">
          <a:extLst>
            <a:ext uri="{FF2B5EF4-FFF2-40B4-BE49-F238E27FC236}">
              <a16:creationId xmlns:a16="http://schemas.microsoft.com/office/drawing/2014/main" id="{00000000-0008-0000-0100-0000E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4" name="Text Box 8">
          <a:extLst>
            <a:ext uri="{FF2B5EF4-FFF2-40B4-BE49-F238E27FC236}">
              <a16:creationId xmlns:a16="http://schemas.microsoft.com/office/drawing/2014/main" id="{00000000-0008-0000-0100-0000E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5" name="Text Box 9">
          <a:extLst>
            <a:ext uri="{FF2B5EF4-FFF2-40B4-BE49-F238E27FC236}">
              <a16:creationId xmlns:a16="http://schemas.microsoft.com/office/drawing/2014/main" id="{00000000-0008-0000-0100-0000E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6" name="Text Box 8">
          <a:extLst>
            <a:ext uri="{FF2B5EF4-FFF2-40B4-BE49-F238E27FC236}">
              <a16:creationId xmlns:a16="http://schemas.microsoft.com/office/drawing/2014/main" id="{00000000-0008-0000-0100-0000E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7" name="Text Box 9">
          <a:extLst>
            <a:ext uri="{FF2B5EF4-FFF2-40B4-BE49-F238E27FC236}">
              <a16:creationId xmlns:a16="http://schemas.microsoft.com/office/drawing/2014/main" id="{00000000-0008-0000-0100-0000E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8" name="Text Box 8">
          <a:extLst>
            <a:ext uri="{FF2B5EF4-FFF2-40B4-BE49-F238E27FC236}">
              <a16:creationId xmlns:a16="http://schemas.microsoft.com/office/drawing/2014/main" id="{00000000-0008-0000-0100-0000E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9" name="Text Box 9">
          <a:extLst>
            <a:ext uri="{FF2B5EF4-FFF2-40B4-BE49-F238E27FC236}">
              <a16:creationId xmlns:a16="http://schemas.microsoft.com/office/drawing/2014/main" id="{00000000-0008-0000-0100-0000E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0" name="Text Box 8">
          <a:extLst>
            <a:ext uri="{FF2B5EF4-FFF2-40B4-BE49-F238E27FC236}">
              <a16:creationId xmlns:a16="http://schemas.microsoft.com/office/drawing/2014/main" id="{00000000-0008-0000-0100-0000E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1" name="Text Box 9">
          <a:extLst>
            <a:ext uri="{FF2B5EF4-FFF2-40B4-BE49-F238E27FC236}">
              <a16:creationId xmlns:a16="http://schemas.microsoft.com/office/drawing/2014/main" id="{00000000-0008-0000-0100-0000E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2" name="Text Box 8">
          <a:extLst>
            <a:ext uri="{FF2B5EF4-FFF2-40B4-BE49-F238E27FC236}">
              <a16:creationId xmlns:a16="http://schemas.microsoft.com/office/drawing/2014/main" id="{00000000-0008-0000-0100-0000F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3" name="Text Box 9">
          <a:extLst>
            <a:ext uri="{FF2B5EF4-FFF2-40B4-BE49-F238E27FC236}">
              <a16:creationId xmlns:a16="http://schemas.microsoft.com/office/drawing/2014/main" id="{00000000-0008-0000-0100-0000F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4" name="Text Box 8">
          <a:extLst>
            <a:ext uri="{FF2B5EF4-FFF2-40B4-BE49-F238E27FC236}">
              <a16:creationId xmlns:a16="http://schemas.microsoft.com/office/drawing/2014/main" id="{00000000-0008-0000-0100-0000F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5" name="Text Box 9">
          <a:extLst>
            <a:ext uri="{FF2B5EF4-FFF2-40B4-BE49-F238E27FC236}">
              <a16:creationId xmlns:a16="http://schemas.microsoft.com/office/drawing/2014/main" id="{00000000-0008-0000-0100-0000F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6" name="Text Box 8">
          <a:extLst>
            <a:ext uri="{FF2B5EF4-FFF2-40B4-BE49-F238E27FC236}">
              <a16:creationId xmlns:a16="http://schemas.microsoft.com/office/drawing/2014/main" id="{00000000-0008-0000-0100-0000F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7" name="Text Box 9">
          <a:extLst>
            <a:ext uri="{FF2B5EF4-FFF2-40B4-BE49-F238E27FC236}">
              <a16:creationId xmlns:a16="http://schemas.microsoft.com/office/drawing/2014/main" id="{00000000-0008-0000-0100-0000F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8" name="Text Box 8">
          <a:extLst>
            <a:ext uri="{FF2B5EF4-FFF2-40B4-BE49-F238E27FC236}">
              <a16:creationId xmlns:a16="http://schemas.microsoft.com/office/drawing/2014/main" id="{00000000-0008-0000-0100-0000F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9" name="Text Box 9">
          <a:extLst>
            <a:ext uri="{FF2B5EF4-FFF2-40B4-BE49-F238E27FC236}">
              <a16:creationId xmlns:a16="http://schemas.microsoft.com/office/drawing/2014/main" id="{00000000-0008-0000-0100-0000F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0" name="Text Box 8">
          <a:extLst>
            <a:ext uri="{FF2B5EF4-FFF2-40B4-BE49-F238E27FC236}">
              <a16:creationId xmlns:a16="http://schemas.microsoft.com/office/drawing/2014/main" id="{00000000-0008-0000-0100-0000F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1" name="Text Box 9">
          <a:extLst>
            <a:ext uri="{FF2B5EF4-FFF2-40B4-BE49-F238E27FC236}">
              <a16:creationId xmlns:a16="http://schemas.microsoft.com/office/drawing/2014/main" id="{00000000-0008-0000-0100-0000F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2" name="Text Box 8">
          <a:extLst>
            <a:ext uri="{FF2B5EF4-FFF2-40B4-BE49-F238E27FC236}">
              <a16:creationId xmlns:a16="http://schemas.microsoft.com/office/drawing/2014/main" id="{00000000-0008-0000-0100-0000F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3" name="Text Box 9">
          <a:extLst>
            <a:ext uri="{FF2B5EF4-FFF2-40B4-BE49-F238E27FC236}">
              <a16:creationId xmlns:a16="http://schemas.microsoft.com/office/drawing/2014/main" id="{00000000-0008-0000-0100-0000F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4" name="Text Box 8">
          <a:extLst>
            <a:ext uri="{FF2B5EF4-FFF2-40B4-BE49-F238E27FC236}">
              <a16:creationId xmlns:a16="http://schemas.microsoft.com/office/drawing/2014/main" id="{00000000-0008-0000-0100-0000F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5" name="Text Box 9">
          <a:extLst>
            <a:ext uri="{FF2B5EF4-FFF2-40B4-BE49-F238E27FC236}">
              <a16:creationId xmlns:a16="http://schemas.microsoft.com/office/drawing/2014/main" id="{00000000-0008-0000-0100-0000F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6" name="Text Box 8">
          <a:extLst>
            <a:ext uri="{FF2B5EF4-FFF2-40B4-BE49-F238E27FC236}">
              <a16:creationId xmlns:a16="http://schemas.microsoft.com/office/drawing/2014/main" id="{00000000-0008-0000-0100-0000F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7" name="Text Box 9">
          <a:extLst>
            <a:ext uri="{FF2B5EF4-FFF2-40B4-BE49-F238E27FC236}">
              <a16:creationId xmlns:a16="http://schemas.microsoft.com/office/drawing/2014/main" id="{00000000-0008-0000-0100-0000F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8" name="Text Box 8">
          <a:extLst>
            <a:ext uri="{FF2B5EF4-FFF2-40B4-BE49-F238E27FC236}">
              <a16:creationId xmlns:a16="http://schemas.microsoft.com/office/drawing/2014/main" id="{00000000-0008-0000-0100-000000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9" name="Text Box 9">
          <a:extLst>
            <a:ext uri="{FF2B5EF4-FFF2-40B4-BE49-F238E27FC236}">
              <a16:creationId xmlns:a16="http://schemas.microsoft.com/office/drawing/2014/main" id="{00000000-0008-0000-0100-000001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0" name="Text Box 8">
          <a:extLst>
            <a:ext uri="{FF2B5EF4-FFF2-40B4-BE49-F238E27FC236}">
              <a16:creationId xmlns:a16="http://schemas.microsoft.com/office/drawing/2014/main" id="{00000000-0008-0000-0100-000002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1" name="Text Box 9">
          <a:extLst>
            <a:ext uri="{FF2B5EF4-FFF2-40B4-BE49-F238E27FC236}">
              <a16:creationId xmlns:a16="http://schemas.microsoft.com/office/drawing/2014/main" id="{00000000-0008-0000-0100-000003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2" name="Text Box 8">
          <a:extLst>
            <a:ext uri="{FF2B5EF4-FFF2-40B4-BE49-F238E27FC236}">
              <a16:creationId xmlns:a16="http://schemas.microsoft.com/office/drawing/2014/main" id="{00000000-0008-0000-0100-000004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3" name="Text Box 9">
          <a:extLst>
            <a:ext uri="{FF2B5EF4-FFF2-40B4-BE49-F238E27FC236}">
              <a16:creationId xmlns:a16="http://schemas.microsoft.com/office/drawing/2014/main" id="{00000000-0008-0000-0100-000005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85725</xdr:rowOff>
    </xdr:from>
    <xdr:to>
      <xdr:col>2</xdr:col>
      <xdr:colOff>276225</xdr:colOff>
      <xdr:row>3</xdr:row>
      <xdr:rowOff>47625</xdr:rowOff>
    </xdr:to>
    <xdr:sp macro="" textlink="">
      <xdr:nvSpPr>
        <xdr:cNvPr id="2" name="WordArt 7">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600075" y="85725"/>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twoCellAnchor editAs="oneCell">
    <xdr:from>
      <xdr:col>17</xdr:col>
      <xdr:colOff>561975</xdr:colOff>
      <xdr:row>0</xdr:row>
      <xdr:rowOff>76200</xdr:rowOff>
    </xdr:from>
    <xdr:to>
      <xdr:col>18</xdr:col>
      <xdr:colOff>523875</xdr:colOff>
      <xdr:row>4</xdr:row>
      <xdr:rowOff>38100</xdr:rowOff>
    </xdr:to>
    <xdr:pic>
      <xdr:nvPicPr>
        <xdr:cNvPr id="3" name="7 Imagen">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7620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77</xdr:row>
      <xdr:rowOff>85725</xdr:rowOff>
    </xdr:from>
    <xdr:to>
      <xdr:col>2</xdr:col>
      <xdr:colOff>276225</xdr:colOff>
      <xdr:row>80</xdr:row>
      <xdr:rowOff>47625</xdr:rowOff>
    </xdr:to>
    <xdr:sp macro="" textlink="">
      <xdr:nvSpPr>
        <xdr:cNvPr id="4" name="WordArt 7">
          <a:extLst>
            <a:ext uri="{FF2B5EF4-FFF2-40B4-BE49-F238E27FC236}">
              <a16:creationId xmlns:a16="http://schemas.microsoft.com/office/drawing/2014/main" id="{00000000-0008-0000-0400-000004000000}"/>
            </a:ext>
          </a:extLst>
        </xdr:cNvPr>
        <xdr:cNvSpPr>
          <a:spLocks noChangeArrowheads="1" noChangeShapeType="1" noTextEdit="1"/>
        </xdr:cNvSpPr>
      </xdr:nvSpPr>
      <xdr:spPr bwMode="auto">
        <a:xfrm>
          <a:off x="600075" y="13982700"/>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oneCellAnchor>
    <xdr:from>
      <xdr:col>17</xdr:col>
      <xdr:colOff>561975</xdr:colOff>
      <xdr:row>77</xdr:row>
      <xdr:rowOff>76200</xdr:rowOff>
    </xdr:from>
    <xdr:ext cx="733425" cy="723900"/>
    <xdr:pic>
      <xdr:nvPicPr>
        <xdr:cNvPr id="5" name="7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13973175"/>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600-000007000000}"/>
            </a:ext>
          </a:extLst>
        </xdr:cNvPr>
        <xdr:cNvSpPr txBox="1">
          <a:spLocks noChangeArrowheads="1"/>
        </xdr:cNvSpPr>
      </xdr:nvSpPr>
      <xdr:spPr bwMode="auto">
        <a:xfrm>
          <a:off x="1933575" y="203339700"/>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314325</xdr:colOff>
      <xdr:row>1003</xdr:row>
      <xdr:rowOff>152400</xdr:rowOff>
    </xdr:from>
    <xdr:to>
      <xdr:col>1</xdr:col>
      <xdr:colOff>2543175</xdr:colOff>
      <xdr:row>1003</xdr:row>
      <xdr:rowOff>152400</xdr:rowOff>
    </xdr:to>
    <xdr:sp macro="" textlink="">
      <xdr:nvSpPr>
        <xdr:cNvPr id="2" name="Line 4">
          <a:extLst>
            <a:ext uri="{FF2B5EF4-FFF2-40B4-BE49-F238E27FC236}">
              <a16:creationId xmlns:a16="http://schemas.microsoft.com/office/drawing/2014/main" id="{00000000-0008-0000-0700-000002000000}"/>
            </a:ext>
          </a:extLst>
        </xdr:cNvPr>
        <xdr:cNvSpPr>
          <a:spLocks noChangeShapeType="1"/>
        </xdr:cNvSpPr>
      </xdr:nvSpPr>
      <xdr:spPr bwMode="auto">
        <a:xfrm>
          <a:off x="314325" y="21054060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1003</xdr:row>
      <xdr:rowOff>152400</xdr:rowOff>
    </xdr:from>
    <xdr:to>
      <xdr:col>5</xdr:col>
      <xdr:colOff>914400</xdr:colOff>
      <xdr:row>1003</xdr:row>
      <xdr:rowOff>152400</xdr:rowOff>
    </xdr:to>
    <xdr:sp macro="" textlink="">
      <xdr:nvSpPr>
        <xdr:cNvPr id="3" name="Line 4">
          <a:extLst>
            <a:ext uri="{FF2B5EF4-FFF2-40B4-BE49-F238E27FC236}">
              <a16:creationId xmlns:a16="http://schemas.microsoft.com/office/drawing/2014/main" id="{00000000-0008-0000-0700-000003000000}"/>
            </a:ext>
          </a:extLst>
        </xdr:cNvPr>
        <xdr:cNvSpPr>
          <a:spLocks noChangeShapeType="1"/>
        </xdr:cNvSpPr>
      </xdr:nvSpPr>
      <xdr:spPr bwMode="auto">
        <a:xfrm>
          <a:off x="4352925" y="210540600"/>
          <a:ext cx="3657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1015</xdr:row>
      <xdr:rowOff>95250</xdr:rowOff>
    </xdr:from>
    <xdr:to>
      <xdr:col>1</xdr:col>
      <xdr:colOff>2619375</xdr:colOff>
      <xdr:row>1015</xdr:row>
      <xdr:rowOff>95250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390525" y="21265515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1015</xdr:row>
      <xdr:rowOff>95250</xdr:rowOff>
    </xdr:from>
    <xdr:to>
      <xdr:col>6</xdr:col>
      <xdr:colOff>0</xdr:colOff>
      <xdr:row>1015</xdr:row>
      <xdr:rowOff>95250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4324350" y="212655150"/>
          <a:ext cx="3790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212481</xdr:colOff>
      <xdr:row>1</xdr:row>
      <xdr:rowOff>132522</xdr:rowOff>
    </xdr:from>
    <xdr:to>
      <xdr:col>1</xdr:col>
      <xdr:colOff>339587</xdr:colOff>
      <xdr:row>5</xdr:row>
      <xdr:rowOff>161262</xdr:rowOff>
    </xdr:to>
    <xdr:pic>
      <xdr:nvPicPr>
        <xdr:cNvPr id="6" name="Imagen 1" descr="cid:image001.png@01D70F7C.0879CB8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12481" y="294447"/>
          <a:ext cx="774806" cy="79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700-000007000000}"/>
            </a:ext>
          </a:extLst>
        </xdr:cNvPr>
        <xdr:cNvSpPr txBox="1">
          <a:spLocks noChangeArrowheads="1"/>
        </xdr:cNvSpPr>
      </xdr:nvSpPr>
      <xdr:spPr bwMode="auto">
        <a:xfrm>
          <a:off x="1933575" y="203615925"/>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1285875</xdr:colOff>
      <xdr:row>149</xdr:row>
      <xdr:rowOff>0</xdr:rowOff>
    </xdr:from>
    <xdr:to>
      <xdr:col>1</xdr:col>
      <xdr:colOff>1381125</xdr:colOff>
      <xdr:row>149</xdr:row>
      <xdr:rowOff>109000</xdr:rowOff>
    </xdr:to>
    <xdr:sp macro="" textlink="">
      <xdr:nvSpPr>
        <xdr:cNvPr id="8" name="Text Box 15"/>
        <xdr:cNvSpPr txBox="1">
          <a:spLocks noChangeArrowheads="1"/>
        </xdr:cNvSpPr>
      </xdr:nvSpPr>
      <xdr:spPr bwMode="auto">
        <a:xfrm>
          <a:off x="1800225" y="270510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149</xdr:row>
      <xdr:rowOff>0</xdr:rowOff>
    </xdr:from>
    <xdr:ext cx="9525" cy="526545"/>
    <xdr:sp macro="" textlink="">
      <xdr:nvSpPr>
        <xdr:cNvPr id="9"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149</xdr:row>
      <xdr:rowOff>0</xdr:rowOff>
    </xdr:from>
    <xdr:ext cx="9525" cy="507495"/>
    <xdr:sp macro="" textlink="">
      <xdr:nvSpPr>
        <xdr:cNvPr id="10"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149</xdr:row>
      <xdr:rowOff>0</xdr:rowOff>
    </xdr:from>
    <xdr:ext cx="9525" cy="507495"/>
    <xdr:sp macro="" textlink="">
      <xdr:nvSpPr>
        <xdr:cNvPr id="11"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149</xdr:row>
      <xdr:rowOff>0</xdr:rowOff>
    </xdr:from>
    <xdr:ext cx="9525" cy="526545"/>
    <xdr:sp macro="" textlink="">
      <xdr:nvSpPr>
        <xdr:cNvPr id="12"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149</xdr:row>
      <xdr:rowOff>0</xdr:rowOff>
    </xdr:from>
    <xdr:ext cx="9525" cy="526545"/>
    <xdr:sp macro="" textlink="">
      <xdr:nvSpPr>
        <xdr:cNvPr id="13"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19275" y="29460825"/>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149</xdr:row>
      <xdr:rowOff>0</xdr:rowOff>
    </xdr:from>
    <xdr:ext cx="9525" cy="507495"/>
    <xdr:sp macro="" textlink="">
      <xdr:nvSpPr>
        <xdr:cNvPr id="14"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19275" y="29460825"/>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1285875</xdr:colOff>
      <xdr:row>149</xdr:row>
      <xdr:rowOff>0</xdr:rowOff>
    </xdr:from>
    <xdr:to>
      <xdr:col>1</xdr:col>
      <xdr:colOff>1381125</xdr:colOff>
      <xdr:row>149</xdr:row>
      <xdr:rowOff>109000</xdr:rowOff>
    </xdr:to>
    <xdr:sp macro="" textlink="">
      <xdr:nvSpPr>
        <xdr:cNvPr id="15" name="Text Box 15"/>
        <xdr:cNvSpPr txBox="1">
          <a:spLocks noChangeArrowheads="1"/>
        </xdr:cNvSpPr>
      </xdr:nvSpPr>
      <xdr:spPr bwMode="auto">
        <a:xfrm>
          <a:off x="1800225" y="2911792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149</xdr:row>
      <xdr:rowOff>0</xdr:rowOff>
    </xdr:from>
    <xdr:to>
      <xdr:col>1</xdr:col>
      <xdr:colOff>1314450</xdr:colOff>
      <xdr:row>150</xdr:row>
      <xdr:rowOff>371683</xdr:rowOff>
    </xdr:to>
    <xdr:sp macro="" textlink="">
      <xdr:nvSpPr>
        <xdr:cNvPr id="16"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19275" y="315087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149</xdr:row>
      <xdr:rowOff>0</xdr:rowOff>
    </xdr:from>
    <xdr:to>
      <xdr:col>1</xdr:col>
      <xdr:colOff>1314450</xdr:colOff>
      <xdr:row>150</xdr:row>
      <xdr:rowOff>371683</xdr:rowOff>
    </xdr:to>
    <xdr:sp macro="" textlink="">
      <xdr:nvSpPr>
        <xdr:cNvPr id="17"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19275" y="315087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149</xdr:row>
      <xdr:rowOff>0</xdr:rowOff>
    </xdr:from>
    <xdr:to>
      <xdr:col>1</xdr:col>
      <xdr:colOff>1314450</xdr:colOff>
      <xdr:row>150</xdr:row>
      <xdr:rowOff>352633</xdr:rowOff>
    </xdr:to>
    <xdr:sp macro="" textlink="">
      <xdr:nvSpPr>
        <xdr:cNvPr id="18"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19275" y="31508700"/>
          <a:ext cx="9525" cy="51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149</xdr:row>
      <xdr:rowOff>0</xdr:rowOff>
    </xdr:from>
    <xdr:to>
      <xdr:col>1</xdr:col>
      <xdr:colOff>1381125</xdr:colOff>
      <xdr:row>149</xdr:row>
      <xdr:rowOff>109000</xdr:rowOff>
    </xdr:to>
    <xdr:sp macro="" textlink="">
      <xdr:nvSpPr>
        <xdr:cNvPr id="19" name="Text Box 15"/>
        <xdr:cNvSpPr txBox="1">
          <a:spLocks noChangeArrowheads="1"/>
        </xdr:cNvSpPr>
      </xdr:nvSpPr>
      <xdr:spPr bwMode="auto">
        <a:xfrm>
          <a:off x="1800225" y="3184207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1400175</xdr:colOff>
      <xdr:row>25</xdr:row>
      <xdr:rowOff>0</xdr:rowOff>
    </xdr:from>
    <xdr:ext cx="95250" cy="295275"/>
    <xdr:sp macro="" textlink="">
      <xdr:nvSpPr>
        <xdr:cNvPr id="20" name="Text Box 15">
          <a:extLst>
            <a:ext uri="{FF2B5EF4-FFF2-40B4-BE49-F238E27FC236}">
              <a16:creationId xmlns:a16="http://schemas.microsoft.com/office/drawing/2014/main" id="{00000000-0008-0000-0100-0000B4050000}"/>
            </a:ext>
          </a:extLst>
        </xdr:cNvPr>
        <xdr:cNvSpPr txBox="1">
          <a:spLocks noChangeArrowheads="1"/>
        </xdr:cNvSpPr>
      </xdr:nvSpPr>
      <xdr:spPr bwMode="auto">
        <a:xfrm>
          <a:off x="1857375" y="4581525"/>
          <a:ext cx="952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proyecto01\FORTUNA%2520(E)\backup\DATOS\Zona4-B\Monte%2520Plata\Ac.%2520Las%2520Guazumas%2520Parte%2520A-ING.%2520INOCENCIO%2520GUZMAN%2520PEREZ\CUB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nald\My%20Documents\Documentos%20Compartidos%20(Donald-Geovanny)\Presupuestos%20TRANSPARENTADOS\Omar%20CD%20System\Presupuesto%20Nave%20Omar%20CD%20VER.%20TECH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XCALIBUR\Presupuesto\An&#225;lisis%201,%202,%203\Copia%20de%20Anali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lvita\c\Documents%20and%20Settings\dell2\Escritorio\Mis%20documentos\presupuestos%202006\85-06%20Reh.%20y%20Ampl.%20Ac.%20Imbert%20(2da.%20alternativa)SIN%20PRO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stos3\C\Documents%20and%20Settings\costos\Mis%20documentos\claudia\Garibaldy%20Bautista%20(Costos)\analisis%20el%20pino%20junumuc&#250;%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IAN\C\BASE%2520DATOS%2520PARA%2520ANALISIS\BASE%2520DATOS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RIAN\C\BASE%20DATOS%20PARA%20ANALISIS\BASE%20DATO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lastbau-ii\C\WINDOWS\DESKTOP\windows\TEMP\Paraiso%20Tropi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Ing.%20Tony%20Hernandez\Escritorio\Comedor%20Juegos%20Regionales%20Bayagu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Plastbau%20Hispaniola\Analisis%20P2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s-fs-05\docs_compartidos$\Users\miguel.taveras\OneDrive%20-%20INAPA\Documentos\Proyectos\Presupuestos\2021\ZONA%20II\Azua\2021-03%20Villarpando\Planta%20Potabilizadora%20Villarpando%20V-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xcalibur\presupuesto\Users\yanel\Documents\PERSONALTRABAJOS\YANEL%200IS0E\YANEL%20FERNANDEZ\ITECO\edf.%20administrativo\PRESUPUESTO%20edificio%20administrativo%20ITEC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analisis/LOMA%20DE%20CABRERA/PROYECTO/IMBERT_PEAD_21ab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analisis%20seopc\Copia%20de%20Analisis%20PARA%20PRESUPUESTO%20OBRAS%20PUBLICA%20df%20enero%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2.158\pc%20elvita\Documents%20and%20Settings\Costos_01\Desktop\LOMA%20CABRRERA\MOD.%20223-09%20TRABAJOS%20faltantes%20AC.%20LOMA%20DE%20CABRE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Caba&#241;as%20Turisticas%20en%20San%20Isidro\Caba4asTuristicas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Garibaldy%20Bautista%20(actualizaciones)\analisis%20el%20pino%20junumuc&#2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2%20al%2098-05%20terminacion%20ac.%20la%20cueva%20de%20cevicos%202da.%20etapa%20ac.%20mult.%20guanabano-%20cruce%20de%20maguaca%20parte%20b%20y%20guanabano%20como%20ext.%20al%20ac.%20la%20cueva%20de%20cevico%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PADRE_LAS_CASAS\ANALISIS_TO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njamin\benja2\Mis%20documentos\Analisis%20Karina\Documentos%20Varios\Caseta%20modelo%20(prefabrica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E846D7E\analisis%20el%20pino%20junumuc&#2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tos01\Mis%20Documentos%20(Costos)\ADDENDAS%20ABRIL%202004\143-04%20%20ADDENDA%20NO.%201%20AC.%20%20EL%20LI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CALIBUR\Presupuesto\presupuesto%20donald%202007\DONALD%20PC%20VOL%202\Archivo%20Horacio\Proyectos%20Ingenieria%20Metalica\Concurso%20Mao\Presupuestos\Presupuesto%20gener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Edificio%20del%20Catastro\windows\TEMP\ETURSA%20BEACH%20RESORT\PRESUPUESTOS%20ETURS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CUBICACION-NUEVA-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CUBICACION-NUEVA-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xcalibur\Presupuesto\PROYECTO%20PIEDRA%20BLANCA\JOEL\APC\InaconsaACT\Volumenes%20del%20Presupuesto\bPrimer%20Nivel\CIAceros%201e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xcalibur\Presupuesto\Documents%20and%20Settings\JOEL\APC\InaconsaACT\Soportes%20Analisis,Presupuestos,Controles\BPreliminar\Soportes%20Grales.Controles%20de%20Obr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xcalibur\Presupuesto\Documents%20and%20Settings\Ray\Escritorio\Presupuesto%20Habitacional%20Piedra%20Blanca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Garibaldy%20Bautista%20(actualizaciones)/analisis%20el%20pino%20junumuc&#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backup%20costos%2003/RECLAMACIONES%202005/ZONA%20II/Documents%20and%20Settings/CLAUDIA/Mis%20documentos/TRABAJO%20CLAUDIA/Garibaldy%20Bautista%20(actualizaciones)/analisis%20el%20pino%20junumuc&#25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CBRIAN\D\My%20Documents\Documentos%20En%20Uso\Resort%20Bahia%20Estela%20Caribe\My%20Documents\Brian's%20Documents\RESIDENCIAL%20APARTAMENTOS\ROMANA%20DEL%20OESTE\Plaza%20Columbus\WINPROJ\Cespedes\Fiesta\Fiesta%20Area%20de%20Espectacul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ENJAMIN\Benja\My%20Documents\Data%20Banana%20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gmet-pre-01\mis%20documentos\Documents%20and%20Settings\GLEINIER\Escritorio\Documentos%20Compartidos%20(Donald-Geovanny)\Presupuestos%20TRANSPARENTADOS\Omar%20CD%20System\Presupuesto%20Nave%20Omar%20CD%20VER.%20TECH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BACKUP%20JULIO\wandel\escritorio%201\PRESUPUESTOS\Peravia\Salinas\PRESUPUESTO%20viviend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COTIZ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ps-fs-05\docs_compartidos$\Users\miguel.taveras\Desktop\PROYECTO%2520PUCMM\BASE%2520DATOS%2520PARA%2520ANALISIS\BASE%2520DATOS2.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PROYECTO%20PUCMM/BASE%20DATOS%20PARA%20ANALISIS/BASE%20DATOS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ocuments%20and%20Settings\Benjamin.DOMAIN\My%20Documents\Documentos%20en%20Benjamin\BenMis%20Documento\Prefabricados%20Arquitectonicos\Cotizaciones%20Prefabricados\HERMIDA%20&amp;%20ASOCIADOS\Actualizacion%20cot.%20embajada\Divis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b-02\D\Documents%2520and%2520Settings\FRED\Mis%2520documentos\ARCHIVOS%2520PERSONALES\FRED\FRANCISCO\PRESUPUESTO%2520MELLIZAS_2_NIVELES_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b-02\D\Documents%20and%20Settings\FRED\Mis%20documentos\ARCHIVOS%20PERSONALES\FRED\FRANCISCO\PRESUPUESTO%20MELLIZAS_2_NIVELES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0II%20area%20noble%20Benjamin%20corregi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ic\presupuesto\CARPETAS%20DEPTO.%20PRESUPUESTOS\FERNANDEZ\ANALISIS\Copia%20de%20UCLAS-COME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dministrador\Escritorio\metodologia%20Presupuestos\Analisis%20de%20Edificacion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HERMIDA%20&amp;%20ASOCIADOS\Actualizacion%20cot.%20embajada\Divis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2A946DD\Copia%20de%20Analisis%20PARA%20PRESUPUESTO%20OBRAS%20PUBLICA%20df%20enero%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s-fs-05\docs_compartidos$\Users\ramona.montas\AppData\Local\Microsoft\Windows\Temporary%20Internet%20Files\Content.Outlook\2H869UQ5\FORMATO%20INAPA\BARRIO+MARIA+TRINIDAD+SANCHEZ%20(2)-INAPA.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fic\presupuesto\Documents%20and%20Settings\yfernandez\Mis%20documentos\poyectos\PRESUPUESTO%20RESIDENCIA%20ORQUIDEA%20TIPO%20A%20definitivo%20AGOSTO2006(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7B7048AA\PROYECTO%20AQN-WC"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G.A.1(07junio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analisis%20seopc/Copia%20de%20Analisis%20PARA%20PRESUPUESTO%20OBRAS%20PUBLICA%20df%20enero%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fic\presupuesto\Documents%20and%20Settings\Giovanna\Local%20Settings\Temporary%20Internet%20Files\OLK6D\Presupuesto%20Adicional%20No.6%20%20Liceo%20Pedro%20Henrriquez%20Ure&#241;a%20San%20Juan%20de%20la%20Maguana%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g-6068a73cbf6\Mis%20documentos\Documents%20and%20Settings\GLEINIER\Escritorio\Documentos%20Compartidos%20(Donald-Geovanny)\Presupuestos%20TRANSPARENTADOS\Omar%20CD%20System\Presupuesto%20Nave%20Omar%20CD%20VER.%20TECH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leinier\e\Documents%20and%20Settings\Ing.%20Tony%20Hernandez\Escritorio\Comedor%20Juegos%20Regionales%20Bayagua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ec-costos-14\pc%20elvita\Documents%20and%20Settings\GERMAN%20NOVA\My%20Documents\Intec\MAESTRIA\Costos\Proyecto%20Final%20(SC)\Documents%20and%20Settings\Lurdes\Desktop\Samuel\Propuesta-Auditoria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0C0845F\analisis%20el%20pino%20junumuc&#25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b-02\D\MIS%20DOCUMENTOS\PROYECTOS%20COBAUSA\SAN_FRANCISCO\SAN%20FCO_2007\PRESUPUESTO_REMITIDO_04Oct07_.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IMBERT_PEAD_21abr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LICITACION%20VILLAS%20TIPO%20PRESIDENCIAL%20BISONO\Villa%20%20Presidencial4,5,6%20BISONO-ultimo%20DEFINITIV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rian\c\Mis%20Documentos\Mis%20archivos%20recibidos\VillaVinicioCastillo(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BRIAN\D\My%20Documents\Documentos%20En%20Uso\Escuelas%20Publicas\Escuelas%20Armenteros%20Tony%20Hernandez\LOLIN%20NAVE%20PTA%20CAN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vestigador\amell%20(d)\DONALD%20EXELL\D'%20DONALD\D'%20RaSol\presupuesto\presupuesto\Pres.%20Cubierta%20Alt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onica\New%20Folder\PRESUPUESTO%20PM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1%20al%2098-05%20terminacion%20ac.%20la%20cueva%20de%20cevicos%202da.%20etapa%20ac.%20mult.%20guanabano-%20cruce%20de%20maguaca%20parte%20b%20y%20guanabano%20como%20ext.%20al%20ac.%20la%20cueva%20de%20cevico%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Presupuesto%20Colina%20ben\ACACIA%20be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TRABAJOS\Transfer\Costos\Proyectos\Galerias\presu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TRABAJOS\Transfer\Costos\Proyectos\Galerias\presu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stos3\C\Documents%20and%20Settings\CLAUDIA\Mis%20documentos\TRABAJO%20CLAUDIA\analisis%20seopc\Copia%20de%20Analisis%20PARA%20PRESUPUESTO%20OBRAS%20PUBLICA%20df%20enero%20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ec-costos-05\servidor%2520de%2520red%2520de%2520costos%2520(ervita)\MIS%2520DOCUMENTOS\PROYECTO%2520TERMINACION%2520SOFTBALL%2520COJPD\PRESUPUESTO%2520MODIFICADO\PRESUPUESTO_FEDOSA_14NOV20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ec-costos-05\servidor%20de%20red%20de%20costos%20(ervita)\MIS%20DOCUMENTOS\PROYECTO%20TERMINACION%20SOFTBALL%20COJPD\PRESUPUESTO%20MODIFICADO\PRESUPUESTO_FEDOSA_14NOV2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lastbau-ii\C\WINDOWS\DESKTOP\Hotel%20Laur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ebmail.codetel.net.do/Documents%20and%20Settings/Administrator/My%20Documents/PROYECTOS/LICITACION%20011-2006/PROPUESTA/2005%2012%20Dic%20Text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BPB2Last\Cubicaciones\Cubicacion%20No.%203\Cubicacion%20Villa%20BPB%2024%20Hab2%20Vill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johanny.mercedes/Downloads/SIMO19%20(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stos3\C\Documents%2520and%2520Settings\CLAUDIA\Mis%2520documentos\TRABAJO%2520CLAUDIA\analisis%2520seopc\Copia%2520de%2520Analisis%2520PARA%2520PRESUPUESTO%2520OBRAS%2520PUBLICA%2520df%2520enero%25202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My%20Documents\PRESUPUbahia%20principe%20modificado2xl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s-fs-05\docs_compartidos$\Acero%20Estrella\Cotizacion\2010\Proyectos%20Tipo%20A\REMODELACION%20AILA%202010\Licitaci&#243;n%20AILA%20(Remodelaci&#243;n%20terminal%20-%20MAyo%202010)%20(20-agosto-2010)%2022%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CUB02"/>
      <sheetName val="Módulo1"/>
    </sheetNames>
    <sheetDataSet>
      <sheetData sheetId="0"/>
      <sheetData sheetId="1">
        <row r="1">
          <cell r="U1" t="str">
            <v>/OFHYQQ~</v>
          </cell>
          <cell r="W1" t="str">
            <v>/OFHYQQ~</v>
          </cell>
        </row>
        <row r="2">
          <cell r="U2" t="str">
            <v>/PBA15..N96~</v>
          </cell>
          <cell r="W2" t="str">
            <v>/PBA15..N96~</v>
          </cell>
        </row>
        <row r="3">
          <cell r="U3" t="str">
            <v>HTA1..N14~</v>
          </cell>
          <cell r="W3" t="str">
            <v>HTA1..N14~</v>
          </cell>
        </row>
        <row r="4">
          <cell r="U4" t="str">
            <v>LH{ESC}FECHA DE IMP.@|PAG. -#-~Q</v>
          </cell>
          <cell r="W4" t="str">
            <v>LH{ESC}FECHA DE IMP.@|PAG. -#-~Q</v>
          </cell>
        </row>
        <row r="5">
          <cell r="U5" t="str">
            <v>AA</v>
          </cell>
          <cell r="W5" t="str">
            <v>AA</v>
          </cell>
        </row>
        <row r="6">
          <cell r="S6" t="str">
            <v>{goto}G15~</v>
          </cell>
          <cell r="U6" t="str">
            <v>C2~</v>
          </cell>
          <cell r="W6" t="str">
            <v>C1~</v>
          </cell>
        </row>
        <row r="7">
          <cell r="U7" t="str">
            <v>S</v>
          </cell>
          <cell r="W7" t="str">
            <v>S</v>
          </cell>
        </row>
        <row r="8">
          <cell r="U8" t="str">
            <v>Q</v>
          </cell>
          <cell r="W8" t="str">
            <v>Q</v>
          </cell>
        </row>
        <row r="11">
          <cell r="U11" t="str">
            <v>/PBA98..N132~</v>
          </cell>
          <cell r="W11" t="str">
            <v>/PBA98..N132~</v>
          </cell>
        </row>
        <row r="12">
          <cell r="U12" t="str">
            <v>HTA1..M11~</v>
          </cell>
          <cell r="W12" t="str">
            <v>HTA1..M11~</v>
          </cell>
        </row>
        <row r="13">
          <cell r="U13" t="str">
            <v>LH{ESC}FECHA DE IMP.@|PAG. -5-~Q</v>
          </cell>
          <cell r="W13" t="str">
            <v>LH{ESC}FECHA DE IMP.@|PAG. -5-~Q</v>
          </cell>
        </row>
        <row r="14">
          <cell r="U14" t="str">
            <v>AA</v>
          </cell>
          <cell r="W14" t="str">
            <v>AF</v>
          </cell>
        </row>
        <row r="15">
          <cell r="U15" t="str">
            <v>C2~</v>
          </cell>
          <cell r="W15" t="str">
            <v>AA</v>
          </cell>
        </row>
        <row r="16">
          <cell r="U16" t="str">
            <v>S</v>
          </cell>
          <cell r="W16" t="str">
            <v>C1~</v>
          </cell>
        </row>
        <row r="17">
          <cell r="U17" t="str">
            <v>Q</v>
          </cell>
          <cell r="W17" t="str">
            <v>S</v>
          </cell>
        </row>
        <row r="18">
          <cell r="W18" t="str">
            <v>AF</v>
          </cell>
        </row>
        <row r="244">
          <cell r="W244" t="str">
            <v>Q</v>
          </cell>
        </row>
        <row r="378">
          <cell r="S378" t="str">
            <v>ING. LEANDRO JIMENEZ</v>
          </cell>
          <cell r="U378" t="str">
            <v>ARQ. ESTHER REYES</v>
          </cell>
        </row>
        <row r="379">
          <cell r="S379" t="str">
            <v>ING. MANUEL FELIZ</v>
          </cell>
          <cell r="U379" t="str">
            <v>ING. JOSELINE ACOSTA</v>
          </cell>
        </row>
        <row r="380">
          <cell r="S380" t="str">
            <v>ING. PEDRO MENDOZA REGALADO</v>
          </cell>
          <cell r="U380" t="str">
            <v>ING. EMILIANO MARTINEZ</v>
          </cell>
        </row>
        <row r="381">
          <cell r="S381" t="str">
            <v>ING. IGNACIO SORIANO III-B</v>
          </cell>
          <cell r="U381" t="str">
            <v>AUX. ING. YDELKY AMARANTE</v>
          </cell>
        </row>
        <row r="382">
          <cell r="S382" t="str">
            <v>ING. JUAN RAMON CRUZ</v>
          </cell>
          <cell r="U382" t="str">
            <v>ING. AMELIA SILVERIO</v>
          </cell>
        </row>
        <row r="383">
          <cell r="S383" t="str">
            <v>ING. JESUS DANIEL</v>
          </cell>
          <cell r="U383" t="str">
            <v>ING. MINERVA CABRERA</v>
          </cell>
        </row>
        <row r="384">
          <cell r="S384" t="str">
            <v>ING. LUIS RAMIREZ</v>
          </cell>
          <cell r="U384" t="str">
            <v>ARQ. IRIS CUETO</v>
          </cell>
        </row>
        <row r="385">
          <cell r="S385" t="str">
            <v>ING. GUILLERMO JIMENEZ</v>
          </cell>
          <cell r="U385" t="str">
            <v>ING. ZAIDA MAURICIO</v>
          </cell>
        </row>
        <row r="386">
          <cell r="S386" t="str">
            <v>ING. RAMON CRUZ</v>
          </cell>
          <cell r="U386" t="str">
            <v>ING. FELIX PEREZ</v>
          </cell>
        </row>
        <row r="387">
          <cell r="S387" t="str">
            <v>ING. PEDRO  MARTE</v>
          </cell>
          <cell r="U387" t="str">
            <v>ING. MARCOS PANIAGUA</v>
          </cell>
        </row>
        <row r="388">
          <cell r="S388" t="str">
            <v>ING. ROMAN RAMIREZ</v>
          </cell>
          <cell r="U388" t="str">
            <v>ING. DARWIN MEDOS</v>
          </cell>
        </row>
        <row r="389">
          <cell r="S389" t="str">
            <v>ING. VIRGILIO SANTANA</v>
          </cell>
          <cell r="U389" t="str">
            <v>ING. VILMA ALVAREZ</v>
          </cell>
        </row>
        <row r="390">
          <cell r="S390" t="str">
            <v>ING.  FEDERICO TERRERO</v>
          </cell>
          <cell r="U390" t="str">
            <v>ING. WENDYS NOVAS</v>
          </cell>
        </row>
        <row r="391">
          <cell r="S391" t="str">
            <v>ING. CIRIACO LOPEZ</v>
          </cell>
          <cell r="U391" t="str">
            <v>ING. KATHERYS CRUZ</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Ins"/>
      <sheetName val="caseta_de_planta_(2)1"/>
      <sheetName val="cisterna_1"/>
      <sheetName val="caseta_de_planta1"/>
      <sheetName val="Relacion_de_proyecto1"/>
      <sheetName val="Análisis_de_Precios1"/>
      <sheetName val="analisis"/>
      <sheetName val="MO"/>
      <sheetName val="MATERIALES_LISTADO"/>
      <sheetName val="M_O_"/>
      <sheetName val="M_O_1"/>
      <sheetName val="caseta_de_planta_(2)2"/>
      <sheetName val="cisterna_2"/>
      <sheetName val="caseta_de_planta2"/>
      <sheetName val="Relacion_de_proyecto2"/>
      <sheetName val="Análisis_de_Precios2"/>
      <sheetName val="M_O_2"/>
      <sheetName val="caseta_de_planta_(2)3"/>
      <sheetName val="cisterna_3"/>
      <sheetName val="caseta_de_planta3"/>
      <sheetName val="Relacion_de_proyecto3"/>
      <sheetName val="Análisis_de_Precios3"/>
      <sheetName val="M_O_3"/>
      <sheetName val="analisis detallado"/>
      <sheetName val="PRECIOS"/>
      <sheetName val="MATERIALES"/>
      <sheetName val="OBRAMANO"/>
      <sheetName val="EQUIPOS"/>
      <sheetName val="caseta_de_planta_(2)4"/>
      <sheetName val="cisterna_4"/>
      <sheetName val="caseta_de_planta4"/>
      <sheetName val="Relacion_de_proyecto4"/>
      <sheetName val="Análisis_de_Precios4"/>
      <sheetName val="M_O_4"/>
      <sheetName val="caseta_de_planta_(2)5"/>
      <sheetName val="cisterna_5"/>
      <sheetName val="caseta_de_planta5"/>
      <sheetName val="Relacion_de_proyecto5"/>
      <sheetName val="Análisis_de_Precios5"/>
      <sheetName val="M_O_5"/>
      <sheetName val="analisis_detallado"/>
      <sheetName val="analisis_detallado1"/>
      <sheetName val="analisis_detallado2"/>
      <sheetName val="analisis_detallado3"/>
      <sheetName val="analisis_detallado4"/>
      <sheetName val="analisis_detallado5"/>
      <sheetName val="analisis trabajos generales"/>
      <sheetName val="V.Tierras A"/>
      <sheetName val="listado equipos a utilizar"/>
      <sheetName val="M.O y Rendimientos"/>
      <sheetName val="Col.Amarre"/>
      <sheetName val="Escalera"/>
      <sheetName val="Muros"/>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ow r="7">
          <cell r="C7" t="str">
            <v>Cant.</v>
          </cell>
        </row>
      </sheetData>
      <sheetData sheetId="16"/>
      <sheetData sheetId="17">
        <row r="7">
          <cell r="C7" t="str">
            <v>Cant.</v>
          </cell>
        </row>
      </sheetData>
      <sheetData sheetId="18">
        <row r="7">
          <cell r="C7" t="str">
            <v>Cant.</v>
          </cell>
        </row>
      </sheetData>
      <sheetData sheetId="19"/>
      <sheetData sheetId="20" refreshError="1"/>
      <sheetData sheetId="21" refreshError="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sheetData sheetId="28" refreshError="1"/>
      <sheetData sheetId="29" refreshError="1"/>
      <sheetData sheetId="30"/>
      <sheetData sheetId="31">
        <row r="7">
          <cell r="C7" t="str">
            <v>Cant.</v>
          </cell>
        </row>
      </sheetData>
      <sheetData sheetId="32"/>
      <sheetData sheetId="33"/>
      <sheetData sheetId="34">
        <row r="7">
          <cell r="C7" t="str">
            <v>Cant.</v>
          </cell>
        </row>
      </sheetData>
      <sheetData sheetId="35">
        <row r="7">
          <cell r="C7" t="str">
            <v>Cant.</v>
          </cell>
        </row>
      </sheetData>
      <sheetData sheetId="36"/>
      <sheetData sheetId="37">
        <row r="7">
          <cell r="C7" t="str">
            <v>Cant.</v>
          </cell>
        </row>
      </sheetData>
      <sheetData sheetId="38"/>
      <sheetData sheetId="39"/>
      <sheetData sheetId="40">
        <row r="7">
          <cell r="C7" t="str">
            <v>Cant.</v>
          </cell>
        </row>
      </sheetData>
      <sheetData sheetId="41">
        <row r="7">
          <cell r="C7" t="str">
            <v>Cant.</v>
          </cell>
        </row>
      </sheetData>
      <sheetData sheetId="42"/>
      <sheetData sheetId="43">
        <row r="7">
          <cell r="C7" t="str">
            <v>Cant.</v>
          </cell>
        </row>
      </sheetData>
      <sheetData sheetId="44" refreshError="1"/>
      <sheetData sheetId="45" refreshError="1"/>
      <sheetData sheetId="46" refreshError="1"/>
      <sheetData sheetId="47" refreshError="1"/>
      <sheetData sheetId="48" refreshError="1"/>
      <sheetData sheetId="49"/>
      <sheetData sheetId="50"/>
      <sheetData sheetId="51">
        <row r="7">
          <cell r="C7" t="str">
            <v>Cant.</v>
          </cell>
        </row>
      </sheetData>
      <sheetData sheetId="52">
        <row r="7">
          <cell r="C7" t="str">
            <v>Cant.</v>
          </cell>
        </row>
      </sheetData>
      <sheetData sheetId="53"/>
      <sheetData sheetId="54"/>
      <sheetData sheetId="55"/>
      <sheetData sheetId="56"/>
      <sheetData sheetId="57">
        <row r="7">
          <cell r="C7" t="str">
            <v>Cant.</v>
          </cell>
        </row>
      </sheetData>
      <sheetData sheetId="58">
        <row r="7">
          <cell r="C7" t="str">
            <v>Cant.</v>
          </cell>
        </row>
      </sheetData>
      <sheetData sheetId="59"/>
      <sheetData sheetId="60"/>
      <sheetData sheetId="61"/>
      <sheetData sheetId="62"/>
      <sheetData sheetId="63"/>
      <sheetData sheetId="64"/>
      <sheetData sheetId="65"/>
      <sheetData sheetId="66"/>
      <sheetData sheetId="67">
        <row r="7">
          <cell r="C7" t="str">
            <v>Cant.</v>
          </cell>
        </row>
      </sheetData>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
      <sheetName val="Hormigon"/>
      <sheetName val="Sheet4"/>
      <sheetName val="Sheet5"/>
      <sheetName val="presup."/>
      <sheetName val="Ana"/>
      <sheetName val="Ins"/>
      <sheetName val="Ins 2"/>
      <sheetName val="med.mov.de tierras"/>
      <sheetName val="Analisis"/>
      <sheetName val="presup_"/>
      <sheetName val="presup_1"/>
      <sheetName val="presup_2"/>
      <sheetName val="presup_3"/>
      <sheetName val="Analisis Detallado"/>
      <sheetName val="Copia de Analisis"/>
      <sheetName val="presup_4"/>
      <sheetName val="presup_5"/>
      <sheetName val="anal term"/>
      <sheetName val="Mat"/>
      <sheetName val="Jornal"/>
      <sheetName val="M.O."/>
    </sheetNames>
    <sheetDataSet>
      <sheetData sheetId="0">
        <row r="9">
          <cell r="F9">
            <v>280</v>
          </cell>
        </row>
        <row r="11">
          <cell r="F11">
            <v>1796.9451931716083</v>
          </cell>
        </row>
        <row r="15">
          <cell r="F15">
            <v>45</v>
          </cell>
        </row>
        <row r="20">
          <cell r="F20">
            <v>1100</v>
          </cell>
        </row>
        <row r="21">
          <cell r="F21">
            <v>1100</v>
          </cell>
        </row>
        <row r="31">
          <cell r="F31">
            <v>500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sheetName val="PVC"/>
      <sheetName val="POLIETILENO"/>
      <sheetName val="Analisis formato"/>
      <sheetName val="REGISTROS DE LADRILLOS Y H.A. "/>
      <sheetName val="ANCLAJES DE H.A."/>
      <sheetName val=" MOVIMIENTO DE TIERRA EQUIPO"/>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INS"/>
    </sheetNames>
    <sheetDataSet>
      <sheetData sheetId="0" refreshError="1"/>
      <sheetData sheetId="1"/>
      <sheetData sheetId="2"/>
      <sheetData sheetId="3"/>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sheetName val="Detalle Acero"/>
      <sheetName val="Villas (Platea)"/>
      <sheetName val="Villa Zona 1"/>
      <sheetName val="Villa Zona 2"/>
      <sheetName val="Cocina "/>
      <sheetName val="Lavandería"/>
      <sheetName val="Comedor"/>
      <sheetName val="Area Noble"/>
      <sheetName val="Administración"/>
      <sheetName val="Espectáculos"/>
      <sheetName val="Exterior A. N."/>
      <sheetName val="Exteriores Gral."/>
      <sheetName val="Prelim.Fase I"/>
      <sheetName val="Prelim.A.N."/>
      <sheetName val="Resumen"/>
    </sheetNames>
    <sheetDataSet>
      <sheetData sheetId="0">
        <row r="16">
          <cell r="E16">
            <v>320</v>
          </cell>
        </row>
      </sheetData>
      <sheetData sheetId="1" refreshError="1"/>
      <sheetData sheetId="2">
        <row r="26">
          <cell r="D26">
            <v>177.75200000000001</v>
          </cell>
          <cell r="F26">
            <v>28.836999999999996</v>
          </cell>
          <cell r="H26">
            <v>0.55119999999999991</v>
          </cell>
          <cell r="L26">
            <v>1.5490799999999998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Detalle Acero"/>
      <sheetName val="O.M. y Salarios"/>
      <sheetName val="Materiales"/>
      <sheetName val="Trabajos Generales"/>
      <sheetName val="COSTO INDIRECTO"/>
      <sheetName val="OPERADORES EQUIPOS"/>
      <sheetName val="HORM. Y MORTEROS."/>
      <sheetName val="SALARIOS"/>
      <sheetName val="INS"/>
      <sheetName val="V.Tierras A"/>
      <sheetName val="materiales (2)"/>
      <sheetName val="Datos"/>
      <sheetName val="anal term"/>
      <sheetName val="Ana-Sanit."/>
      <sheetName val="UASD"/>
      <sheetName val="Mat"/>
      <sheetName val="Pu-Sanit."/>
      <sheetName val="Los Ángeles (Fase II)"/>
      <sheetName val="ANALISIS STO DGO"/>
      <sheetName val="Análisis_de_Precios"/>
      <sheetName val="Presupuesto_Nave_1"/>
      <sheetName val="Presupuesto_Nave_2"/>
      <sheetName val="Cantidades_Nave_1"/>
      <sheetName val="Cantidades_Nave_2"/>
      <sheetName val="Mano_de_Obra"/>
      <sheetName val="Anal__horm_"/>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INSU"/>
      <sheetName val="MO"/>
      <sheetName val="Cotz."/>
      <sheetName val="Detalle_Acero"/>
      <sheetName val="O_M__y_Salarios"/>
      <sheetName val="Trabajos_Generales"/>
      <sheetName val="COSTO_INDIRECTO"/>
      <sheetName val="OPERADORES_EQUIPOS"/>
      <sheetName val="HORM__Y_MORTEROS_"/>
      <sheetName val="Detalle_Acero1"/>
      <sheetName val="O_M__y_Salarios1"/>
      <sheetName val="Trabajos_Generales1"/>
      <sheetName val="COSTO_INDIRECTO1"/>
      <sheetName val="OPERADORES_EQUIPOS1"/>
      <sheetName val="HORM__Y_MORTEROS_1"/>
      <sheetName val="Análisis_de_Precios2"/>
      <sheetName val="Presupuesto_Nave_12"/>
      <sheetName val="Presupuesto_Nave_22"/>
      <sheetName val="Cantidades_Nave_12"/>
      <sheetName val="Cantidades_Nave_22"/>
      <sheetName val="Mano_de_Obra2"/>
      <sheetName val="Anal__horm_2"/>
      <sheetName val="Detalle_Acero2"/>
      <sheetName val="O_M__y_Salarios2"/>
      <sheetName val="Trabajos_Generales2"/>
      <sheetName val="COSTO_INDIRECTO2"/>
      <sheetName val="OPERADORES_EQUIPOS2"/>
      <sheetName val="HORM__Y_MORTEROS_2"/>
      <sheetName val="Análisis_de_Precios3"/>
      <sheetName val="Presupuesto_Nave_13"/>
      <sheetName val="Presupuesto_Nave_23"/>
      <sheetName val="Cantidades_Nave_13"/>
      <sheetName val="Cantidades_Nave_23"/>
      <sheetName val="Mano_de_Obra3"/>
      <sheetName val="Anal__horm_3"/>
      <sheetName val="Detalle_Acero3"/>
      <sheetName val="O_M__y_Salarios3"/>
      <sheetName val="Trabajos_Generales3"/>
      <sheetName val="COSTO_INDIRECTO3"/>
      <sheetName val="OPERADORES_EQUIPOS3"/>
      <sheetName val="HORM__Y_MORTEROS_3"/>
      <sheetName val="Análisis_de_Precios4"/>
      <sheetName val="Presupuesto_Nave_14"/>
      <sheetName val="Presupuesto_Nave_24"/>
      <sheetName val="Cantidades_Nave_14"/>
      <sheetName val="Cantidades_Nave_24"/>
      <sheetName val="Mano_de_Obra4"/>
      <sheetName val="Anal__horm_4"/>
      <sheetName val="Detalle_Acero4"/>
      <sheetName val="O_M__y_Salarios4"/>
      <sheetName val="Trabajos_Generales4"/>
      <sheetName val="COSTO_INDIRECTO4"/>
      <sheetName val="OPERADORES_EQUIPOS4"/>
      <sheetName val="HORM__Y_MORTEROS_4"/>
      <sheetName val="Análisis_de_Precios5"/>
      <sheetName val="Presupuesto_Nave_15"/>
      <sheetName val="Presupuesto_Nave_25"/>
      <sheetName val="Cantidades_Nave_15"/>
      <sheetName val="Cantidades_Nave_25"/>
      <sheetName val="Mano_de_Obra5"/>
      <sheetName val="Anal__horm_5"/>
      <sheetName val="Detalle_Acero5"/>
      <sheetName val="O_M__y_Salarios5"/>
      <sheetName val="Trabajos_Generales5"/>
      <sheetName val="COSTO_INDIRECTO5"/>
      <sheetName val="OPERADORES_EQUIPOS5"/>
      <sheetName val="HORM__Y_MORTEROS_5"/>
      <sheetName val="caseta de planta"/>
      <sheetName val="materiales_(2)1"/>
      <sheetName val="V_Tierras_A2"/>
      <sheetName val="materiales_(2)2"/>
      <sheetName val="V_Tierras_A3"/>
      <sheetName val="materiales_(2)3"/>
      <sheetName val="insumo"/>
      <sheetName val="mezcla"/>
      <sheetName val="V_Tierras_A4"/>
      <sheetName val="materiales_(2)4"/>
      <sheetName val="V_Tierras_A5"/>
      <sheetName val="materiales_(2)5"/>
      <sheetName val="Desembolso de Caja"/>
    </sheetNames>
    <sheetDataSet>
      <sheetData sheetId="0" refreshError="1">
        <row r="6">
          <cell r="B6" t="str">
            <v>Acero 1/2" (  Grado 40  )</v>
          </cell>
          <cell r="C6" t="str">
            <v>QQ</v>
          </cell>
          <cell r="D6">
            <v>275</v>
          </cell>
        </row>
        <row r="7">
          <cell r="B7" t="str">
            <v>Acero 1/4"  (  Grado 40  )</v>
          </cell>
          <cell r="C7" t="str">
            <v>QQ</v>
          </cell>
          <cell r="D7">
            <v>270</v>
          </cell>
        </row>
        <row r="8">
          <cell r="B8" t="str">
            <v>Acero 3/4"-1" (  Grado 40  )</v>
          </cell>
          <cell r="C8" t="str">
            <v>QQ</v>
          </cell>
          <cell r="D8">
            <v>395</v>
          </cell>
        </row>
        <row r="9">
          <cell r="B9" t="str">
            <v>Acero 3/8"  (  Grado 40  )</v>
          </cell>
          <cell r="C9" t="str">
            <v>QQ</v>
          </cell>
          <cell r="D9">
            <v>275</v>
          </cell>
        </row>
        <row r="16">
          <cell r="B16" t="str">
            <v>Arena Gruesa Lavada</v>
          </cell>
          <cell r="C16" t="str">
            <v>M3</v>
          </cell>
          <cell r="D16">
            <v>250</v>
          </cell>
        </row>
        <row r="20">
          <cell r="B20" t="str">
            <v>Alambre No. 18</v>
          </cell>
          <cell r="C20" t="str">
            <v>LBS</v>
          </cell>
          <cell r="D20">
            <v>8</v>
          </cell>
        </row>
        <row r="22">
          <cell r="B22" t="str">
            <v>Bloques de 6"</v>
          </cell>
          <cell r="C22" t="str">
            <v>UD</v>
          </cell>
          <cell r="D22">
            <v>9.52</v>
          </cell>
        </row>
        <row r="23">
          <cell r="B23" t="str">
            <v xml:space="preserve">Bloques de 8" </v>
          </cell>
          <cell r="C23" t="str">
            <v>UD</v>
          </cell>
          <cell r="D23">
            <v>12.48</v>
          </cell>
        </row>
        <row r="77">
          <cell r="B77" t="str">
            <v>M/O Quintal Trabajado</v>
          </cell>
          <cell r="C77" t="str">
            <v>QQ</v>
          </cell>
          <cell r="D77">
            <v>55</v>
          </cell>
        </row>
        <row r="78">
          <cell r="B78" t="str">
            <v>M/O Armadura Columna</v>
          </cell>
          <cell r="C78" t="str">
            <v>ML</v>
          </cell>
          <cell r="D78">
            <v>20</v>
          </cell>
        </row>
        <row r="79">
          <cell r="B79" t="str">
            <v>M/O Armadura Dintel y Viga</v>
          </cell>
          <cell r="C79" t="str">
            <v>ML</v>
          </cell>
          <cell r="D79">
            <v>20</v>
          </cell>
        </row>
        <row r="83">
          <cell r="B83" t="str">
            <v>M/O Fino de Techo Inclinado</v>
          </cell>
          <cell r="C83" t="str">
            <v>M2</v>
          </cell>
          <cell r="D83">
            <v>35</v>
          </cell>
        </row>
        <row r="84">
          <cell r="B84" t="str">
            <v>M/O Fino de Techo Plano</v>
          </cell>
          <cell r="C84" t="str">
            <v>M2</v>
          </cell>
          <cell r="D84">
            <v>30</v>
          </cell>
        </row>
        <row r="86">
          <cell r="B86" t="str">
            <v>M/O Llenado de huecos</v>
          </cell>
          <cell r="C86" t="str">
            <v>UD</v>
          </cell>
          <cell r="D86">
            <v>0.33</v>
          </cell>
        </row>
        <row r="87">
          <cell r="B87" t="str">
            <v>M/O Maestro</v>
          </cell>
          <cell r="C87" t="str">
            <v>DIA</v>
          </cell>
          <cell r="D87">
            <v>500</v>
          </cell>
        </row>
        <row r="91">
          <cell r="B91" t="str">
            <v>M/O Pañete Maestreado Exterior</v>
          </cell>
          <cell r="C91" t="str">
            <v>M2</v>
          </cell>
          <cell r="D91">
            <v>28</v>
          </cell>
        </row>
        <row r="92">
          <cell r="B92" t="str">
            <v>M/O Pañete Maestreado Interior</v>
          </cell>
          <cell r="C92" t="str">
            <v>M2</v>
          </cell>
          <cell r="D92">
            <v>28</v>
          </cell>
        </row>
        <row r="94">
          <cell r="B94" t="str">
            <v>M/O Preparación del Terreno</v>
          </cell>
          <cell r="C94" t="str">
            <v>M2</v>
          </cell>
          <cell r="D94">
            <v>9.6999999999999993</v>
          </cell>
        </row>
        <row r="95">
          <cell r="B95" t="str">
            <v>M/O Subida de Materiales</v>
          </cell>
          <cell r="C95" t="str">
            <v>M3</v>
          </cell>
          <cell r="D95">
            <v>188.27</v>
          </cell>
        </row>
        <row r="96">
          <cell r="B96" t="str">
            <v>M/O Carpintero 2da. Categoría</v>
          </cell>
          <cell r="C96" t="str">
            <v>DIA</v>
          </cell>
          <cell r="D96">
            <v>300</v>
          </cell>
        </row>
        <row r="98">
          <cell r="B98" t="str">
            <v>M/O Zabaletas</v>
          </cell>
          <cell r="C98" t="str">
            <v>ML</v>
          </cell>
          <cell r="D98">
            <v>25</v>
          </cell>
        </row>
        <row r="99">
          <cell r="B99" t="str">
            <v>M/O Cantos</v>
          </cell>
          <cell r="C99" t="str">
            <v>ML</v>
          </cell>
          <cell r="D99">
            <v>13</v>
          </cell>
        </row>
        <row r="102">
          <cell r="B102" t="str">
            <v>M/O Cerámica Italiana en Pared</v>
          </cell>
          <cell r="C102" t="str">
            <v>M2</v>
          </cell>
          <cell r="D102">
            <v>76.319999999999993</v>
          </cell>
        </row>
        <row r="104">
          <cell r="B104" t="str">
            <v>M/O Colocación Adoquines</v>
          </cell>
          <cell r="C104" t="str">
            <v>M2</v>
          </cell>
          <cell r="D104">
            <v>19.77</v>
          </cell>
        </row>
        <row r="105">
          <cell r="B105" t="str">
            <v>M/O Colocación de Bloques de 4"</v>
          </cell>
          <cell r="C105" t="str">
            <v>UD</v>
          </cell>
          <cell r="D105">
            <v>3.75</v>
          </cell>
        </row>
        <row r="106">
          <cell r="B106" t="str">
            <v>M/O Colocación de Bloques de 6"</v>
          </cell>
          <cell r="C106" t="str">
            <v>UD</v>
          </cell>
          <cell r="D106">
            <v>3.75</v>
          </cell>
        </row>
        <row r="107">
          <cell r="B107" t="str">
            <v>M/O Colocación de Bloques de 8"</v>
          </cell>
          <cell r="C107" t="str">
            <v>UD</v>
          </cell>
          <cell r="D107">
            <v>4</v>
          </cell>
        </row>
        <row r="108">
          <cell r="B108" t="str">
            <v xml:space="preserve">M/O Colocación Piso Cerámica Criolla </v>
          </cell>
          <cell r="C108" t="str">
            <v>M2</v>
          </cell>
          <cell r="D108">
            <v>90</v>
          </cell>
        </row>
        <row r="111">
          <cell r="B111" t="str">
            <v>M/O Colocación Piso de Granito 40 X 40</v>
          </cell>
          <cell r="C111" t="str">
            <v>M2</v>
          </cell>
          <cell r="D111">
            <v>53.18</v>
          </cell>
        </row>
        <row r="113">
          <cell r="B113" t="str">
            <v>M/O Colocación Zócalos de Cerámica</v>
          </cell>
          <cell r="C113" t="str">
            <v>ML</v>
          </cell>
          <cell r="D113">
            <v>15</v>
          </cell>
        </row>
        <row r="114">
          <cell r="B114" t="str">
            <v>M/O Colocación Listelos</v>
          </cell>
          <cell r="C114" t="str">
            <v>ML</v>
          </cell>
          <cell r="D114">
            <v>15</v>
          </cell>
        </row>
        <row r="115">
          <cell r="B115" t="str">
            <v>M/O Confección de Andamios</v>
          </cell>
          <cell r="C115" t="str">
            <v>DIA</v>
          </cell>
          <cell r="D115">
            <v>300</v>
          </cell>
        </row>
        <row r="116">
          <cell r="B116" t="str">
            <v>M/O Construcción Acera Frotada y Violinada</v>
          </cell>
          <cell r="C116" t="str">
            <v>M2</v>
          </cell>
          <cell r="D116">
            <v>25</v>
          </cell>
        </row>
        <row r="119">
          <cell r="B119" t="str">
            <v>M/O Corte y Amarre de Varilla</v>
          </cell>
          <cell r="C119" t="str">
            <v>UD</v>
          </cell>
          <cell r="D119">
            <v>0.25</v>
          </cell>
        </row>
        <row r="121">
          <cell r="B121" t="str">
            <v xml:space="preserve">M/O Elaboración Trampa de Grasa  </v>
          </cell>
          <cell r="C121" t="str">
            <v>UD</v>
          </cell>
          <cell r="D121">
            <v>650</v>
          </cell>
        </row>
        <row r="127">
          <cell r="B127" t="str">
            <v>Alq. Madera P/Rampa  (  Incl. M/O  )</v>
          </cell>
          <cell r="C127" t="str">
            <v>UD</v>
          </cell>
          <cell r="D127">
            <v>900</v>
          </cell>
        </row>
        <row r="128">
          <cell r="B128" t="str">
            <v>Alq. Madera P/Viga  (  Incl. M/O  )</v>
          </cell>
          <cell r="C128" t="str">
            <v>ML</v>
          </cell>
          <cell r="D128">
            <v>98</v>
          </cell>
        </row>
        <row r="129">
          <cell r="B129" t="str">
            <v>Alq. Madera P/Vigas y Columnas Amarre (  Incl. M/O  )</v>
          </cell>
          <cell r="C129" t="str">
            <v>ML</v>
          </cell>
          <cell r="D129">
            <v>50</v>
          </cell>
        </row>
        <row r="132">
          <cell r="B132" t="str">
            <v>M/O Regado, Compactación, Mojado, Trasl.Mat. (A/M)</v>
          </cell>
          <cell r="C132" t="str">
            <v>M3</v>
          </cell>
          <cell r="D132">
            <v>44.3</v>
          </cell>
        </row>
        <row r="136">
          <cell r="B136" t="str">
            <v xml:space="preserve">Ligado y Vaciado a Mano  </v>
          </cell>
          <cell r="C136" t="str">
            <v>M3</v>
          </cell>
          <cell r="D136">
            <v>188.27</v>
          </cell>
        </row>
        <row r="149">
          <cell r="B149" t="str">
            <v>M/O Técnico Calificado</v>
          </cell>
          <cell r="C149" t="str">
            <v>DIA</v>
          </cell>
          <cell r="D149">
            <v>175</v>
          </cell>
        </row>
      </sheetData>
      <sheetData sheetId="1" refreshError="1">
        <row r="201">
          <cell r="F201">
            <v>7792.2050656250012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01">
          <cell r="F201">
            <v>7792.2050656250012</v>
          </cell>
        </row>
      </sheetData>
      <sheetData sheetId="38"/>
      <sheetData sheetId="39" refreshError="1"/>
      <sheetData sheetId="40" refreshError="1"/>
      <sheetData sheetId="41" refreshError="1"/>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row r="201">
          <cell r="F201">
            <v>7792.2050656250012</v>
          </cell>
        </row>
      </sheetData>
      <sheetData sheetId="48">
        <row r="201">
          <cell r="F201">
            <v>7792.2050656250012</v>
          </cell>
        </row>
      </sheetData>
      <sheetData sheetId="49">
        <row r="201">
          <cell r="F201">
            <v>7792.2050656250012</v>
          </cell>
        </row>
      </sheetData>
      <sheetData sheetId="50">
        <row r="201">
          <cell r="F201">
            <v>7792.2050656250012</v>
          </cell>
        </row>
      </sheetData>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ow r="201">
          <cell r="F201">
            <v>7792.2050656250003</v>
          </cell>
        </row>
      </sheetData>
      <sheetData sheetId="62"/>
      <sheetData sheetId="63"/>
      <sheetData sheetId="64"/>
      <sheetData sheetId="65"/>
      <sheetData sheetId="66"/>
      <sheetData sheetId="67"/>
      <sheetData sheetId="68"/>
      <sheetData sheetId="69">
        <row r="201">
          <cell r="F201">
            <v>7792.2050656250012</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row r="201">
          <cell r="F201">
            <v>7792.2050656250012</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row r="201">
          <cell r="F201">
            <v>7792.2050656250012</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row r="201">
          <cell r="F201">
            <v>7792.2050656250012</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PRECIO"/>
      <sheetName val="Insumo plastbau"/>
      <sheetName val="Plastbau 22"/>
      <sheetName val="Resumen Plastbau 22"/>
      <sheetName val="Insumos"/>
      <sheetName val="Análisis de Precios"/>
    </sheetNames>
    <sheetDataSet>
      <sheetData sheetId="0" refreshError="1">
        <row r="16">
          <cell r="C16" t="str">
            <v>13/7 -</v>
          </cell>
        </row>
      </sheetData>
      <sheetData sheetId="1"/>
      <sheetData sheetId="2"/>
      <sheetData sheetId="3"/>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DAS VIEJAS"/>
      <sheetName val="ACUEDUCTO"/>
      <sheetName val="Volumetría"/>
      <sheetName val="Hoja8"/>
      <sheetName val="Pre Villar Pando"/>
      <sheetName val="ANALISIS PLANTA"/>
      <sheetName val="Analisis Definitivo"/>
      <sheetName val="ANALISIS PTAP"/>
      <sheetName val="ANALISIS General"/>
      <sheetName val="Hoja4"/>
      <sheetName val="Analic. Estruc."/>
      <sheetName val="Analic. Alim."/>
      <sheetName val="ANALISIS PTAP-Elec"/>
      <sheetName val="CASA QUIMICO"/>
      <sheetName val="MT-A"/>
      <sheetName val="MT-H"/>
      <sheetName val="MT-C"/>
      <sheetName val="MT-G"/>
      <sheetName val="MT-F"/>
      <sheetName val="Hoja7"/>
      <sheetName val="Hoja5"/>
      <sheetName val="SDAN"/>
      <sheetName val="CASETA CLORACION"/>
      <sheetName val="Hoja6"/>
      <sheetName val="VOLUMENES Y AREAS"/>
      <sheetName val="Partes Planta"/>
      <sheetName val="Hoja3"/>
      <sheetName val="Hoja2"/>
      <sheetName val="ANALISIS DEPOSITO"/>
      <sheetName val="Hoja1"/>
      <sheetName val="Carcamo de Bombeo 30m3"/>
      <sheetName val="ANALISIS "/>
      <sheetName val="Hoja9"/>
      <sheetName val="PARA PREGUNTAR"/>
    </sheetNames>
    <sheetDataSet>
      <sheetData sheetId="0"/>
      <sheetData sheetId="1"/>
      <sheetData sheetId="2"/>
      <sheetData sheetId="3"/>
      <sheetData sheetId="4"/>
      <sheetData sheetId="5">
        <row r="13">
          <cell r="E13">
            <v>3</v>
          </cell>
        </row>
        <row r="14">
          <cell r="E14">
            <v>390</v>
          </cell>
        </row>
        <row r="17">
          <cell r="E17">
            <v>1200</v>
          </cell>
        </row>
        <row r="18">
          <cell r="E18">
            <v>1200</v>
          </cell>
        </row>
        <row r="92">
          <cell r="F92">
            <v>1296.7733333333333</v>
          </cell>
        </row>
        <row r="111">
          <cell r="F111">
            <v>6354.9500000000007</v>
          </cell>
        </row>
        <row r="273">
          <cell r="F273">
            <v>3047.63</v>
          </cell>
        </row>
        <row r="1519">
          <cell r="F1519">
            <v>8284.3602083333335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
      <sheetName val="LOSA"/>
      <sheetName val="LOSA (2)"/>
      <sheetName val="insumo"/>
      <sheetName val="Mezcla"/>
      <sheetName val="ana.h.a"/>
      <sheetName val="analisis"/>
      <sheetName val="Analisis Areas Ext."/>
      <sheetName val="Resumen"/>
      <sheetName val="exteriores"/>
      <sheetName val="v. exterior"/>
      <sheetName val="bLOQUE A"/>
      <sheetName val="V.Tierras A"/>
      <sheetName val="V H.A y Muros A"/>
      <sheetName val="Term A"/>
      <sheetName val="ANALISIS STO DGO"/>
      <sheetName val="anal term"/>
      <sheetName val="#REF"/>
      <sheetName val="Ac_Z"/>
      <sheetName val="Ac_C"/>
      <sheetName val="Ac_V"/>
      <sheetName val="resum_ac_"/>
      <sheetName val="LOSA_(2)"/>
      <sheetName val="ana_h_a"/>
      <sheetName val="Analisis_Areas_Ext_"/>
      <sheetName val="v__exterior"/>
      <sheetName val="bLOQUE_A"/>
      <sheetName val="V_Tierras_A"/>
      <sheetName val="V_H_A_y_Muros_A"/>
      <sheetName val="Term_A"/>
      <sheetName val="ANALISIS_STO_DGO"/>
      <sheetName val="Ac_Z1"/>
      <sheetName val="Ac_C1"/>
      <sheetName val="Ac_V1"/>
      <sheetName val="resum_ac_1"/>
      <sheetName val="LOSA_(2)1"/>
      <sheetName val="ana_h_a1"/>
      <sheetName val="Analisis_Areas_Ext_1"/>
      <sheetName val="v__exterior1"/>
      <sheetName val="bLOQUE_A1"/>
      <sheetName val="V_Tierras_A1"/>
      <sheetName val="V_H_A_y_Muros_A1"/>
      <sheetName val="Term_A1"/>
      <sheetName val="ANALISIS_STO_DGO1"/>
      <sheetName val="anal_term"/>
      <sheetName val="HORM. Y MORTEROS."/>
      <sheetName val="SALARIOS"/>
      <sheetName val="m.o."/>
      <sheetName val="Ana. blocks y termin."/>
      <sheetName val="Costos Mano de Obra"/>
      <sheetName val="Insumos materiales"/>
      <sheetName val="Ana. Horm mexc mort"/>
      <sheetName val="m_o_"/>
      <sheetName val="m_o_1"/>
      <sheetName val="Ac_Z2"/>
      <sheetName val="Ac_C2"/>
      <sheetName val="Ac_V2"/>
      <sheetName val="resum_ac_2"/>
      <sheetName val="LOSA_(2)2"/>
      <sheetName val="ana_h_a2"/>
      <sheetName val="Analisis_Areas_Ext_2"/>
      <sheetName val="v__exterior2"/>
      <sheetName val="bLOQUE_A2"/>
      <sheetName val="V_Tierras_A2"/>
      <sheetName val="V_H_A_y_Muros_A2"/>
      <sheetName val="Term_A2"/>
      <sheetName val="ANALISIS_STO_DGO2"/>
      <sheetName val="m_o_2"/>
      <sheetName val="Ac_Z3"/>
      <sheetName val="Ac_C3"/>
      <sheetName val="Ac_V3"/>
      <sheetName val="resum_ac_3"/>
      <sheetName val="LOSA_(2)3"/>
      <sheetName val="ana_h_a3"/>
      <sheetName val="Analisis_Areas_Ext_3"/>
      <sheetName val="v__exterior3"/>
      <sheetName val="bLOQUE_A3"/>
      <sheetName val="V_Tierras_A3"/>
      <sheetName val="V_H_A_y_Muros_A3"/>
      <sheetName val="Term_A3"/>
      <sheetName val="ANALISIS_STO_DGO3"/>
      <sheetName val="m_o_3"/>
      <sheetName val="Ac_Z4"/>
      <sheetName val="Ac_C4"/>
      <sheetName val="Ac_V4"/>
      <sheetName val="resum_ac_4"/>
      <sheetName val="LOSA_(2)4"/>
      <sheetName val="ana_h_a4"/>
      <sheetName val="Analisis_Areas_Ext_4"/>
      <sheetName val="v__exterior4"/>
      <sheetName val="bLOQUE_A4"/>
      <sheetName val="V_Tierras_A4"/>
      <sheetName val="V_H_A_y_Muros_A4"/>
      <sheetName val="Term_A4"/>
      <sheetName val="ANALISIS_STO_DGO4"/>
      <sheetName val="m_o_4"/>
      <sheetName val="Ac_Z5"/>
      <sheetName val="Ac_C5"/>
      <sheetName val="Ac_V5"/>
      <sheetName val="resum_ac_5"/>
      <sheetName val="LOSA_(2)5"/>
      <sheetName val="ana_h_a5"/>
      <sheetName val="Analisis_Areas_Ext_5"/>
      <sheetName val="v__exterior5"/>
      <sheetName val="bLOQUE_A5"/>
      <sheetName val="V_Tierras_A5"/>
      <sheetName val="V_H_A_y_Muros_A5"/>
      <sheetName val="Term_A5"/>
      <sheetName val="ANALISIS_STO_DGO5"/>
      <sheetName val="m_o_5"/>
      <sheetName val="HORM__Y_MORTEROS_"/>
      <sheetName val="anal_term1"/>
      <sheetName val="HORM__Y_MORTEROS_1"/>
      <sheetName val="anal_term2"/>
      <sheetName val="HORM__Y_MORTEROS_2"/>
      <sheetName val="anal_term3"/>
      <sheetName val="HORM__Y_MORTEROS_3"/>
      <sheetName val="anal_term4"/>
      <sheetName val="HORM__Y_MORTEROS_4"/>
      <sheetName val="anal_term5"/>
      <sheetName val="HORM__Y_MORTEROS_5"/>
      <sheetName val="Osiades Est."/>
      <sheetName val="Analisis RELLENO"/>
      <sheetName val="Precios"/>
      <sheetName val="presup"/>
      <sheetName val="INSUMOS"/>
      <sheetName val="ana-sanit."/>
      <sheetName val="Ana"/>
      <sheetName val="analisis h-a "/>
      <sheetName val="Pu-Sanit."/>
      <sheetName val="Jornal"/>
      <sheetName val="listado equipos a utilizar"/>
      <sheetName val="electrico"/>
      <sheetName val="Anal. horm."/>
      <sheetName val="Mat"/>
      <sheetName val="Mano de Obra"/>
      <sheetName val="Volumenes"/>
      <sheetName val="Lista de precios"/>
    </sheetNames>
    <sheetDataSet>
      <sheetData sheetId="0" refreshError="1"/>
      <sheetData sheetId="1" refreshError="1"/>
      <sheetData sheetId="2" refreshError="1"/>
      <sheetData sheetId="3" refreshError="1"/>
      <sheetData sheetId="4" refreshError="1"/>
      <sheetData sheetId="5" refreshError="1"/>
      <sheetData sheetId="6" refreshError="1">
        <row r="4">
          <cell r="D4">
            <v>2547.17</v>
          </cell>
        </row>
        <row r="9">
          <cell r="D9">
            <v>26</v>
          </cell>
        </row>
        <row r="10">
          <cell r="D10">
            <v>30</v>
          </cell>
        </row>
        <row r="13">
          <cell r="D13">
            <v>265</v>
          </cell>
        </row>
        <row r="14">
          <cell r="D14">
            <v>295</v>
          </cell>
        </row>
        <row r="15">
          <cell r="D15">
            <v>290</v>
          </cell>
        </row>
        <row r="16">
          <cell r="D16">
            <v>295</v>
          </cell>
        </row>
        <row r="17">
          <cell r="D17">
            <v>290</v>
          </cell>
        </row>
        <row r="19">
          <cell r="D19">
            <v>30</v>
          </cell>
        </row>
        <row r="36">
          <cell r="D36">
            <v>5916</v>
          </cell>
        </row>
      </sheetData>
      <sheetData sheetId="7" refreshError="1">
        <row r="10">
          <cell r="F10">
            <v>4838.6400000000003</v>
          </cell>
        </row>
        <row r="17">
          <cell r="F17">
            <v>4289.4381999999996</v>
          </cell>
        </row>
        <row r="37">
          <cell r="F37">
            <v>4299.8692000000001</v>
          </cell>
        </row>
      </sheetData>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 val="RECLAMACION 1."/>
      <sheetName val="ANALISIS CASETAS"/>
      <sheetName val="VERJA NUEVA"/>
    </sheetNames>
    <sheetDataSet>
      <sheetData sheetId="0">
        <row r="9">
          <cell r="D9">
            <v>1500</v>
          </cell>
        </row>
        <row r="17">
          <cell r="D17">
            <v>35</v>
          </cell>
        </row>
        <row r="130">
          <cell r="D130">
            <v>45</v>
          </cell>
        </row>
        <row r="131">
          <cell r="D131">
            <v>20</v>
          </cell>
        </row>
        <row r="132">
          <cell r="D132">
            <v>35</v>
          </cell>
        </row>
        <row r="133">
          <cell r="D133">
            <v>1350</v>
          </cell>
        </row>
      </sheetData>
      <sheetData sheetId="1">
        <row r="11">
          <cell r="B11">
            <v>1.4428531746653097</v>
          </cell>
        </row>
        <row r="247">
          <cell r="B247">
            <v>1.4428531746653097</v>
          </cell>
        </row>
        <row r="256">
          <cell r="B256">
            <v>13.707105159320442</v>
          </cell>
        </row>
        <row r="612">
          <cell r="B612">
            <v>220.75653572379238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 val="Col.Amarre"/>
      <sheetName val="Escalera"/>
      <sheetName val="Muros"/>
      <sheetName val="Materiales"/>
      <sheetName val="HORM. Y MORTEROS."/>
      <sheetName val="SALARIOS"/>
      <sheetName val="Resumen Precio Equipos"/>
      <sheetName val="O.M. y Salarios"/>
      <sheetName val="MANO DE OBRA (2)"/>
      <sheetName val="Mano de Obra"/>
      <sheetName val="MOVIMIENTO DE TIERRA"/>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10181-3(Rescision)"/>
      <sheetName val="CUB-10181-3(Rescision) (2)"/>
      <sheetName val="CUB-10181-3(Rescision) (3)"/>
      <sheetName val="ANALISIS 2009"/>
      <sheetName val="Módulo1"/>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sheetName val="Flujo Cabañas"/>
      <sheetName val="Cronograma Cabañas"/>
      <sheetName val="Cabañas simple Tipo I"/>
      <sheetName val="Cabañas simple Tipo 2"/>
      <sheetName val="Cabañas simple Tipo 3"/>
      <sheetName val="Cabañas Presidenciales "/>
      <sheetName val="Cabañas Vice Presidenciales"/>
      <sheetName val="Calles, aceras y contenes"/>
      <sheetName val="Edificio de Entrada"/>
      <sheetName val="Análisis"/>
      <sheetName val="Insumos"/>
      <sheetName val="Hoja de presupuesto"/>
      <sheetName val="Edificio Administracion"/>
      <sheetName val="Cabañas Ejecutivas"/>
      <sheetName val="Caseta de planta"/>
      <sheetName val="Lomo"/>
      <sheetName val="Hoja Presentacion (3)"/>
      <sheetName val="Hoja Presentacion (2)"/>
      <sheetName val="Hoja Presentacion Plastbau"/>
      <sheetName val="Hoja Presentacion Convencional"/>
      <sheetName val="Hoja Presentacion"/>
      <sheetName val="Analisis Plastbau "/>
      <sheetName val="HOTEL SUNSCAPE EDF. I"/>
      <sheetName val="HOTEL SUNSCAPE EDF. I I Y V"/>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HOTEL SUNSCAPE EDF. VIII"/>
      <sheetName val="Resumen Hotel Sunscape II"/>
      <sheetName val="Muros Interiores h=2.8 m "/>
      <sheetName val="HOTEL SUNSCAPE EDF. III"/>
      <sheetName val="HOTEL SUNSCAPE EDF. II"/>
      <sheetName val="HOTEL SUNSCAPE EDF. IX"/>
      <sheetName val="HOTEL SUNSCAPE EDF. V"/>
      <sheetName val="HOTEL SUNSCAPE EDF. IV"/>
      <sheetName val="Resumen Hotel Sunscape copia."/>
      <sheetName val="Presentacion Hotel Sunscape "/>
      <sheetName val="Hoja Presentacion "/>
      <sheetName val="Cubicación"/>
      <sheetName val="Materiales"/>
      <sheetName val="ANALISIS HORMIGON ARMADO"/>
      <sheetName val="LISTA DE MATERIALES"/>
      <sheetName val="Ana"/>
      <sheetName val="Ana. blocks y termin."/>
      <sheetName val="Costos Mano de Obra"/>
      <sheetName val="Insumos materiales"/>
      <sheetName val="Ana. Horm mexc mort"/>
    </sheetNames>
    <sheetDataSet>
      <sheetData sheetId="0" refreshError="1"/>
      <sheetData sheetId="1" refreshError="1">
        <row r="21">
          <cell r="D21">
            <v>1314906.1857016287</v>
          </cell>
        </row>
        <row r="23">
          <cell r="D23">
            <v>2990883.649645336</v>
          </cell>
        </row>
        <row r="24">
          <cell r="D24">
            <v>1806093.8399999999</v>
          </cell>
        </row>
        <row r="25">
          <cell r="D25">
            <v>287006.09240701469</v>
          </cell>
        </row>
        <row r="26">
          <cell r="D26">
            <v>600000</v>
          </cell>
        </row>
        <row r="32">
          <cell r="F32">
            <v>59613800.43383681</v>
          </cell>
        </row>
      </sheetData>
      <sheetData sheetId="2" refreshError="1"/>
      <sheetData sheetId="3" refreshError="1"/>
      <sheetData sheetId="4" refreshError="1">
        <row r="106">
          <cell r="G106">
            <v>1452664.2717140752</v>
          </cell>
        </row>
      </sheetData>
      <sheetData sheetId="5" refreshError="1">
        <row r="106">
          <cell r="G106">
            <v>1421956.8064897507</v>
          </cell>
        </row>
      </sheetData>
      <sheetData sheetId="6" refreshError="1">
        <row r="21">
          <cell r="E21">
            <v>30</v>
          </cell>
        </row>
        <row r="107">
          <cell r="G107">
            <v>1409090.7024497506</v>
          </cell>
        </row>
      </sheetData>
      <sheetData sheetId="7" refreshError="1">
        <row r="49">
          <cell r="D49">
            <v>150</v>
          </cell>
        </row>
        <row r="161">
          <cell r="G161">
            <v>3341748.5683191428</v>
          </cell>
        </row>
      </sheetData>
      <sheetData sheetId="8" refreshError="1">
        <row r="157">
          <cell r="G157">
            <v>2629812.3714032574</v>
          </cell>
        </row>
      </sheetData>
      <sheetData sheetId="9" refreshError="1">
        <row r="77">
          <cell r="G77">
            <v>8359323.2016874002</v>
          </cell>
        </row>
      </sheetData>
      <sheetData sheetId="10" refreshError="1">
        <row r="77">
          <cell r="G77">
            <v>621140.25180400361</v>
          </cell>
        </row>
      </sheetData>
      <sheetData sheetId="11" refreshError="1">
        <row r="49">
          <cell r="D49">
            <v>150</v>
          </cell>
        </row>
        <row r="105">
          <cell r="D105">
            <v>2649.6400000000003</v>
          </cell>
        </row>
        <row r="120">
          <cell r="D120">
            <v>3084.55</v>
          </cell>
        </row>
        <row r="138">
          <cell r="D138">
            <v>3746.4657613846157</v>
          </cell>
        </row>
        <row r="148">
          <cell r="D148">
            <v>8759.6139999999996</v>
          </cell>
        </row>
        <row r="156">
          <cell r="D156">
            <v>7227.72</v>
          </cell>
        </row>
        <row r="164">
          <cell r="D164">
            <v>7365.95</v>
          </cell>
        </row>
        <row r="173">
          <cell r="D173">
            <v>5765.4363104433687</v>
          </cell>
        </row>
        <row r="182">
          <cell r="D182">
            <v>9313.451155384615</v>
          </cell>
        </row>
        <row r="200">
          <cell r="D200">
            <v>6693.3966666666665</v>
          </cell>
        </row>
        <row r="209">
          <cell r="D209">
            <v>5176.5506666666661</v>
          </cell>
        </row>
        <row r="218">
          <cell r="D218">
            <v>4991.54</v>
          </cell>
        </row>
        <row r="230">
          <cell r="D230">
            <v>4386.2560994538471</v>
          </cell>
        </row>
        <row r="241">
          <cell r="D241">
            <v>3070.48</v>
          </cell>
        </row>
        <row r="256">
          <cell r="D256">
            <v>4206.2299999999996</v>
          </cell>
        </row>
        <row r="274">
          <cell r="D274">
            <v>1777.8110323846156</v>
          </cell>
        </row>
        <row r="286">
          <cell r="D286">
            <v>4816.92</v>
          </cell>
        </row>
        <row r="306">
          <cell r="D306">
            <v>377.70847206000002</v>
          </cell>
        </row>
        <row r="365">
          <cell r="D365">
            <v>284.03647999999998</v>
          </cell>
        </row>
        <row r="415">
          <cell r="D415">
            <v>595.61825599999997</v>
          </cell>
        </row>
        <row r="427">
          <cell r="D427">
            <v>639.838256</v>
          </cell>
        </row>
        <row r="438">
          <cell r="D438">
            <v>693.07825600000001</v>
          </cell>
        </row>
        <row r="449">
          <cell r="D449">
            <v>563.11809600000004</v>
          </cell>
        </row>
        <row r="460">
          <cell r="D460">
            <v>493.52857599999993</v>
          </cell>
        </row>
        <row r="471">
          <cell r="D471">
            <v>1369.4382560000001</v>
          </cell>
        </row>
        <row r="491">
          <cell r="D491">
            <v>1053.4291840000001</v>
          </cell>
        </row>
        <row r="501">
          <cell r="D501">
            <v>156.43090943999999</v>
          </cell>
        </row>
        <row r="512">
          <cell r="D512">
            <v>1446.1291840000001</v>
          </cell>
        </row>
        <row r="522">
          <cell r="D522">
            <v>810.20918399999994</v>
          </cell>
        </row>
        <row r="532">
          <cell r="D532">
            <v>121.89090944</v>
          </cell>
        </row>
        <row r="541">
          <cell r="D541">
            <v>705.20918399999994</v>
          </cell>
        </row>
        <row r="551">
          <cell r="D551">
            <v>106.89090944</v>
          </cell>
        </row>
        <row r="560">
          <cell r="D560">
            <v>600.20918399999994</v>
          </cell>
        </row>
        <row r="570">
          <cell r="D570">
            <v>91.890909440000001</v>
          </cell>
        </row>
        <row r="580">
          <cell r="D580">
            <v>383.12918399999995</v>
          </cell>
        </row>
        <row r="591">
          <cell r="D591">
            <v>1075.2</v>
          </cell>
        </row>
        <row r="601">
          <cell r="D601">
            <v>402.22159319999997</v>
          </cell>
        </row>
        <row r="610">
          <cell r="D610">
            <v>1470.2215932000001</v>
          </cell>
        </row>
        <row r="620">
          <cell r="D620">
            <v>339.22159319999997</v>
          </cell>
        </row>
        <row r="629">
          <cell r="D629">
            <v>416.86012399999998</v>
          </cell>
        </row>
        <row r="638">
          <cell r="D638">
            <v>1204.0245920000002</v>
          </cell>
        </row>
        <row r="645">
          <cell r="D645">
            <v>506.42459200000008</v>
          </cell>
        </row>
        <row r="658">
          <cell r="D658">
            <v>19014.945350968199</v>
          </cell>
        </row>
        <row r="755">
          <cell r="D755">
            <v>7451.79</v>
          </cell>
        </row>
        <row r="765">
          <cell r="D765">
            <v>5604.04</v>
          </cell>
        </row>
        <row r="775">
          <cell r="D775">
            <v>7150.7099999999991</v>
          </cell>
        </row>
        <row r="785">
          <cell r="D785">
            <v>9347.5483000000004</v>
          </cell>
        </row>
        <row r="915">
          <cell r="D915">
            <v>320.57281386599999</v>
          </cell>
        </row>
        <row r="933">
          <cell r="D933">
            <v>5411.1733461538461</v>
          </cell>
        </row>
        <row r="1004">
          <cell r="D1004">
            <v>6508.3639569669222</v>
          </cell>
        </row>
        <row r="1018">
          <cell r="D1018">
            <v>5615.9402461538457</v>
          </cell>
        </row>
        <row r="1112">
          <cell r="D1112">
            <v>743.03258760000006</v>
          </cell>
        </row>
        <row r="1202">
          <cell r="D1202">
            <v>185.83776800000001</v>
          </cell>
        </row>
        <row r="1212">
          <cell r="D1212">
            <v>374.06856796207995</v>
          </cell>
        </row>
        <row r="1816">
          <cell r="F1816">
            <v>101540.4</v>
          </cell>
        </row>
        <row r="1956">
          <cell r="F1956">
            <v>75726.179999999993</v>
          </cell>
        </row>
      </sheetData>
      <sheetData sheetId="12" refreshError="1">
        <row r="21">
          <cell r="E21">
            <v>30</v>
          </cell>
        </row>
        <row r="25">
          <cell r="E25">
            <v>220</v>
          </cell>
        </row>
        <row r="35">
          <cell r="E35">
            <v>1960</v>
          </cell>
        </row>
        <row r="37">
          <cell r="E37">
            <v>2066</v>
          </cell>
        </row>
        <row r="39">
          <cell r="E39">
            <v>2156</v>
          </cell>
        </row>
        <row r="42">
          <cell r="E42">
            <v>28600</v>
          </cell>
        </row>
        <row r="48">
          <cell r="E48">
            <v>130</v>
          </cell>
        </row>
        <row r="60">
          <cell r="E60">
            <v>280</v>
          </cell>
        </row>
        <row r="61">
          <cell r="E61">
            <v>280</v>
          </cell>
        </row>
        <row r="62">
          <cell r="E62">
            <v>280</v>
          </cell>
        </row>
        <row r="63">
          <cell r="E63">
            <v>280</v>
          </cell>
        </row>
        <row r="64">
          <cell r="E64">
            <v>280</v>
          </cell>
        </row>
        <row r="66">
          <cell r="E66">
            <v>125</v>
          </cell>
        </row>
        <row r="69">
          <cell r="E69">
            <v>43.2</v>
          </cell>
        </row>
        <row r="70">
          <cell r="E70">
            <v>190</v>
          </cell>
        </row>
        <row r="71">
          <cell r="E71">
            <v>312</v>
          </cell>
        </row>
        <row r="84">
          <cell r="E84">
            <v>5</v>
          </cell>
        </row>
        <row r="91">
          <cell r="E91">
            <v>70</v>
          </cell>
        </row>
        <row r="108">
          <cell r="E108">
            <v>40</v>
          </cell>
        </row>
        <row r="112">
          <cell r="E112">
            <v>4.5</v>
          </cell>
        </row>
        <row r="136">
          <cell r="E136">
            <v>15</v>
          </cell>
        </row>
        <row r="137">
          <cell r="E137">
            <v>36.880000000000003</v>
          </cell>
        </row>
        <row r="142">
          <cell r="E142">
            <v>350</v>
          </cell>
        </row>
        <row r="155">
          <cell r="E155">
            <v>20</v>
          </cell>
        </row>
        <row r="162">
          <cell r="E162">
            <v>289.55</v>
          </cell>
        </row>
        <row r="164">
          <cell r="E164">
            <v>35</v>
          </cell>
        </row>
        <row r="167">
          <cell r="E167">
            <v>150</v>
          </cell>
        </row>
        <row r="168">
          <cell r="E168">
            <v>30</v>
          </cell>
        </row>
        <row r="170">
          <cell r="E170">
            <v>110</v>
          </cell>
        </row>
        <row r="171">
          <cell r="E171">
            <v>120</v>
          </cell>
        </row>
        <row r="172">
          <cell r="E172">
            <v>110</v>
          </cell>
        </row>
        <row r="173">
          <cell r="E173">
            <v>55</v>
          </cell>
        </row>
        <row r="174">
          <cell r="E174">
            <v>140</v>
          </cell>
        </row>
        <row r="175">
          <cell r="E175">
            <v>140</v>
          </cell>
        </row>
        <row r="176">
          <cell r="E176">
            <v>190</v>
          </cell>
        </row>
        <row r="177">
          <cell r="E177">
            <v>250</v>
          </cell>
        </row>
        <row r="178">
          <cell r="E178">
            <v>200</v>
          </cell>
        </row>
        <row r="179">
          <cell r="E179">
            <v>230</v>
          </cell>
        </row>
        <row r="180">
          <cell r="E180">
            <v>250</v>
          </cell>
        </row>
      </sheetData>
      <sheetData sheetId="13" refreshError="1">
        <row r="173">
          <cell r="G173">
            <v>0</v>
          </cell>
        </row>
      </sheetData>
      <sheetData sheetId="14" refreshError="1">
        <row r="112">
          <cell r="G112">
            <v>2990883.649645336</v>
          </cell>
        </row>
      </sheetData>
      <sheetData sheetId="15" refreshError="1">
        <row r="109">
          <cell r="G109">
            <v>1777509.2737094555</v>
          </cell>
        </row>
      </sheetData>
      <sheetData sheetId="16" refreshError="1">
        <row r="71">
          <cell r="H71">
            <v>287006.09240701469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Hoja1"/>
      <sheetName val="Hoja2"/>
      <sheetName val="Hoja3"/>
      <sheetName val="presupuesto"/>
      <sheetName val="analisis basicos"/>
      <sheetName val="ANALISIS "/>
      <sheetName val="COLOCACION DE TUBERIA"/>
      <sheetName val="C.D.C., C.Op. y C.G."/>
      <sheetName val="Malla Ciclónica y Muros Blo "/>
      <sheetName val="RECLAMACION 3"/>
      <sheetName val="via"/>
      <sheetName val="GONZALO"/>
      <sheetName val="MATERIALES LISTADO"/>
      <sheetName val="Insumos"/>
      <sheetName val="Análisis"/>
      <sheetName val="INS"/>
      <sheetName val="M_O_"/>
      <sheetName val="Analisis_(2)"/>
      <sheetName val="analisis_basicos"/>
      <sheetName val="ANALISIS_"/>
      <sheetName val="COLOCACION_DE_TUBERIA"/>
      <sheetName val="C_D_C_,_C_Op__y_C_G_"/>
      <sheetName val="Malla_Ciclónica_y_Muros_Blo_"/>
      <sheetName val="RECLAMACION_3"/>
      <sheetName val="MATERIALES_LISTADO"/>
      <sheetName val="M_O_1"/>
      <sheetName val="Analisis_(2)1"/>
      <sheetName val="analisis_basicos1"/>
      <sheetName val="ANALISIS_1"/>
      <sheetName val="COLOCACION_DE_TUBERIA1"/>
      <sheetName val="C_D_C_,_C_Op__y_C_G_1"/>
      <sheetName val="Malla_Ciclónica_y_Muros_Blo_1"/>
      <sheetName val="RECLAMACION_31"/>
      <sheetName val="MATERIALES_LISTADO1"/>
      <sheetName val="M_O_2"/>
      <sheetName val="Analisis_(2)2"/>
      <sheetName val="analisis_basicos2"/>
      <sheetName val="ANALISIS_2"/>
      <sheetName val="COLOCACION_DE_TUBERIA2"/>
      <sheetName val="C_D_C_,_C_Op__y_C_G_2"/>
      <sheetName val="Malla_Ciclónica_y_Muros_Blo_2"/>
      <sheetName val="RECLAMACION_32"/>
      <sheetName val="MATERIALES_LISTADO2"/>
      <sheetName val="M_O_3"/>
      <sheetName val="Analisis_(2)3"/>
      <sheetName val="analisis_basicos3"/>
      <sheetName val="ANALISIS_3"/>
      <sheetName val="COLOCACION_DE_TUBERIA3"/>
      <sheetName val="C_D_C_,_C_Op__y_C_G_3"/>
      <sheetName val="Malla_Ciclónica_y_Muros_Blo_3"/>
      <sheetName val="RECLAMACION_33"/>
      <sheetName val="MATERIALES_LISTADO3"/>
      <sheetName val="MATERIALES"/>
      <sheetName val="OBRAMANO"/>
      <sheetName val="EQUIPOS"/>
      <sheetName val="M_O_4"/>
      <sheetName val="Analisis_(2)4"/>
      <sheetName val="analisis_basicos4"/>
      <sheetName val="ANALISIS_4"/>
      <sheetName val="COLOCACION_DE_TUBERIA4"/>
      <sheetName val="C_D_C_,_C_Op__y_C_G_4"/>
      <sheetName val="Malla_Ciclónica_y_Muros_Blo_4"/>
      <sheetName val="RECLAMACION_34"/>
      <sheetName val="MATERIALES_LISTADO4"/>
      <sheetName val="M_O_5"/>
      <sheetName val="Analisis_(2)5"/>
      <sheetName val="analisis_basicos5"/>
      <sheetName val="ANALISIS_5"/>
      <sheetName val="COLOCACION_DE_TUBERIA5"/>
      <sheetName val="C_D_C_,_C_Op__y_C_G_5"/>
      <sheetName val="Malla_Ciclónica_y_Muros_Blo_5"/>
      <sheetName val="RECLAMACION_35"/>
      <sheetName val="MATERIALES_LISTADO5"/>
      <sheetName val="INSU"/>
      <sheetName val="MO"/>
      <sheetName val="Mat"/>
      <sheetName val="anal term"/>
      <sheetName val="Jornal"/>
      <sheetName val="Sheet4"/>
      <sheetName val="Sheet5"/>
      <sheetName val="caseta de planta"/>
      <sheetName val="Analisis BC"/>
    </sheetNames>
    <sheetDataSet>
      <sheetData sheetId="0" refreshError="1">
        <row r="9">
          <cell r="C9">
            <v>1525</v>
          </cell>
        </row>
        <row r="10">
          <cell r="C10">
            <v>578</v>
          </cell>
        </row>
        <row r="12">
          <cell r="C12">
            <v>356</v>
          </cell>
        </row>
      </sheetData>
      <sheetData sheetId="1" refreshError="1"/>
      <sheetData sheetId="2" refreshError="1"/>
      <sheetData sheetId="3" refreshError="1"/>
      <sheetData sheetId="4">
        <row r="9">
          <cell r="C9">
            <v>1</v>
          </cell>
        </row>
      </sheetData>
      <sheetData sheetId="5" refreshError="1"/>
      <sheetData sheetId="6" refreshError="1"/>
      <sheetData sheetId="7">
        <row r="9">
          <cell r="C9">
            <v>1</v>
          </cell>
        </row>
      </sheetData>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ow r="9">
          <cell r="C9">
            <v>1525</v>
          </cell>
        </row>
      </sheetData>
      <sheetData sheetId="21">
        <row r="9">
          <cell r="C9">
            <v>1525</v>
          </cell>
        </row>
      </sheetData>
      <sheetData sheetId="22"/>
      <sheetData sheetId="23">
        <row r="9">
          <cell r="C9">
            <v>1525</v>
          </cell>
        </row>
      </sheetData>
      <sheetData sheetId="24"/>
      <sheetData sheetId="25"/>
      <sheetData sheetId="26"/>
      <sheetData sheetId="27"/>
      <sheetData sheetId="28">
        <row r="9">
          <cell r="C9">
            <v>1525</v>
          </cell>
        </row>
      </sheetData>
      <sheetData sheetId="29">
        <row r="9">
          <cell r="C9">
            <v>1525</v>
          </cell>
        </row>
      </sheetData>
      <sheetData sheetId="30">
        <row r="9">
          <cell r="C9">
            <v>1525</v>
          </cell>
        </row>
      </sheetData>
      <sheetData sheetId="31"/>
      <sheetData sheetId="32"/>
      <sheetData sheetId="33"/>
      <sheetData sheetId="34"/>
      <sheetData sheetId="35"/>
      <sheetData sheetId="36">
        <row r="9">
          <cell r="C9">
            <v>1525</v>
          </cell>
        </row>
      </sheetData>
      <sheetData sheetId="37">
        <row r="9">
          <cell r="C9">
            <v>1525</v>
          </cell>
        </row>
      </sheetData>
      <sheetData sheetId="38"/>
      <sheetData sheetId="39"/>
      <sheetData sheetId="40">
        <row r="9">
          <cell r="C9">
            <v>1525</v>
          </cell>
        </row>
      </sheetData>
      <sheetData sheetId="41"/>
      <sheetData sheetId="42"/>
      <sheetData sheetId="43"/>
      <sheetData sheetId="44"/>
      <sheetData sheetId="45">
        <row r="9">
          <cell r="C9">
            <v>1525</v>
          </cell>
        </row>
      </sheetData>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REC. 2"/>
      <sheetName val="analisis rec.2"/>
      <sheetName val="MEMO (2)"/>
      <sheetName val="Módulo1"/>
    </sheetNames>
    <sheetDataSet>
      <sheetData sheetId="0"/>
      <sheetData sheetId="1">
        <row r="1710">
          <cell r="F1710">
            <v>41829857.560000002</v>
          </cell>
        </row>
      </sheetData>
      <sheetData sheetId="2"/>
      <sheetData sheetId="3"/>
      <sheetData sheetId="4">
        <row r="1757">
          <cell r="F1757">
            <v>44557056.409999996</v>
          </cell>
        </row>
      </sheetData>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sheetName val="MORTEROS Y HR"/>
      <sheetName val="GASTOS INDIR."/>
      <sheetName val="CANAL BOHECHIO"/>
      <sheetName val="COMUNES"/>
      <sheetName val="P CASAS 1"/>
      <sheetName val="P CASA 2"/>
      <sheetName val="MATERIALES LISTADO"/>
      <sheetName val="EQUIPOS LISTADO"/>
      <sheetName val="MANO OBRA LISTADO"/>
      <sheetName val="REMOCION COMPUERTA"/>
      <sheetName val="BOMBAS DE AGUA"/>
      <sheetName val="Análisis"/>
      <sheetName val="Insumos"/>
      <sheetName val="Cabañas Ejecutivas"/>
      <sheetName val="Cabañas Presidenciales "/>
      <sheetName val="Cabañas simple Tipo I"/>
      <sheetName val="Cabañas simple Tipo 2"/>
      <sheetName val="Cabañas simple Tipo 3"/>
      <sheetName val="Cabañas Vice Presidenciales"/>
      <sheetName val="Calles, aceras y contenes"/>
      <sheetName val="Resumen"/>
      <sheetName val="Caseta de planta"/>
      <sheetName val="Edificio Administracion"/>
      <sheetName val="Edificio de Entrada"/>
      <sheetName val="Hoja de presupuesto"/>
      <sheetName val="Precio"/>
      <sheetName val="Análisis de Precios"/>
      <sheetName val="ANALISIS STO DGO"/>
      <sheetName val="Analisis"/>
      <sheetName val="MORTEROS_Y_HR"/>
      <sheetName val="GASTOS_INDIR_"/>
      <sheetName val="CANAL_BOHECHIO"/>
      <sheetName val="P_CASAS_1"/>
      <sheetName val="P_CASA_2"/>
      <sheetName val="MATERIALES_LISTADO"/>
      <sheetName val="EQUIPOS_LISTADO"/>
      <sheetName val="MANO_OBRA_LISTADO"/>
      <sheetName val="REMOCION_COMPUERTA"/>
      <sheetName val="BOMBAS_DE_AGUA"/>
      <sheetName val="Análisis_de_Precios"/>
      <sheetName val="MORTEROS_Y_HR1"/>
      <sheetName val="GASTOS_INDIR_1"/>
      <sheetName val="CANAL_BOHECHIO1"/>
      <sheetName val="P_CASAS_11"/>
      <sheetName val="P_CASA_21"/>
      <sheetName val="MATERIALES_LISTADO1"/>
      <sheetName val="EQUIPOS_LISTADO1"/>
      <sheetName val="MANO_OBRA_LISTADO1"/>
      <sheetName val="REMOCION_COMPUERTA1"/>
      <sheetName val="BOMBAS_DE_AGUA1"/>
      <sheetName val="Análisis_de_Precios1"/>
      <sheetName val="Materiales"/>
      <sheetName val="Datos"/>
      <sheetName val="Sheet4"/>
      <sheetName val="Sheet5"/>
      <sheetName val="Cabañas_Ejecutivas"/>
      <sheetName val="Cabañas_Presidenciales_"/>
      <sheetName val="Cabañas_simple_Tipo_I"/>
      <sheetName val="Cabañas_simple_Tipo_2"/>
      <sheetName val="Cabañas_simple_Tipo_3"/>
      <sheetName val="Cabañas_Vice_Presidenciales"/>
      <sheetName val="Calles,_aceras_y_contenes"/>
      <sheetName val="Caseta_de_planta"/>
      <sheetName val="Edificio_Administracion"/>
      <sheetName val="Edificio_de_Entrada"/>
      <sheetName val="Hoja_de_presupuesto"/>
      <sheetName val="Cabañas_Ejecutivas1"/>
      <sheetName val="Cabañas_Presidenciales_1"/>
      <sheetName val="Cabañas_simple_Tipo_I1"/>
      <sheetName val="Cabañas_simple_Tipo_21"/>
      <sheetName val="Cabañas_simple_Tipo_31"/>
      <sheetName val="Cabañas_Vice_Presidenciales1"/>
      <sheetName val="Calles,_aceras_y_contenes1"/>
      <sheetName val="Caseta_de_planta1"/>
      <sheetName val="Edificio_Administracion1"/>
      <sheetName val="Edificio_de_Entrada1"/>
      <sheetName val="Hoja_de_presupuesto1"/>
      <sheetName val="MORTEROS_Y_HR2"/>
      <sheetName val="GASTOS_INDIR_2"/>
      <sheetName val="CANAL_BOHECHIO2"/>
      <sheetName val="P_CASAS_12"/>
      <sheetName val="P_CASA_22"/>
      <sheetName val="MATERIALES_LISTADO2"/>
      <sheetName val="EQUIPOS_LISTADO2"/>
      <sheetName val="MANO_OBRA_LISTADO2"/>
      <sheetName val="REMOCION_COMPUERTA2"/>
      <sheetName val="BOMBAS_DE_AGUA2"/>
      <sheetName val="Cabañas_Ejecutivas2"/>
      <sheetName val="Cabañas_Presidenciales_2"/>
      <sheetName val="Cabañas_simple_Tipo_I2"/>
      <sheetName val="Cabañas_simple_Tipo_22"/>
      <sheetName val="Cabañas_simple_Tipo_32"/>
      <sheetName val="Cabañas_Vice_Presidenciales2"/>
      <sheetName val="Calles,_aceras_y_contenes2"/>
      <sheetName val="Caseta_de_planta2"/>
      <sheetName val="Edificio_Administracion2"/>
      <sheetName val="Edificio_de_Entrada2"/>
      <sheetName val="Hoja_de_presupuesto2"/>
      <sheetName val="análisis_de_precios2"/>
      <sheetName val="MORTEROS_Y_HR3"/>
      <sheetName val="GASTOS_INDIR_3"/>
      <sheetName val="CANAL_BOHECHIO3"/>
      <sheetName val="P_CASAS_13"/>
      <sheetName val="P_CASA_23"/>
      <sheetName val="MATERIALES_LISTADO3"/>
      <sheetName val="EQUIPOS_LISTADO3"/>
      <sheetName val="MANO_OBRA_LISTADO3"/>
      <sheetName val="REMOCION_COMPUERTA3"/>
      <sheetName val="BOMBAS_DE_AGUA3"/>
      <sheetName val="Cabañas_Ejecutivas3"/>
      <sheetName val="Cabañas_Presidenciales_3"/>
      <sheetName val="Cabañas_simple_Tipo_I3"/>
      <sheetName val="Cabañas_simple_Tipo_23"/>
      <sheetName val="Cabañas_simple_Tipo_33"/>
      <sheetName val="Cabañas_Vice_Presidenciales3"/>
      <sheetName val="Calles,_aceras_y_contenes3"/>
      <sheetName val="Caseta_de_planta3"/>
      <sheetName val="Edificio_Administracion3"/>
      <sheetName val="Edificio_de_Entrada3"/>
      <sheetName val="Hoja_de_presupuesto3"/>
      <sheetName val="análisis_de_precios3"/>
      <sheetName val="ANALISIS_STO_DGO"/>
      <sheetName val="ANALISIS_STO_DG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0.5</v>
          </cell>
        </row>
        <row r="9">
          <cell r="D9">
            <v>180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8">
          <cell r="D8">
            <v>0.5</v>
          </cell>
        </row>
      </sheetData>
      <sheetData sheetId="34">
        <row r="8">
          <cell r="D8">
            <v>0.5</v>
          </cell>
        </row>
      </sheetData>
      <sheetData sheetId="35">
        <row r="8">
          <cell r="D8">
            <v>0.5</v>
          </cell>
        </row>
      </sheetData>
      <sheetData sheetId="36">
        <row r="8">
          <cell r="D8">
            <v>0.5</v>
          </cell>
        </row>
      </sheetData>
      <sheetData sheetId="37">
        <row r="8">
          <cell r="D8">
            <v>0.5</v>
          </cell>
        </row>
      </sheetData>
      <sheetData sheetId="38"/>
      <sheetData sheetId="39">
        <row r="8">
          <cell r="D8">
            <v>0.5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Horm."/>
      <sheetName val="Insumos"/>
      <sheetName val="Análisis"/>
      <sheetName val="Presupuesto"/>
      <sheetName val="Materiales"/>
      <sheetName val="Detalle Acero"/>
    </sheetNames>
    <sheetDataSet>
      <sheetData sheetId="0" refreshError="1"/>
      <sheetData sheetId="1" refreshError="1">
        <row r="14">
          <cell r="C14">
            <v>250</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s>
    <sheetDataSet>
      <sheetData sheetId="0" refreshError="1">
        <row r="10">
          <cell r="C10">
            <v>578</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ENDA"/>
      <sheetName val="CADRO EXPLICATIVO"/>
      <sheetName val="Módulo1"/>
      <sheetName val="INS"/>
      <sheetName val="Cornisa de 2.62 pie"/>
      <sheetName val="Cornisa de 2 pie"/>
      <sheetName val="Muros Interiores h=2.8 m "/>
      <sheetName val="MurosInt.h=2.8 m Plycem 2 lados"/>
      <sheetName val="MurosInt.h=2.8 m U C con plycem"/>
      <sheetName val="Plafond Sheetrock"/>
      <sheetName val="Analisis Unitarios"/>
      <sheetName val="CADRO_EXPLICATIVO"/>
      <sheetName val="Cornisa_de_2_62_pie"/>
      <sheetName val="Cornisa_de_2_pie"/>
      <sheetName val="Muros_Interiores_h=2_8_m_"/>
      <sheetName val="MurosInt_h=2_8_m_Plycem_2_lados"/>
      <sheetName val="MurosInt_h=2_8_m_U_C_con_plycem"/>
      <sheetName val="Plafond_Sheetrock"/>
      <sheetName val="Analisis_Unitarios"/>
      <sheetName val="CADRO_EXPLICATIVO1"/>
      <sheetName val="Cornisa_de_2_62_pie1"/>
      <sheetName val="Cornisa_de_2_pie1"/>
      <sheetName val="Muros_Interiores_h=2_8_m_1"/>
      <sheetName val="MurosInt_h=2_8_m_Plycem_2_lado1"/>
      <sheetName val="MurosInt_h=2_8_m_U_C_con_plyce1"/>
      <sheetName val="Plafond_Sheetrock1"/>
      <sheetName val="Analisis_Unitarios1"/>
      <sheetName val="CADRO_EXPLICATIVO2"/>
      <sheetName val="Cornisa_de_2_62_pie2"/>
      <sheetName val="Cornisa_de_2_pie2"/>
      <sheetName val="Muros_Interiores_h=2_8_m_2"/>
      <sheetName val="MurosInt_h=2_8_m_Plycem_2_lado2"/>
      <sheetName val="MurosInt_h=2_8_m_U_C_con_plyce2"/>
      <sheetName val="Plafond_Sheetrock2"/>
      <sheetName val="Analisis_Unitarios2"/>
      <sheetName val="CADRO_EXPLICATIVO3"/>
      <sheetName val="Cornisa_de_2_62_pie3"/>
      <sheetName val="Cornisa_de_2_pie3"/>
      <sheetName val="Muros_Interiores_h=2_8_m_3"/>
      <sheetName val="MurosInt_h=2_8_m_Plycem_2_lado3"/>
      <sheetName val="MurosInt_h=2_8_m_U_C_con_plyce3"/>
      <sheetName val="Plafond_Sheetrock3"/>
      <sheetName val="Analisis_Unitarios3"/>
      <sheetName val="CADRO_EXPLICATIVO4"/>
      <sheetName val="Cornisa_de_2_62_pie4"/>
      <sheetName val="Cornisa_de_2_pie4"/>
      <sheetName val="Muros_Interiores_h=2_8_m_4"/>
      <sheetName val="MurosInt_h=2_8_m_Plycem_2_lado4"/>
      <sheetName val="MurosInt_h=2_8_m_U_C_con_plyce4"/>
      <sheetName val="Plafond_Sheetrock4"/>
      <sheetName val="Analisis_Unitarios4"/>
      <sheetName val="CADRO_EXPLICATIVO5"/>
      <sheetName val="Cornisa_de_2_62_pie5"/>
      <sheetName val="Cornisa_de_2_pie5"/>
      <sheetName val="Muros_Interiores_h=2_8_m_5"/>
      <sheetName val="MurosInt_h=2_8_m_Plycem_2_lado5"/>
      <sheetName val="MurosInt_h=2_8_m_U_C_con_plyce5"/>
      <sheetName val="Plafond_Sheetrock5"/>
      <sheetName val="Analisis_Unitarios5"/>
      <sheetName val="Desembolso de Caja"/>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resupuesto"/>
      <sheetName val="Sheet2"/>
      <sheetName val="Sheet3"/>
      <sheetName val="Prec."/>
      <sheetName val="Ana.term"/>
      <sheetName val="PRESUP."/>
      <sheetName val="Insumos"/>
      <sheetName val="V.Tierras A"/>
      <sheetName val="Volumenes"/>
      <sheetName val="anal term"/>
      <sheetName val="Ana-Sanit."/>
      <sheetName val="Jornal"/>
      <sheetName val="Pu-Sanit."/>
      <sheetName val="PU-Elect."/>
      <sheetName val="Anal. horm."/>
      <sheetName val="M. O. exc."/>
      <sheetName val="Ana-elect."/>
      <sheetName val="Mat"/>
      <sheetName val="puertas"/>
      <sheetName val="m.t C"/>
      <sheetName val="I.HORMIGON"/>
      <sheetName val="A"/>
      <sheetName val="Mano de Obra"/>
      <sheetName val="Subcontratos"/>
      <sheetName val="Analisis "/>
      <sheetName val="Analisis H.A. "/>
      <sheetName val="Mezcla"/>
      <sheetName val="Insumos sanitarios"/>
      <sheetName val="Mano de Obra Sanitaria"/>
      <sheetName val="Analisis Sanitarios"/>
      <sheetName val="insumos ELECT"/>
      <sheetName val="mano de obra ELECT"/>
      <sheetName val="anal.elect."/>
      <sheetName val="tarifa equipo"/>
      <sheetName val="ANAMOVTIE"/>
      <sheetName val="Prec_"/>
      <sheetName val="Ana_term"/>
      <sheetName val="PRESUP_"/>
      <sheetName val="Prec_1"/>
      <sheetName val="Ana_term1"/>
      <sheetName val="PRESUP_1"/>
      <sheetName val="Prec_2"/>
      <sheetName val="Ana_term2"/>
      <sheetName val="PRESUP_2"/>
      <sheetName val="Prec_3"/>
      <sheetName val="Ana_term3"/>
      <sheetName val="PRESUP_3"/>
      <sheetName val="insumo"/>
      <sheetName val="exteriores"/>
      <sheetName val="Obra de Mano"/>
      <sheetName val="mov. tierra"/>
      <sheetName val="Análisis de Precios"/>
      <sheetName val="Sheet4"/>
      <sheetName val="Sheet5"/>
      <sheetName val="caseta de planta"/>
      <sheetName val="Prec_4"/>
      <sheetName val="Ana_term4"/>
      <sheetName val="PRESUP_4"/>
      <sheetName val="Prec_5"/>
      <sheetName val="Ana_term5"/>
      <sheetName val="PRESUP_5"/>
      <sheetName val="V_Tierras_A"/>
      <sheetName val="V_Tierras_A1"/>
      <sheetName val="V_Tierras_A2"/>
      <sheetName val="V_Tierras_A3"/>
      <sheetName val="Análisis"/>
      <sheetName val="Analisis Unitarios"/>
      <sheetName val="Cargas Sociales"/>
      <sheetName val="Datos a Project"/>
      <sheetName val="Tarifas de Alquiler de Equipo"/>
    </sheetNames>
    <sheetDataSet>
      <sheetData sheetId="0">
        <row r="63">
          <cell r="D63">
            <v>5342</v>
          </cell>
        </row>
      </sheetData>
      <sheetData sheetId="1" refreshError="1"/>
      <sheetData sheetId="2" refreshError="1"/>
      <sheetData sheetId="3" refreshError="1"/>
      <sheetData sheetId="4">
        <row r="32">
          <cell r="C32">
            <v>157</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2">
          <cell r="C32">
            <v>157</v>
          </cell>
        </row>
      </sheetData>
      <sheetData sheetId="37"/>
      <sheetData sheetId="38"/>
      <sheetData sheetId="39">
        <row r="32">
          <cell r="C32">
            <v>157</v>
          </cell>
        </row>
      </sheetData>
      <sheetData sheetId="40">
        <row r="32">
          <cell r="C32">
            <v>157</v>
          </cell>
        </row>
      </sheetData>
      <sheetData sheetId="41"/>
      <sheetData sheetId="42">
        <row r="32">
          <cell r="C32">
            <v>157</v>
          </cell>
        </row>
      </sheetData>
      <sheetData sheetId="43">
        <row r="32">
          <cell r="C32">
            <v>157</v>
          </cell>
        </row>
      </sheetData>
      <sheetData sheetId="44"/>
      <sheetData sheetId="45">
        <row r="32">
          <cell r="C32">
            <v>157</v>
          </cell>
        </row>
      </sheetData>
      <sheetData sheetId="46">
        <row r="32">
          <cell r="C32">
            <v>157</v>
          </cell>
        </row>
      </sheetData>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32">
          <cell r="C32">
            <v>157</v>
          </cell>
        </row>
      </sheetData>
      <sheetData sheetId="57"/>
      <sheetData sheetId="58"/>
      <sheetData sheetId="59">
        <row r="32">
          <cell r="C32">
            <v>157</v>
          </cell>
        </row>
      </sheetData>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lub Ejec."/>
      <sheetName val="Edif. Hab."/>
      <sheetName val="Edif. Hab. (Platea)"/>
      <sheetName val="Lobby"/>
      <sheetName val="Rest. Buf. y Cocina"/>
      <sheetName val="Poblado comercial"/>
      <sheetName val="Anfiteatro"/>
      <sheetName val="Casino"/>
      <sheetName val="Club de Tennis"/>
      <sheetName val="Club de Piscina"/>
      <sheetName val="Piscina"/>
      <sheetName val="Análisis"/>
      <sheetName val="Club de Playa"/>
      <sheetName val="VIAS"/>
      <sheetName val="Resumen"/>
      <sheetName val="Resumen (2)"/>
      <sheetName val="Salón de Conv."/>
      <sheetName val="Discoteca"/>
      <sheetName val="Rest. Especialidades"/>
      <sheetName val="Edificio de Servicios"/>
      <sheetName val="PLOM. EXTERIOR"/>
      <sheetName val="ILUM. EXTERIOR"/>
      <sheetName val="GENERACION"/>
      <sheetName val="A.C."/>
      <sheetName val="adicional elect."/>
      <sheetName val="Presentación"/>
      <sheetName val="Analisis"/>
      <sheetName val="Osiades Est."/>
      <sheetName val="Analisis RELLENO"/>
      <sheetName val="Ins"/>
      <sheetName val="M.O."/>
      <sheetName val="Ins 2"/>
      <sheetName val="EQUIPOS"/>
      <sheetName val="MO"/>
    </sheetNames>
    <sheetDataSet>
      <sheetData sheetId="0" refreshError="1">
        <row r="4">
          <cell r="F4">
            <v>1</v>
          </cell>
        </row>
        <row r="30">
          <cell r="E30">
            <v>46.96</v>
          </cell>
        </row>
        <row r="31">
          <cell r="E31">
            <v>55.6</v>
          </cell>
        </row>
        <row r="32">
          <cell r="E32">
            <v>88</v>
          </cell>
        </row>
        <row r="78">
          <cell r="E78">
            <v>170</v>
          </cell>
        </row>
        <row r="79">
          <cell r="E79">
            <v>155</v>
          </cell>
        </row>
        <row r="90">
          <cell r="E90">
            <v>335</v>
          </cell>
        </row>
        <row r="91">
          <cell r="E91">
            <v>108</v>
          </cell>
        </row>
        <row r="198">
          <cell r="E198">
            <v>55</v>
          </cell>
        </row>
        <row r="199">
          <cell r="E199">
            <v>100</v>
          </cell>
        </row>
        <row r="200">
          <cell r="E200">
            <v>110</v>
          </cell>
        </row>
        <row r="201">
          <cell r="E201">
            <v>120</v>
          </cell>
        </row>
        <row r="202">
          <cell r="E202">
            <v>130</v>
          </cell>
        </row>
        <row r="203">
          <cell r="E203">
            <v>140</v>
          </cell>
        </row>
        <row r="204">
          <cell r="E204">
            <v>150</v>
          </cell>
        </row>
        <row r="205">
          <cell r="E205">
            <v>155</v>
          </cell>
        </row>
        <row r="206">
          <cell r="E206">
            <v>160</v>
          </cell>
        </row>
        <row r="208">
          <cell r="E208">
            <v>155</v>
          </cell>
        </row>
        <row r="209">
          <cell r="E209">
            <v>165</v>
          </cell>
        </row>
        <row r="211">
          <cell r="E211">
            <v>175</v>
          </cell>
        </row>
        <row r="212">
          <cell r="E212">
            <v>180</v>
          </cell>
        </row>
        <row r="213">
          <cell r="E213">
            <v>200</v>
          </cell>
        </row>
        <row r="215">
          <cell r="E215">
            <v>250</v>
          </cell>
        </row>
        <row r="216">
          <cell r="E216">
            <v>300</v>
          </cell>
        </row>
        <row r="217">
          <cell r="E217">
            <v>325</v>
          </cell>
        </row>
        <row r="218">
          <cell r="E218">
            <v>70</v>
          </cell>
        </row>
        <row r="219">
          <cell r="E219">
            <v>75</v>
          </cell>
        </row>
        <row r="222">
          <cell r="E222">
            <v>95</v>
          </cell>
        </row>
        <row r="223">
          <cell r="E223">
            <v>90</v>
          </cell>
        </row>
        <row r="225">
          <cell r="E225">
            <v>110</v>
          </cell>
        </row>
        <row r="226">
          <cell r="E226">
            <v>120</v>
          </cell>
        </row>
        <row r="227">
          <cell r="E227">
            <v>125</v>
          </cell>
        </row>
        <row r="229">
          <cell r="E229">
            <v>150</v>
          </cell>
        </row>
        <row r="230">
          <cell r="E230">
            <v>150</v>
          </cell>
        </row>
        <row r="231">
          <cell r="E231">
            <v>150</v>
          </cell>
        </row>
        <row r="232">
          <cell r="E232">
            <v>210</v>
          </cell>
        </row>
        <row r="233">
          <cell r="E233">
            <v>230</v>
          </cell>
        </row>
        <row r="235">
          <cell r="E235">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s>
    <sheetDataSet>
      <sheetData sheetId="0">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ow r="11">
          <cell r="B11">
            <v>1140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na. blocks y termin."/>
      <sheetName val="Costos Mano de Obra"/>
      <sheetName val="Insumos materiales"/>
      <sheetName val="Ana. Horm mexc mort"/>
      <sheetName val="ADDENDA"/>
      <sheetName val="Ins"/>
      <sheetName val="Insumos"/>
      <sheetName val="Análisis"/>
      <sheetName val="Cabañas simple Tipo 2"/>
      <sheetName val="Cabañas simple Tipo 3"/>
      <sheetName val="Cabañas Vice Presidenciales"/>
      <sheetName val="Sheet1"/>
      <sheetName val="capilla"/>
      <sheetName val="ESTRUCT"/>
      <sheetName val="Analisis Unit. "/>
      <sheetName val="Cargas Sociales"/>
      <sheetName val="NUEVAS_PARTIDAS"/>
      <sheetName val="Ana__blocks_y_termin_"/>
      <sheetName val="Costos_Mano_de_Obra"/>
      <sheetName val="Insumos_materiales"/>
      <sheetName val="Ana__Horm_mexc_mort"/>
      <sheetName val="Cabañas_simple_Tipo_2"/>
      <sheetName val="Cabañas_simple_Tipo_3"/>
      <sheetName val="Cabañas_Vice_Presidenciales"/>
      <sheetName val="NUEVAS_PARTIDAS1"/>
      <sheetName val="Ana__blocks_y_termin_1"/>
      <sheetName val="Costos_Mano_de_Obra1"/>
      <sheetName val="Insumos_materiales1"/>
      <sheetName val="Ana__Horm_mexc_mort1"/>
      <sheetName val="Cabañas_simple_Tipo_21"/>
      <sheetName val="Cabañas_simple_Tipo_31"/>
      <sheetName val="Cabañas_Vice_Presidenciales1"/>
      <sheetName val="NUEVAS_PARTIDAS2"/>
      <sheetName val="Ana__blocks_y_termin_2"/>
      <sheetName val="Costos_Mano_de_Obra2"/>
      <sheetName val="Insumos_materiales2"/>
      <sheetName val="Ana__Horm_mexc_mort2"/>
      <sheetName val="Cabañas_simple_Tipo_22"/>
      <sheetName val="Cabañas_simple_Tipo_32"/>
      <sheetName val="Cabañas_Vice_Presidenciales2"/>
      <sheetName val="NUEVAS_PARTIDAS3"/>
      <sheetName val="Ana__blocks_y_termin_3"/>
      <sheetName val="Costos_Mano_de_Obra3"/>
      <sheetName val="Insumos_materiales3"/>
      <sheetName val="Ana__Horm_mexc_mort3"/>
      <sheetName val="Cabañas_simple_Tipo_23"/>
      <sheetName val="Cabañas_simple_Tipo_33"/>
      <sheetName val="Cabañas_Vice_Presidenciales3"/>
      <sheetName val="A-BASICOS"/>
      <sheetName val="Mat"/>
      <sheetName val="Pu-Sanit."/>
      <sheetName val="Partidas def."/>
      <sheetName val="Mem de Calculo"/>
      <sheetName val="ANALISIS  DE PARTIDAS"/>
      <sheetName val="Contratista"/>
      <sheetName val="Contratista 2"/>
      <sheetName val="NUEVAS_PARTIDAS4"/>
      <sheetName val="Ana__blocks_y_termin_4"/>
      <sheetName val="Costos_Mano_de_Obra4"/>
      <sheetName val="Insumos_materiales4"/>
      <sheetName val="Ana__Horm_mexc_mort4"/>
      <sheetName val="Cabañas_simple_Tipo_24"/>
      <sheetName val="Cabañas_simple_Tipo_34"/>
      <sheetName val="Cabañas_Vice_Presidenciales4"/>
      <sheetName val="NUEVAS_PARTIDAS5"/>
      <sheetName val="Ana__blocks_y_termin_5"/>
      <sheetName val="Costos_Mano_de_Obra5"/>
      <sheetName val="Insumos_materiales5"/>
      <sheetName val="Ana__Horm_mexc_mort5"/>
      <sheetName val="Cabañas_simple_Tipo_25"/>
      <sheetName val="Cabañas_simple_Tipo_35"/>
      <sheetName val="Cabañas_Vice_Presidenciales5"/>
      <sheetName val="PRESUPUESTO"/>
      <sheetName val="Sheet4"/>
      <sheetName val="Sheet5"/>
      <sheetName val="análisis de precios"/>
      <sheetName val="caseta de planta"/>
      <sheetName val="analisis de costo"/>
      <sheetName val="Mano Obra"/>
      <sheetName val="anal term"/>
    </sheetNames>
    <sheetDataSet>
      <sheetData sheetId="0" refreshError="1">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efreshError="1">
        <row r="11">
          <cell r="B11">
            <v>1140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v>0</v>
          </cell>
        </row>
      </sheetData>
      <sheetData sheetId="61" refreshError="1"/>
      <sheetData sheetId="62"/>
      <sheetData sheetId="63" refreshError="1"/>
      <sheetData sheetId="64">
        <row r="11">
          <cell r="B11">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1">
          <cell r="B11">
            <v>0</v>
          </cell>
        </row>
      </sheetData>
      <sheetData sheetId="80">
        <row r="11">
          <cell r="B11">
            <v>0</v>
          </cell>
        </row>
      </sheetData>
      <sheetData sheetId="81">
        <row r="11">
          <cell r="B11">
            <v>0</v>
          </cell>
        </row>
      </sheetData>
      <sheetData sheetId="82"/>
      <sheetData sheetId="83"/>
      <sheetData sheetId="84"/>
      <sheetData sheetId="85" refreshError="1"/>
      <sheetData sheetId="86" refreshError="1"/>
      <sheetData sheetId="87" refreshError="1"/>
      <sheetData sheetId="88" refreshError="1"/>
      <sheetData sheetId="89" refreshError="1"/>
      <sheetData sheetId="90"/>
      <sheetData sheetId="91" refreshError="1"/>
      <sheetData sheetId="9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Carga"/>
      <sheetName val="Col.Carga (2)"/>
      <sheetName val="Col.Amarre"/>
      <sheetName val="Col.Amarre (2)"/>
      <sheetName val="Vga.Carga"/>
      <sheetName val="Vga.Carga (2)"/>
      <sheetName val="Vga.Amarre"/>
      <sheetName val="Vga.Amarre (2)"/>
      <sheetName val="Losa Entrep."/>
      <sheetName val="Losa Entrep. (2)"/>
      <sheetName val="Escalera"/>
      <sheetName val="Muros"/>
      <sheetName val="Pedido"/>
      <sheetName val="Col_Carga"/>
      <sheetName val="Col_Carga_(2)"/>
      <sheetName val="Col_Amarre"/>
      <sheetName val="Col_Amarre_(2)"/>
      <sheetName val="Vga_Carga"/>
      <sheetName val="Vga_Carga_(2)"/>
      <sheetName val="Vga_Amarre"/>
      <sheetName val="Vga_Amarre_(2)"/>
      <sheetName val="Losa_Entrep_"/>
      <sheetName val="Losa_Entrep__(2)"/>
      <sheetName val="Análisis"/>
      <sheetName val="INS"/>
      <sheetName val="M.O."/>
      <sheetName val="Insumos"/>
      <sheetName val="Ana. blocks y termin."/>
      <sheetName val="Costos Mano de Obra"/>
      <sheetName val="Insumos materiales"/>
      <sheetName val="Ana. Horm mexc mort"/>
      <sheetName val="Análisis de Precios"/>
      <sheetName val="Precios"/>
      <sheetName val="INSU"/>
      <sheetName val="MO"/>
      <sheetName val="Personalizar"/>
      <sheetName val="M_O_"/>
      <sheetName val="Col_Carga1"/>
      <sheetName val="Col_Carga_(2)1"/>
      <sheetName val="Col_Amarre1"/>
      <sheetName val="Col_Amarre_(2)1"/>
      <sheetName val="Vga_Carga1"/>
      <sheetName val="Vga_Carga_(2)1"/>
      <sheetName val="Vga_Amarre1"/>
      <sheetName val="Vga_Amarre_(2)1"/>
      <sheetName val="Losa_Entrep_1"/>
      <sheetName val="Losa_Entrep__(2)1"/>
      <sheetName val="M_O_1"/>
      <sheetName val="Ana__blocks_y_termin_"/>
      <sheetName val="Costos_Mano_de_Obra"/>
      <sheetName val="Insumos_materiales"/>
      <sheetName val="Ana__Horm_mexc_mort"/>
      <sheetName val="Análisis_de_Precios"/>
      <sheetName val="Ana__blocks_y_termin_1"/>
      <sheetName val="Costos_Mano_de_Obra1"/>
      <sheetName val="Insumos_materiales1"/>
      <sheetName val="Ana__Horm_mexc_mort1"/>
      <sheetName val="Análisis_de_Precios1"/>
      <sheetName val="Col_Carga2"/>
      <sheetName val="Col_Carga_(2)2"/>
      <sheetName val="Col_Amarre2"/>
      <sheetName val="Col_Amarre_(2)2"/>
      <sheetName val="Vga_Carga2"/>
      <sheetName val="Vga_Carga_(2)2"/>
      <sheetName val="Vga_Amarre2"/>
      <sheetName val="Vga_Amarre_(2)2"/>
      <sheetName val="Losa_Entrep_2"/>
      <sheetName val="Losa_Entrep__(2)2"/>
      <sheetName val="M_O_2"/>
      <sheetName val="Ana__blocks_y_termin_2"/>
      <sheetName val="Costos_Mano_de_Obra2"/>
      <sheetName val="Insumos_materiales2"/>
      <sheetName val="Ana__Horm_mexc_mort2"/>
      <sheetName val="Análisis_de_Precios2"/>
      <sheetName val="Col_Carga3"/>
      <sheetName val="Col_Carga_(2)3"/>
      <sheetName val="Col_Amarre3"/>
      <sheetName val="Col_Amarre_(2)3"/>
      <sheetName val="Vga_Carga3"/>
      <sheetName val="Vga_Carga_(2)3"/>
      <sheetName val="Vga_Amarre3"/>
      <sheetName val="Vga_Amarre_(2)3"/>
      <sheetName val="Losa_Entrep_3"/>
      <sheetName val="Losa_Entrep__(2)3"/>
      <sheetName val="M_O_3"/>
      <sheetName val="Ana__blocks_y_termin_3"/>
      <sheetName val="Costos_Mano_de_Obra3"/>
      <sheetName val="Insumos_materiales3"/>
      <sheetName val="Ana__Horm_mexc_mort3"/>
      <sheetName val="Análisis_de_Precios3"/>
      <sheetName val="Mov. Tierra"/>
      <sheetName val="Partidas def."/>
      <sheetName val="Mem de Calculo"/>
      <sheetName val="ANALISIS  DE PARTIDAS"/>
      <sheetName val="Contratista"/>
      <sheetName val="Contratista 2"/>
      <sheetName val="a"/>
      <sheetName val="Col_Carga4"/>
      <sheetName val="Col_Carga_(2)4"/>
      <sheetName val="Col_Amarre4"/>
      <sheetName val="Col_Amarre_(2)4"/>
      <sheetName val="Vga_Carga4"/>
      <sheetName val="Vga_Carga_(2)4"/>
      <sheetName val="Vga_Amarre4"/>
      <sheetName val="Vga_Amarre_(2)4"/>
      <sheetName val="Losa_Entrep_4"/>
      <sheetName val="Losa_Entrep__(2)4"/>
      <sheetName val="M_O_4"/>
      <sheetName val="Ana__blocks_y_termin_4"/>
      <sheetName val="Costos_Mano_de_Obra4"/>
      <sheetName val="Insumos_materiales4"/>
      <sheetName val="Ana__Horm_mexc_mort4"/>
      <sheetName val="Análisis_de_Precios4"/>
      <sheetName val="Col_Carga5"/>
      <sheetName val="Col_Carga_(2)5"/>
      <sheetName val="Col_Amarre5"/>
      <sheetName val="Col_Amarre_(2)5"/>
      <sheetName val="Vga_Carga5"/>
      <sheetName val="Vga_Carga_(2)5"/>
      <sheetName val="Vga_Amarre5"/>
      <sheetName val="Vga_Amarre_(2)5"/>
      <sheetName val="Losa_Entrep_5"/>
      <sheetName val="Losa_Entrep__(2)5"/>
      <sheetName val="M_O_5"/>
      <sheetName val="Ana__blocks_y_termin_5"/>
      <sheetName val="Costos_Mano_de_Obra5"/>
      <sheetName val="Insumos_materiales5"/>
      <sheetName val="Ana__Horm_mexc_mort5"/>
      <sheetName val="Análisis_de_Precios5"/>
      <sheetName val="listado equipos a utiliz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I16">
            <v>0</v>
          </cell>
        </row>
      </sheetData>
      <sheetData sheetId="11" refreshError="1"/>
      <sheetData sheetId="12" refreshError="1"/>
      <sheetData sheetId="13"/>
      <sheetData sheetId="14"/>
      <sheetData sheetId="15">
        <row r="9">
          <cell r="J9">
            <v>0</v>
          </cell>
        </row>
      </sheetData>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9">
          <cell r="J9">
            <v>0</v>
          </cell>
        </row>
      </sheetData>
      <sheetData sheetId="38"/>
      <sheetData sheetId="39">
        <row r="9">
          <cell r="J9">
            <v>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ow r="9">
          <cell r="J9">
            <v>0</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row r="16">
          <cell r="D16" t="str">
            <v>Pie</v>
          </cell>
        </row>
      </sheetData>
      <sheetData sheetId="95">
        <row r="19">
          <cell r="B19" t="str">
            <v>Alimentador THHN #12 Fase</v>
          </cell>
        </row>
      </sheetData>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Grales.Controles de Ob"/>
      <sheetName val="Hoja1"/>
      <sheetName val="Hoja2"/>
      <sheetName val="Hoja3"/>
      <sheetName val="Ins1"/>
      <sheetName val="Ins2"/>
      <sheetName val="InsOfic"/>
      <sheetName val="Cotz."/>
      <sheetName val="Jornales"/>
      <sheetName val="Indirectos"/>
      <sheetName val="Indirectos (2)"/>
      <sheetName val="Indirectos Ejec."/>
      <sheetName val="Analisis"/>
      <sheetName val="Pres-Cub-Adic"/>
      <sheetName val="Pres-Ejec."/>
      <sheetName val="Pedido Unit."/>
      <sheetName val="Pedido Masivo "/>
      <sheetName val="Soporte Pedido Unit."/>
      <sheetName val="Soporte Pedido Masivo "/>
      <sheetName val="Partidas No Contempladas"/>
      <sheetName val="Soportes_Grales_Controles_de_Ob"/>
      <sheetName val="Cotz_"/>
      <sheetName val="Indirectos_(2)"/>
      <sheetName val="Indirectos_Ejec_"/>
      <sheetName val="Pres-Ejec_"/>
      <sheetName val="Pedido_Unit_"/>
      <sheetName val="Pedido_Masivo_"/>
      <sheetName val="Soporte_Pedido_Unit_"/>
      <sheetName val="Soporte_Pedido_Masivo_"/>
      <sheetName val="Partidas_No_Contempladas"/>
      <sheetName val="Col.Amarre"/>
      <sheetName val="Escalera"/>
      <sheetName val="Muros"/>
      <sheetName val="Análisis"/>
      <sheetName val="Precios"/>
      <sheetName val="Col_Amarre"/>
      <sheetName val="Soportes_Grales_Controles_de_O1"/>
      <sheetName val="Cotz_1"/>
      <sheetName val="Indirectos_(2)1"/>
      <sheetName val="Indirectos_Ejec_1"/>
      <sheetName val="Pres-Ejec_1"/>
      <sheetName val="Pedido_Unit_1"/>
      <sheetName val="Pedido_Masivo_1"/>
      <sheetName val="Soporte_Pedido_Unit_1"/>
      <sheetName val="Soporte_Pedido_Masivo_1"/>
      <sheetName val="Partidas_No_Contempladas1"/>
      <sheetName val="Col_Amarre1"/>
      <sheetName val="Soportes_Grales_Controles_de_O2"/>
      <sheetName val="Cotz_2"/>
      <sheetName val="Indirectos_(2)2"/>
      <sheetName val="Indirectos_Ejec_2"/>
      <sheetName val="Pres-Ejec_2"/>
      <sheetName val="Pedido_Unit_2"/>
      <sheetName val="Pedido_Masivo_2"/>
      <sheetName val="Soporte_Pedido_Unit_2"/>
      <sheetName val="Soporte_Pedido_Masivo_2"/>
      <sheetName val="Partidas_No_Contempladas2"/>
      <sheetName val="Col_Amarre2"/>
      <sheetName val="Soportes_Grales_Controles_de_O3"/>
      <sheetName val="Cotz_3"/>
      <sheetName val="Indirectos_(2)3"/>
      <sheetName val="Indirectos_Ejec_3"/>
      <sheetName val="Pres-Ejec_3"/>
      <sheetName val="Pedido_Unit_3"/>
      <sheetName val="Pedido_Masivo_3"/>
      <sheetName val="Soporte_Pedido_Unit_3"/>
      <sheetName val="Soporte_Pedido_Masivo_3"/>
      <sheetName val="Partidas_No_Contempladas3"/>
      <sheetName val="Col_Amarre3"/>
      <sheetName val="Ana"/>
      <sheetName val="materiales"/>
      <sheetName val="Soportes_Grales_Controles_de_O4"/>
      <sheetName val="Cotz_4"/>
      <sheetName val="Indirectos_(2)4"/>
      <sheetName val="Indirectos_Ejec_4"/>
      <sheetName val="Pres-Ejec_4"/>
      <sheetName val="Pedido_Unit_4"/>
      <sheetName val="Pedido_Masivo_4"/>
      <sheetName val="Soporte_Pedido_Unit_4"/>
      <sheetName val="Soporte_Pedido_Masivo_4"/>
      <sheetName val="Partidas_No_Contempladas4"/>
      <sheetName val="Col_Amarre4"/>
      <sheetName val="Soportes_Grales_Controles_de_O5"/>
      <sheetName val="Cotz_5"/>
      <sheetName val="Indirectos_(2)5"/>
      <sheetName val="Indirectos_Ejec_5"/>
      <sheetName val="Pres-Ejec_5"/>
      <sheetName val="Pedido_Unit_5"/>
      <sheetName val="Pedido_Masivo_5"/>
      <sheetName val="Soporte_Pedido_Unit_5"/>
      <sheetName val="Soporte_Pedido_Masivo_5"/>
      <sheetName val="Partidas_No_Contempladas5"/>
      <sheetName val="Col_Amarre5"/>
      <sheetName val="Insumos"/>
      <sheetName val="Análisis de Precios"/>
      <sheetName val="MANT.TRANSI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resupuesto"/>
      <sheetName val="Analisis albañileria"/>
      <sheetName val="Analisis Electrico"/>
      <sheetName val="qqVgas"/>
      <sheetName val="qqLosa1 "/>
      <sheetName val="qqEscalera"/>
      <sheetName val="Analisis_albañileria"/>
      <sheetName val="Analisis_Electrico"/>
      <sheetName val="qqLosa1_"/>
      <sheetName val="Cotz."/>
      <sheetName val="Col.Amarre"/>
      <sheetName val="Escalera"/>
      <sheetName val="Muros"/>
      <sheetName val="analisis"/>
      <sheetName val="Insumos"/>
      <sheetName val="Análisis de Precios"/>
      <sheetName val="Cotz_"/>
      <sheetName val="Col_Amarre"/>
      <sheetName val="Analisis_albañileria1"/>
      <sheetName val="Analisis_Electrico1"/>
      <sheetName val="qqLosa1_1"/>
      <sheetName val="Cotz_1"/>
      <sheetName val="Col_Amarre1"/>
      <sheetName val="Analisis_albañileria2"/>
      <sheetName val="Analisis_Electrico2"/>
      <sheetName val="qqLosa1_2"/>
      <sheetName val="Cotz_2"/>
      <sheetName val="Col_Amarre2"/>
      <sheetName val="Analisis_albañileria3"/>
      <sheetName val="Analisis_Electrico3"/>
      <sheetName val="qqLosa1_3"/>
      <sheetName val="Cotz_3"/>
      <sheetName val="Col_Amarre3"/>
      <sheetName val="Rendimientos OM"/>
      <sheetName val="Ana. blocks y termin."/>
      <sheetName val="Costos Mano de Obra"/>
      <sheetName val="Insumos materiales"/>
      <sheetName val="Ana. Horm mexc mort"/>
      <sheetName val="Analisis_albañileria4"/>
      <sheetName val="Analisis_Electrico4"/>
      <sheetName val="qqLosa1_4"/>
      <sheetName val="Cotz_4"/>
      <sheetName val="Col_Amarre4"/>
      <sheetName val="Analisis_albañileria5"/>
      <sheetName val="Analisis_Electrico5"/>
      <sheetName val="qqLosa1_5"/>
      <sheetName val="Cotz_5"/>
      <sheetName val="Col_Amarre5"/>
    </sheetNames>
    <sheetDataSet>
      <sheetData sheetId="0" refreshError="1"/>
      <sheetData sheetId="1" refreshError="1"/>
      <sheetData sheetId="2" refreshError="1"/>
      <sheetData sheetId="3" refreshError="1"/>
      <sheetData sheetId="4" refreshError="1"/>
      <sheetData sheetId="5" refreshError="1">
        <row r="11">
          <cell r="AJ11">
            <v>40</v>
          </cell>
          <cell r="AR11">
            <v>40</v>
          </cell>
        </row>
        <row r="13">
          <cell r="AG13">
            <v>0.05</v>
          </cell>
          <cell r="AP13">
            <v>0.05</v>
          </cell>
        </row>
        <row r="16">
          <cell r="E16" t="str">
            <v>VIGAS Y DINTELES 1ER.N</v>
          </cell>
          <cell r="I16">
            <v>99.92</v>
          </cell>
          <cell r="K16">
            <v>1</v>
          </cell>
          <cell r="N16">
            <v>0.2</v>
          </cell>
          <cell r="P16">
            <v>0.4</v>
          </cell>
          <cell r="R16">
            <v>99.92</v>
          </cell>
          <cell r="T16">
            <v>0.2</v>
          </cell>
          <cell r="V16" t="str">
            <v>√</v>
          </cell>
        </row>
        <row r="17">
          <cell r="D17" t="str">
            <v>Arriba</v>
          </cell>
          <cell r="U17">
            <v>2</v>
          </cell>
          <cell r="V17" t="str">
            <v>√</v>
          </cell>
        </row>
        <row r="18">
          <cell r="D18" t="str">
            <v>Abajo</v>
          </cell>
          <cell r="U18">
            <v>3</v>
          </cell>
          <cell r="X18" t="str">
            <v>√</v>
          </cell>
        </row>
        <row r="25">
          <cell r="E25" t="str">
            <v>VIGAS Y DINTELES 2DO.N</v>
          </cell>
          <cell r="I25">
            <v>100.47</v>
          </cell>
          <cell r="K25">
            <v>1</v>
          </cell>
          <cell r="N25">
            <v>0.15</v>
          </cell>
          <cell r="P25">
            <v>0.4</v>
          </cell>
          <cell r="R25">
            <v>100.47</v>
          </cell>
          <cell r="T25">
            <v>0.2</v>
          </cell>
          <cell r="V25" t="str">
            <v>√</v>
          </cell>
        </row>
        <row r="26">
          <cell r="D26" t="str">
            <v>Arriba</v>
          </cell>
          <cell r="U26">
            <v>2</v>
          </cell>
          <cell r="V26" t="str">
            <v>√</v>
          </cell>
        </row>
        <row r="27">
          <cell r="D27" t="str">
            <v>Abajo</v>
          </cell>
          <cell r="U27">
            <v>3</v>
          </cell>
          <cell r="X27" t="str">
            <v>√</v>
          </cell>
        </row>
        <row r="89">
          <cell r="N89">
            <v>0</v>
          </cell>
        </row>
      </sheetData>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s>
    <sheetDataSet>
      <sheetData sheetId="0">
        <row r="9">
          <cell r="C9">
            <v>1525</v>
          </cell>
        </row>
        <row r="12">
          <cell r="C12">
            <v>356</v>
          </cell>
        </row>
      </sheetData>
      <sheetData sheetId="1"/>
      <sheetData sheetId="2"/>
      <sheetData sheetId="3"/>
      <sheetData sheetId="4">
        <row r="9">
          <cell r="C9">
            <v>1</v>
          </cell>
        </row>
      </sheetData>
      <sheetData sheetId="5"/>
      <sheetData sheetId="6"/>
      <sheetData sheetId="7"/>
      <sheetData sheetId="8"/>
      <sheetData sheetId="9"/>
      <sheetData sheetId="10">
        <row r="9">
          <cell r="C9">
            <v>1</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sheetData>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EJERCICIO"/>
      <sheetName val="MACHOTE"/>
      <sheetName val="Mov. tierra"/>
      <sheetName val="H.A."/>
      <sheetName val="Cuantia de Acero"/>
      <sheetName val="Muros y Term"/>
      <sheetName val="Ventanas"/>
      <sheetName val="techos"/>
      <sheetName val="pi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sheetName val="Villa Crhist"/>
      <sheetName val="Villa Kurt"/>
      <sheetName val="Villa fRIDEL"/>
      <sheetName val="Hoja Presentacion (3)"/>
      <sheetName val="Hoja Presentacion (2)"/>
      <sheetName val="Hoja Presentacion Plastbau"/>
      <sheetName val="Hoja Presentacion Convencional"/>
      <sheetName val="Hoja Presentacion"/>
      <sheetName val="Analisis Plastbau "/>
      <sheetName val="Insumos"/>
      <sheetName val="HOTEL SUNSCAPE EDF. I I Y V"/>
      <sheetName val="HOTEL SUNSCAPE EDF. I"/>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EST N. DE OVANDO CENTRAL (MOD. "/>
      <sheetName val="ANALISIS HORMIGON ARMADO"/>
      <sheetName val="LISTA DE MATERIALES"/>
      <sheetName val="M.O."/>
      <sheetName val="Ins"/>
      <sheetName val="Ins 2"/>
      <sheetName val="m.t C"/>
    </sheetNames>
    <sheetDataSet>
      <sheetData sheetId="0" refreshError="1">
        <row r="439">
          <cell r="N439">
            <v>1730.989519230769</v>
          </cell>
        </row>
        <row r="808">
          <cell r="N808">
            <v>226.92368946153846</v>
          </cell>
        </row>
        <row r="821">
          <cell r="N821">
            <v>251.20814715384614</v>
          </cell>
        </row>
        <row r="845">
          <cell r="N845">
            <v>193.88830623076925</v>
          </cell>
        </row>
        <row r="890">
          <cell r="N890">
            <v>39.338457000000005</v>
          </cell>
        </row>
        <row r="906">
          <cell r="N906">
            <v>81.947692000000004</v>
          </cell>
        </row>
        <row r="957">
          <cell r="N957">
            <v>17.390142000000001</v>
          </cell>
        </row>
        <row r="988">
          <cell r="N988">
            <v>55.629141400000002</v>
          </cell>
        </row>
        <row r="1024">
          <cell r="N1024">
            <v>1337.1420170454546</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Analisis"/>
      <sheetName val="analisis detallado"/>
      <sheetName val="caseta_de_planta_(2)1"/>
      <sheetName val="cisterna_1"/>
      <sheetName val="caseta_de_planta1"/>
      <sheetName val="Relacion_de_proyecto1"/>
      <sheetName val="Análisis_de_Precios1"/>
      <sheetName val="Ins"/>
      <sheetName val="PRECIOS"/>
      <sheetName val="MATERIALES_LISTADO"/>
      <sheetName val="M_O_"/>
      <sheetName val="analisis_detallado"/>
      <sheetName val="M_O_1"/>
      <sheetName val="analisis_detallado1"/>
      <sheetName val="caseta_de_planta_(2)2"/>
      <sheetName val="cisterna_2"/>
      <sheetName val="caseta_de_planta2"/>
      <sheetName val="Relacion_de_proyecto2"/>
      <sheetName val="Análisis_de_Precios2"/>
      <sheetName val="M_O_2"/>
      <sheetName val="analisis_detallado2"/>
      <sheetName val="caseta_de_planta_(2)3"/>
      <sheetName val="cisterna_3"/>
      <sheetName val="caseta_de_planta3"/>
      <sheetName val="Relacion_de_proyecto3"/>
      <sheetName val="Análisis_de_Precios3"/>
      <sheetName val="M_O_3"/>
      <sheetName val="analisis_detallado3"/>
      <sheetName val="MO"/>
      <sheetName val="caseta_de_planta_(2)4"/>
      <sheetName val="cisterna_4"/>
      <sheetName val="caseta_de_planta4"/>
      <sheetName val="Relacion_de_proyecto4"/>
      <sheetName val="Análisis_de_Precios4"/>
      <sheetName val="M_O_4"/>
      <sheetName val="analisis_detallado4"/>
      <sheetName val="caseta_de_planta_(2)5"/>
      <sheetName val="cisterna_5"/>
      <sheetName val="caseta_de_planta5"/>
      <sheetName val="Relacion_de_proyecto5"/>
      <sheetName val="Análisis_de_Precios5"/>
      <sheetName val="M_O_5"/>
      <sheetName val="analisis_detallado5"/>
      <sheetName val="MATERIALES"/>
      <sheetName val="OBRAMANO"/>
      <sheetName val="EQUIPOS"/>
      <sheetName val="M.O y Rendimientos"/>
      <sheetName val="Col.Amarre"/>
      <sheetName val="Escalera"/>
      <sheetName val="Muros"/>
      <sheetName val="analisis trabajos generales"/>
      <sheetName val="presup"/>
      <sheetName val="V.Tierras A"/>
      <sheetName val="listado equipos a utilizar"/>
      <sheetName val="PRES META"/>
      <sheetName val="PRES DESCUENTO"/>
      <sheetName val="PRES META CON APU LINK"/>
      <sheetName val="MO FELO"/>
      <sheetName val="MO FELO (2)"/>
      <sheetName val="ORIGINAL"/>
      <sheetName val="CANT"/>
      <sheetName val="APU"/>
      <sheetName val="Resumen Precio Equipos"/>
      <sheetName val="o.m. y salarios"/>
      <sheetName val="a"/>
      <sheetName val="anal term"/>
    </sheetNames>
    <sheetDataSet>
      <sheetData sheetId="0" refreshError="1"/>
      <sheetData sheetId="1" refreshError="1"/>
      <sheetData sheetId="2">
        <row r="7">
          <cell r="C7" t="str">
            <v>Cant.</v>
          </cell>
        </row>
        <row r="11">
          <cell r="C11">
            <v>18.899999999999999</v>
          </cell>
        </row>
        <row r="12">
          <cell r="C12">
            <v>24.57</v>
          </cell>
        </row>
        <row r="15">
          <cell r="C15">
            <v>3.4559999999999995</v>
          </cell>
        </row>
        <row r="16">
          <cell r="C16">
            <v>3.8400000000000007</v>
          </cell>
        </row>
        <row r="17">
          <cell r="C17">
            <v>2.1600000000000006</v>
          </cell>
        </row>
        <row r="18">
          <cell r="C18">
            <v>8.1000000000000014</v>
          </cell>
        </row>
        <row r="19">
          <cell r="C19">
            <v>9.18</v>
          </cell>
        </row>
        <row r="20">
          <cell r="C20">
            <v>54</v>
          </cell>
        </row>
        <row r="23">
          <cell r="C23">
            <v>89.25</v>
          </cell>
        </row>
        <row r="26">
          <cell r="C26">
            <v>178.5</v>
          </cell>
        </row>
        <row r="27">
          <cell r="C27">
            <v>160.65</v>
          </cell>
        </row>
        <row r="28">
          <cell r="C28">
            <v>32.75</v>
          </cell>
        </row>
        <row r="31">
          <cell r="C31">
            <v>178.5</v>
          </cell>
        </row>
        <row r="34">
          <cell r="C34">
            <v>1</v>
          </cell>
        </row>
        <row r="36">
          <cell r="C36">
            <v>1</v>
          </cell>
        </row>
      </sheetData>
      <sheetData sheetId="3" refreshError="1"/>
      <sheetData sheetId="4">
        <row r="7">
          <cell r="C7" t="str">
            <v>Cant.</v>
          </cell>
        </row>
      </sheetData>
      <sheetData sheetId="5">
        <row r="2">
          <cell r="C2">
            <v>0</v>
          </cell>
        </row>
      </sheetData>
      <sheetData sheetId="6"/>
      <sheetData sheetId="7"/>
      <sheetData sheetId="8">
        <row r="7">
          <cell r="C7" t="str">
            <v>Cant.</v>
          </cell>
        </row>
        <row r="8">
          <cell r="C8" t="str">
            <v>Cant.</v>
          </cell>
          <cell r="E8" t="str">
            <v>P.U. RD$</v>
          </cell>
        </row>
        <row r="10">
          <cell r="C10">
            <v>1</v>
          </cell>
          <cell r="E10" t="str">
            <v>P.A.</v>
          </cell>
        </row>
        <row r="12">
          <cell r="E12" t="str">
            <v/>
          </cell>
        </row>
        <row r="13">
          <cell r="C13">
            <v>2.39</v>
          </cell>
          <cell r="E13" t="e">
            <v>#REF!</v>
          </cell>
        </row>
        <row r="14">
          <cell r="C14">
            <v>2.65</v>
          </cell>
          <cell r="E14" t="e">
            <v>#REF!</v>
          </cell>
        </row>
        <row r="15">
          <cell r="C15">
            <v>0.52</v>
          </cell>
          <cell r="E15" t="e">
            <v>#NAME?</v>
          </cell>
        </row>
        <row r="16">
          <cell r="C16">
            <v>1.4</v>
          </cell>
          <cell r="E16" t="e">
            <v>#REF!</v>
          </cell>
        </row>
        <row r="17">
          <cell r="C17">
            <v>0.26</v>
          </cell>
          <cell r="E17" t="e">
            <v>#NAME?</v>
          </cell>
        </row>
        <row r="18">
          <cell r="C18">
            <v>0.78</v>
          </cell>
          <cell r="E18" t="e">
            <v>#NAME?</v>
          </cell>
        </row>
        <row r="19">
          <cell r="C19">
            <v>0.21</v>
          </cell>
          <cell r="E19" t="e">
            <v>#REF!</v>
          </cell>
        </row>
        <row r="20">
          <cell r="C20">
            <v>0.21</v>
          </cell>
          <cell r="E20" t="e">
            <v>#REF!</v>
          </cell>
        </row>
        <row r="21">
          <cell r="C21">
            <v>0</v>
          </cell>
          <cell r="E21">
            <v>0</v>
          </cell>
        </row>
        <row r="22">
          <cell r="C22">
            <v>0</v>
          </cell>
          <cell r="E22">
            <v>0</v>
          </cell>
        </row>
        <row r="23">
          <cell r="C23">
            <v>64.17</v>
          </cell>
          <cell r="E23" t="e">
            <v>#REF!</v>
          </cell>
        </row>
        <row r="24">
          <cell r="C24">
            <v>0</v>
          </cell>
          <cell r="E24">
            <v>0</v>
          </cell>
        </row>
        <row r="27">
          <cell r="C27">
            <v>498.88</v>
          </cell>
          <cell r="E27" t="e">
            <v>#REF!</v>
          </cell>
        </row>
        <row r="28">
          <cell r="C28">
            <v>40.82</v>
          </cell>
          <cell r="E28" t="e">
            <v>#REF!</v>
          </cell>
        </row>
        <row r="29">
          <cell r="C29">
            <v>23.2</v>
          </cell>
          <cell r="E29" t="e">
            <v>#REF!</v>
          </cell>
        </row>
        <row r="32">
          <cell r="C32">
            <v>73.319999999999993</v>
          </cell>
          <cell r="E32" t="e">
            <v>#REF!</v>
          </cell>
        </row>
        <row r="33">
          <cell r="C33">
            <v>364.96</v>
          </cell>
          <cell r="E33" t="e">
            <v>#REF!</v>
          </cell>
        </row>
        <row r="34">
          <cell r="C34">
            <v>734.56</v>
          </cell>
          <cell r="E34" t="e">
            <v>#REF!</v>
          </cell>
        </row>
        <row r="35">
          <cell r="C35">
            <v>358.34000000000009</v>
          </cell>
          <cell r="E35">
            <v>80</v>
          </cell>
        </row>
        <row r="36">
          <cell r="C36">
            <v>595.9</v>
          </cell>
          <cell r="E36" t="e">
            <v>#REF!</v>
          </cell>
        </row>
        <row r="37">
          <cell r="C37">
            <v>84.1</v>
          </cell>
          <cell r="E37">
            <v>0</v>
          </cell>
        </row>
        <row r="38">
          <cell r="C38">
            <v>48.8</v>
          </cell>
          <cell r="E38">
            <v>0</v>
          </cell>
        </row>
        <row r="41">
          <cell r="C41">
            <v>5.9399999999999995</v>
          </cell>
          <cell r="E41">
            <v>210</v>
          </cell>
        </row>
        <row r="42">
          <cell r="C42">
            <v>28.36</v>
          </cell>
          <cell r="E42">
            <v>450</v>
          </cell>
        </row>
        <row r="43">
          <cell r="C43">
            <v>4.13</v>
          </cell>
          <cell r="E43">
            <v>0</v>
          </cell>
        </row>
        <row r="44">
          <cell r="C44">
            <v>0</v>
          </cell>
          <cell r="E44">
            <v>200</v>
          </cell>
        </row>
        <row r="45">
          <cell r="C45">
            <v>0</v>
          </cell>
          <cell r="E45">
            <v>100</v>
          </cell>
        </row>
        <row r="46">
          <cell r="C46">
            <v>264.10000000000002</v>
          </cell>
          <cell r="E46">
            <v>80</v>
          </cell>
        </row>
        <row r="49">
          <cell r="C49">
            <v>1</v>
          </cell>
          <cell r="E49">
            <v>0</v>
          </cell>
        </row>
        <row r="52">
          <cell r="C52">
            <v>269.81</v>
          </cell>
          <cell r="E52" t="e">
            <v>#VALUE!</v>
          </cell>
        </row>
        <row r="54">
          <cell r="C54">
            <v>95.739999999999981</v>
          </cell>
          <cell r="E54" t="e">
            <v>#VALUE!</v>
          </cell>
        </row>
        <row r="55">
          <cell r="C55">
            <v>15</v>
          </cell>
          <cell r="E55" t="e">
            <v>#REF!</v>
          </cell>
        </row>
        <row r="56">
          <cell r="C56">
            <v>151</v>
          </cell>
          <cell r="E56">
            <v>318.20400000000001</v>
          </cell>
        </row>
        <row r="57">
          <cell r="C57">
            <v>54.95</v>
          </cell>
          <cell r="E57" t="e">
            <v>#REF!</v>
          </cell>
        </row>
        <row r="58">
          <cell r="C58">
            <v>3.1</v>
          </cell>
          <cell r="E58" t="e">
            <v>#REF!</v>
          </cell>
        </row>
        <row r="59">
          <cell r="C59">
            <v>7</v>
          </cell>
          <cell r="E59">
            <v>0</v>
          </cell>
        </row>
        <row r="60">
          <cell r="C60" t="str">
            <v/>
          </cell>
        </row>
        <row r="63">
          <cell r="C63">
            <v>124.47000000000001</v>
          </cell>
          <cell r="E63" t="e">
            <v>#REF!</v>
          </cell>
        </row>
        <row r="64">
          <cell r="C64">
            <v>0</v>
          </cell>
          <cell r="E64" t="e">
            <v>#REF!</v>
          </cell>
        </row>
        <row r="65">
          <cell r="C65">
            <v>18.28</v>
          </cell>
          <cell r="E65" t="e">
            <v>#REF!</v>
          </cell>
        </row>
        <row r="66">
          <cell r="C66">
            <v>48.499999999999993</v>
          </cell>
          <cell r="E66" t="e">
            <v>#REF!</v>
          </cell>
        </row>
        <row r="67">
          <cell r="C67">
            <v>16.170000000000002</v>
          </cell>
          <cell r="E67">
            <v>6919.2</v>
          </cell>
        </row>
        <row r="70">
          <cell r="C70">
            <v>15.400000000000002</v>
          </cell>
          <cell r="E70">
            <v>0</v>
          </cell>
        </row>
        <row r="71">
          <cell r="C71">
            <v>2.0149999999999997</v>
          </cell>
          <cell r="E71">
            <v>0</v>
          </cell>
        </row>
        <row r="72">
          <cell r="C72">
            <v>2</v>
          </cell>
          <cell r="E72">
            <v>0</v>
          </cell>
        </row>
        <row r="73">
          <cell r="C73">
            <v>4.620000000000001</v>
          </cell>
          <cell r="E73">
            <v>0</v>
          </cell>
        </row>
        <row r="76">
          <cell r="C76">
            <v>1</v>
          </cell>
          <cell r="E76">
            <v>0</v>
          </cell>
        </row>
        <row r="77">
          <cell r="C77">
            <v>1</v>
          </cell>
          <cell r="E77">
            <v>0</v>
          </cell>
        </row>
        <row r="78">
          <cell r="C78">
            <v>1</v>
          </cell>
          <cell r="E78">
            <v>0</v>
          </cell>
        </row>
        <row r="79">
          <cell r="C79">
            <v>1</v>
          </cell>
          <cell r="E79">
            <v>0</v>
          </cell>
        </row>
        <row r="80">
          <cell r="C80">
            <v>1</v>
          </cell>
          <cell r="E80">
            <v>0</v>
          </cell>
        </row>
        <row r="81">
          <cell r="C81">
            <v>1</v>
          </cell>
          <cell r="E81">
            <v>0</v>
          </cell>
        </row>
        <row r="82">
          <cell r="C82">
            <v>1</v>
          </cell>
          <cell r="E82">
            <v>0</v>
          </cell>
        </row>
        <row r="83">
          <cell r="C83">
            <v>1</v>
          </cell>
          <cell r="E83">
            <v>0</v>
          </cell>
        </row>
        <row r="84">
          <cell r="C84">
            <v>1</v>
          </cell>
          <cell r="E84">
            <v>0</v>
          </cell>
        </row>
        <row r="85">
          <cell r="C85">
            <v>1</v>
          </cell>
          <cell r="E85">
            <v>0</v>
          </cell>
        </row>
        <row r="86">
          <cell r="C86">
            <v>1</v>
          </cell>
          <cell r="E86">
            <v>0</v>
          </cell>
        </row>
        <row r="87">
          <cell r="C87">
            <v>1</v>
          </cell>
          <cell r="E87">
            <v>0</v>
          </cell>
        </row>
        <row r="88">
          <cell r="C88">
            <v>1</v>
          </cell>
          <cell r="E88">
            <v>0</v>
          </cell>
        </row>
        <row r="89">
          <cell r="C89">
            <v>1</v>
          </cell>
          <cell r="E89">
            <v>0</v>
          </cell>
        </row>
        <row r="90">
          <cell r="C90">
            <v>1</v>
          </cell>
          <cell r="E90">
            <v>0</v>
          </cell>
        </row>
        <row r="91">
          <cell r="C91">
            <v>1</v>
          </cell>
          <cell r="E91">
            <v>0</v>
          </cell>
        </row>
        <row r="92">
          <cell r="C92">
            <v>1</v>
          </cell>
          <cell r="E92">
            <v>0</v>
          </cell>
        </row>
        <row r="93">
          <cell r="C93">
            <v>1</v>
          </cell>
          <cell r="E93">
            <v>0</v>
          </cell>
        </row>
        <row r="94">
          <cell r="C94">
            <v>1</v>
          </cell>
          <cell r="E94">
            <v>0</v>
          </cell>
        </row>
        <row r="95">
          <cell r="E95" t="str">
            <v>P.A.</v>
          </cell>
        </row>
        <row r="96">
          <cell r="E96" t="str">
            <v>P.A.</v>
          </cell>
        </row>
        <row r="97">
          <cell r="E97" t="str">
            <v>P.A.</v>
          </cell>
        </row>
        <row r="98">
          <cell r="E98" t="str">
            <v>P.A.</v>
          </cell>
        </row>
        <row r="99">
          <cell r="C99">
            <v>1</v>
          </cell>
          <cell r="E99">
            <v>0</v>
          </cell>
        </row>
        <row r="102">
          <cell r="E102" t="str">
            <v>P.A.</v>
          </cell>
        </row>
        <row r="103">
          <cell r="C103">
            <v>1</v>
          </cell>
          <cell r="E103">
            <v>0</v>
          </cell>
        </row>
        <row r="106">
          <cell r="C106">
            <v>63.376399999999997</v>
          </cell>
          <cell r="E106">
            <v>0</v>
          </cell>
        </row>
        <row r="107">
          <cell r="C107">
            <v>1</v>
          </cell>
          <cell r="E107">
            <v>0</v>
          </cell>
        </row>
        <row r="108">
          <cell r="C108">
            <v>1</v>
          </cell>
          <cell r="E108">
            <v>0</v>
          </cell>
        </row>
        <row r="109">
          <cell r="C109">
            <v>1</v>
          </cell>
          <cell r="E109">
            <v>0</v>
          </cell>
        </row>
        <row r="112">
          <cell r="C112">
            <v>1</v>
          </cell>
          <cell r="E112" t="str">
            <v>P.A.</v>
          </cell>
        </row>
        <row r="113">
          <cell r="C113">
            <v>1</v>
          </cell>
          <cell r="E113" t="str">
            <v>P.A.</v>
          </cell>
        </row>
        <row r="117">
          <cell r="C117">
            <v>1</v>
          </cell>
          <cell r="E117">
            <v>0</v>
          </cell>
        </row>
        <row r="118">
          <cell r="C118">
            <v>1</v>
          </cell>
          <cell r="E118">
            <v>0</v>
          </cell>
        </row>
        <row r="119">
          <cell r="C119">
            <v>1</v>
          </cell>
          <cell r="E119">
            <v>0</v>
          </cell>
        </row>
        <row r="120">
          <cell r="C120">
            <v>1</v>
          </cell>
          <cell r="E120">
            <v>0</v>
          </cell>
        </row>
        <row r="121">
          <cell r="C121">
            <v>1</v>
          </cell>
          <cell r="E121">
            <v>0</v>
          </cell>
        </row>
        <row r="125">
          <cell r="C125">
            <v>1</v>
          </cell>
          <cell r="E125">
            <v>0</v>
          </cell>
        </row>
        <row r="126">
          <cell r="C126">
            <v>1</v>
          </cell>
          <cell r="E126">
            <v>0</v>
          </cell>
        </row>
        <row r="129">
          <cell r="C129">
            <v>1</v>
          </cell>
          <cell r="E129">
            <v>0</v>
          </cell>
        </row>
        <row r="130">
          <cell r="C130">
            <v>1</v>
          </cell>
          <cell r="E130">
            <v>0</v>
          </cell>
        </row>
        <row r="131">
          <cell r="C131" t="str">
            <v/>
          </cell>
          <cell r="E131" t="str">
            <v/>
          </cell>
        </row>
        <row r="132">
          <cell r="C132">
            <v>1</v>
          </cell>
          <cell r="E132">
            <v>0</v>
          </cell>
        </row>
        <row r="133">
          <cell r="C133">
            <v>1</v>
          </cell>
          <cell r="E133">
            <v>0</v>
          </cell>
        </row>
        <row r="134">
          <cell r="C134">
            <v>1</v>
          </cell>
          <cell r="E134">
            <v>0</v>
          </cell>
        </row>
        <row r="135">
          <cell r="C135">
            <v>1</v>
          </cell>
          <cell r="E135">
            <v>0</v>
          </cell>
        </row>
        <row r="138">
          <cell r="C138" t="str">
            <v/>
          </cell>
          <cell r="E138" t="str">
            <v/>
          </cell>
        </row>
        <row r="139">
          <cell r="C139">
            <v>1</v>
          </cell>
          <cell r="E139">
            <v>0</v>
          </cell>
        </row>
        <row r="140">
          <cell r="C140">
            <v>1</v>
          </cell>
          <cell r="E140">
            <v>0</v>
          </cell>
        </row>
      </sheetData>
      <sheetData sheetId="9" refreshError="1"/>
      <sheetData sheetId="10" refreshError="1"/>
      <sheetData sheetId="11" refreshError="1"/>
      <sheetData sheetId="12" refreshError="1"/>
      <sheetData sheetId="13" refreshError="1"/>
      <sheetData sheetId="14" refreshError="1"/>
      <sheetData sheetId="15"/>
      <sheetData sheetId="16">
        <row r="7">
          <cell r="C7" t="str">
            <v>Cant.</v>
          </cell>
        </row>
      </sheetData>
      <sheetData sheetId="17">
        <row r="7">
          <cell r="C7" t="str">
            <v>Cant.</v>
          </cell>
        </row>
      </sheetData>
      <sheetData sheetId="18"/>
      <sheetData sheetId="19">
        <row r="7">
          <cell r="C7" t="str">
            <v>Cant.</v>
          </cell>
        </row>
      </sheetData>
      <sheetData sheetId="20" refreshError="1"/>
      <sheetData sheetId="21" refreshError="1"/>
      <sheetData sheetId="22" refreshError="1"/>
      <sheetData sheetId="23">
        <row r="7">
          <cell r="C7" t="str">
            <v>Cant.</v>
          </cell>
        </row>
      </sheetData>
      <sheetData sheetId="24">
        <row r="7">
          <cell r="C7" t="str">
            <v>Cant.</v>
          </cell>
        </row>
      </sheetData>
      <sheetData sheetId="25">
        <row r="7">
          <cell r="C7" t="str">
            <v>Cant.</v>
          </cell>
        </row>
      </sheetData>
      <sheetData sheetId="26">
        <row r="7">
          <cell r="C7" t="str">
            <v>Cant.</v>
          </cell>
        </row>
      </sheetData>
      <sheetData sheetId="27">
        <row r="7">
          <cell r="C7" t="str">
            <v>Cant.</v>
          </cell>
        </row>
      </sheetData>
      <sheetData sheetId="28" refreshError="1"/>
      <sheetData sheetId="29" refreshError="1"/>
      <sheetData sheetId="30" refreshError="1"/>
      <sheetData sheetId="31"/>
      <sheetData sheetId="32"/>
      <sheetData sheetId="33">
        <row r="7">
          <cell r="C7" t="str">
            <v>Cant.</v>
          </cell>
        </row>
      </sheetData>
      <sheetData sheetId="34">
        <row r="7">
          <cell r="C7" t="str">
            <v>Cant.</v>
          </cell>
        </row>
      </sheetData>
      <sheetData sheetId="35">
        <row r="7">
          <cell r="C7" t="str">
            <v>Cant.</v>
          </cell>
        </row>
      </sheetData>
      <sheetData sheetId="36">
        <row r="7">
          <cell r="C7" t="str">
            <v>Cant.</v>
          </cell>
        </row>
      </sheetData>
      <sheetData sheetId="37">
        <row r="7">
          <cell r="C7" t="str">
            <v>Cant.</v>
          </cell>
        </row>
      </sheetData>
      <sheetData sheetId="38">
        <row r="7">
          <cell r="C7" t="str">
            <v>Cant.</v>
          </cell>
        </row>
      </sheetData>
      <sheetData sheetId="39">
        <row r="7">
          <cell r="C7" t="str">
            <v>Cant.</v>
          </cell>
        </row>
      </sheetData>
      <sheetData sheetId="40">
        <row r="7">
          <cell r="C7" t="str">
            <v>Cant.</v>
          </cell>
        </row>
      </sheetData>
      <sheetData sheetId="41">
        <row r="7">
          <cell r="C7" t="str">
            <v>Cant.</v>
          </cell>
        </row>
      </sheetData>
      <sheetData sheetId="42">
        <row r="7">
          <cell r="C7" t="str">
            <v>Cant.</v>
          </cell>
        </row>
      </sheetData>
      <sheetData sheetId="43">
        <row r="7">
          <cell r="C7" t="str">
            <v>Cant.</v>
          </cell>
        </row>
      </sheetData>
      <sheetData sheetId="44">
        <row r="7">
          <cell r="C7" t="str">
            <v>Cant.</v>
          </cell>
        </row>
      </sheetData>
      <sheetData sheetId="45">
        <row r="7">
          <cell r="C7" t="str">
            <v>Cant.</v>
          </cell>
        </row>
      </sheetData>
      <sheetData sheetId="46">
        <row r="7">
          <cell r="C7" t="str">
            <v>Cant.</v>
          </cell>
        </row>
      </sheetData>
      <sheetData sheetId="47">
        <row r="7">
          <cell r="C7" t="str">
            <v>Cant.</v>
          </cell>
        </row>
      </sheetData>
      <sheetData sheetId="48">
        <row r="7">
          <cell r="C7" t="str">
            <v>Cant.</v>
          </cell>
        </row>
      </sheetData>
      <sheetData sheetId="49" refreshError="1"/>
      <sheetData sheetId="50">
        <row r="6">
          <cell r="C6" t="str">
            <v>CANT.</v>
          </cell>
        </row>
      </sheetData>
      <sheetData sheetId="51">
        <row r="6">
          <cell r="C6" t="str">
            <v>CANT.</v>
          </cell>
        </row>
      </sheetData>
      <sheetData sheetId="52">
        <row r="4">
          <cell r="C4">
            <v>0</v>
          </cell>
        </row>
      </sheetData>
      <sheetData sheetId="53">
        <row r="7">
          <cell r="C7" t="str">
            <v>Cant.</v>
          </cell>
        </row>
      </sheetData>
      <sheetData sheetId="54"/>
      <sheetData sheetId="55"/>
      <sheetData sheetId="56"/>
      <sheetData sheetId="57"/>
      <sheetData sheetId="58">
        <row r="7">
          <cell r="C7" t="str">
            <v>Cant.</v>
          </cell>
        </row>
      </sheetData>
      <sheetData sheetId="59">
        <row r="7">
          <cell r="C7" t="str">
            <v>Cant.</v>
          </cell>
        </row>
      </sheetData>
      <sheetData sheetId="60">
        <row r="7">
          <cell r="C7" t="str">
            <v>Cant.</v>
          </cell>
        </row>
      </sheetData>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ow r="1">
          <cell r="E1">
            <v>0</v>
          </cell>
        </row>
      </sheetData>
      <sheetData sheetId="77">
        <row r="6">
          <cell r="C6" t="str">
            <v>CANT.</v>
          </cell>
        </row>
      </sheetData>
      <sheetData sheetId="78"/>
      <sheetData sheetId="79">
        <row r="6">
          <cell r="C6" t="str">
            <v>CANT.</v>
          </cell>
        </row>
      </sheetData>
      <sheetData sheetId="80">
        <row r="6">
          <cell r="C6" t="str">
            <v>CANT.</v>
          </cell>
        </row>
      </sheetData>
      <sheetData sheetId="81">
        <row r="4">
          <cell r="C4">
            <v>0</v>
          </cell>
        </row>
      </sheetData>
      <sheetData sheetId="82"/>
      <sheetData sheetId="83"/>
      <sheetData sheetId="84"/>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oject"/>
      <sheetName val="Oficio"/>
      <sheetName val="PRESUPUESTO pañetado"/>
      <sheetName val="PRESUPUESTO violinado"/>
      <sheetName val="Analisis Unit. "/>
      <sheetName val="Datos Para Project"/>
      <sheetName val="Cargas Sociales"/>
      <sheetName val="Tarifas de Alquiler de Equipo"/>
      <sheetName val="PRE Desvio Alcant.  Potable"/>
      <sheetName val="Análisis"/>
      <sheetName val="Insumos materiales"/>
      <sheetName val="Costos Mano de Obra"/>
      <sheetName val="Ana. Horm mexc mort"/>
      <sheetName val="Equipos"/>
      <sheetName val="EST N. DE OVANDO CENTRAL (MOD. "/>
      <sheetName val="O.M. y Salarios"/>
      <sheetName val="Resumen Precio Equipos"/>
      <sheetName val="Materiales"/>
      <sheetName val="qqVgas"/>
      <sheetName val="datos_project"/>
      <sheetName val="PRESUPUESTO_pañetado"/>
      <sheetName val="PRESUPUESTO_violinado"/>
      <sheetName val="Analisis_Unit__"/>
      <sheetName val="Datos_Para_Project"/>
      <sheetName val="Cargas_Sociales"/>
      <sheetName val="Tarifas_de_Alquiler_de_Equipo"/>
      <sheetName val="PRE_Desvio_Alcant___Potable"/>
      <sheetName val="análisis de costo edificios"/>
      <sheetName val="Insumos_materiales"/>
      <sheetName val="Costos_Mano_de_Obra"/>
      <sheetName val="Ana__Horm_mexc_mort"/>
      <sheetName val="EST_N__DE_OVANDO_CENTRAL_(MOD__"/>
      <sheetName val="análisis_de_costo_edificios"/>
      <sheetName val="datos_project1"/>
      <sheetName val="PRESUPUESTO_pañetado1"/>
      <sheetName val="PRESUPUESTO_violinado1"/>
      <sheetName val="Analisis_Unit__1"/>
      <sheetName val="Datos_Para_Project1"/>
      <sheetName val="Cargas_Sociales1"/>
      <sheetName val="Tarifas_de_Alquiler_de_Equipo1"/>
      <sheetName val="PRE_Desvio_Alcant___Potable1"/>
      <sheetName val="Insumos_materiales1"/>
      <sheetName val="Costos_Mano_de_Obra1"/>
      <sheetName val="Ana__Horm_mexc_mort1"/>
      <sheetName val="EST_N__DE_OVANDO_CENTRAL_(MOD_1"/>
      <sheetName val="análisis_de_costo_edificios1"/>
      <sheetName val="datos_project2"/>
      <sheetName val="PRESUPUESTO_pañetado2"/>
      <sheetName val="PRESUPUESTO_violinado2"/>
      <sheetName val="Analisis_Unit__2"/>
      <sheetName val="Datos_Para_Project2"/>
      <sheetName val="Cargas_Sociales2"/>
      <sheetName val="Tarifas_de_Alquiler_de_Equipo2"/>
      <sheetName val="PRE_Desvio_Alcant___Potable2"/>
      <sheetName val="Insumos_materiales2"/>
      <sheetName val="Costos_Mano_de_Obra2"/>
      <sheetName val="Ana__Horm_mexc_mort2"/>
      <sheetName val="EST_N__DE_OVANDO_CENTRAL_(MOD_2"/>
      <sheetName val="análisis_de_costo_edificios2"/>
      <sheetName val="datos_project3"/>
      <sheetName val="PRESUPUESTO_pañetado3"/>
      <sheetName val="PRESUPUESTO_violinado3"/>
      <sheetName val="Analisis_Unit__3"/>
      <sheetName val="Datos_Para_Project3"/>
      <sheetName val="Cargas_Sociales3"/>
      <sheetName val="Tarifas_de_Alquiler_de_Equipo3"/>
      <sheetName val="PRE_Desvio_Alcant___Potable3"/>
      <sheetName val="Insumos_materiales3"/>
      <sheetName val="Costos_Mano_de_Obra3"/>
      <sheetName val="Ana__Horm_mexc_mort3"/>
      <sheetName val="EST_N__DE_OVANDO_CENTRAL_(MOD_3"/>
      <sheetName val="análisis_de_costo_edificios3"/>
      <sheetName val="datos_project4"/>
      <sheetName val="PRESUPUESTO_pañetado4"/>
      <sheetName val="PRESUPUESTO_violinado4"/>
      <sheetName val="Analisis_Unit__4"/>
      <sheetName val="Datos_Para_Project4"/>
      <sheetName val="Cargas_Sociales4"/>
      <sheetName val="Tarifas_de_Alquiler_de_Equipo4"/>
      <sheetName val="PRE_Desvio_Alcant___Potable4"/>
      <sheetName val="Insumos_materiales4"/>
      <sheetName val="Costos_Mano_de_Obra4"/>
      <sheetName val="Ana__Horm_mexc_mort4"/>
      <sheetName val="EST_N__DE_OVANDO_CENTRAL_(MOD_4"/>
      <sheetName val="análisis_de_costo_edificios4"/>
      <sheetName val="datos_project5"/>
      <sheetName val="PRESUPUESTO_pañetado5"/>
      <sheetName val="PRESUPUESTO_violinado5"/>
      <sheetName val="Analisis_Unit__5"/>
      <sheetName val="Datos_Para_Project5"/>
      <sheetName val="Cargas_Sociales5"/>
      <sheetName val="Tarifas_de_Alquiler_de_Equipo5"/>
      <sheetName val="PRE_Desvio_Alcant___Potable5"/>
      <sheetName val="Insumos_materiales5"/>
      <sheetName val="Costos_Mano_de_Obra5"/>
      <sheetName val="Ana__Horm_mexc_mort5"/>
      <sheetName val="EST_N__DE_OVANDO_CENTRAL_(MOD_5"/>
      <sheetName val="análisis_de_costo_edificios5"/>
      <sheetName val="listado equipos a utilizar"/>
      <sheetName val="Ana. blocks y termin."/>
    </sheetNames>
    <sheetDataSet>
      <sheetData sheetId="0">
        <row r="3">
          <cell r="G3">
            <v>212.68726395300044</v>
          </cell>
        </row>
      </sheetData>
      <sheetData sheetId="1">
        <row r="3">
          <cell r="G3">
            <v>212.68726395300044</v>
          </cell>
        </row>
      </sheetData>
      <sheetData sheetId="2">
        <row r="3">
          <cell r="G3">
            <v>212.68726395300044</v>
          </cell>
        </row>
      </sheetData>
      <sheetData sheetId="3">
        <row r="3">
          <cell r="G3">
            <v>212.68726395300044</v>
          </cell>
        </row>
      </sheetData>
      <sheetData sheetId="4">
        <row r="3">
          <cell r="G3">
            <v>212.68726395300044</v>
          </cell>
        </row>
        <row r="4">
          <cell r="G4">
            <v>141.52328997062529</v>
          </cell>
        </row>
        <row r="5">
          <cell r="G5">
            <v>73.32996747796895</v>
          </cell>
        </row>
        <row r="41">
          <cell r="F41">
            <v>900</v>
          </cell>
        </row>
        <row r="42">
          <cell r="F42">
            <v>800</v>
          </cell>
        </row>
        <row r="44">
          <cell r="F44">
            <v>1180</v>
          </cell>
        </row>
        <row r="47">
          <cell r="F47">
            <v>320</v>
          </cell>
        </row>
        <row r="49">
          <cell r="F49">
            <v>225</v>
          </cell>
        </row>
        <row r="64">
          <cell r="F64">
            <v>3651.0638888888889</v>
          </cell>
        </row>
        <row r="74">
          <cell r="F74">
            <v>3252.5111111111114</v>
          </cell>
        </row>
        <row r="85">
          <cell r="F85">
            <v>4011.2777777777778</v>
          </cell>
        </row>
      </sheetData>
      <sheetData sheetId="5">
        <row r="3">
          <cell r="G3">
            <v>212.68726395300044</v>
          </cell>
        </row>
      </sheetData>
      <sheetData sheetId="6">
        <row r="3">
          <cell r="G3">
            <v>212.68726395300044</v>
          </cell>
        </row>
        <row r="23">
          <cell r="G23">
            <v>1.3036438662750036</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
          <cell r="G3">
            <v>212.68726395300044</v>
          </cell>
        </row>
      </sheetData>
      <sheetData sheetId="20">
        <row r="3">
          <cell r="G3">
            <v>212.68726395300044</v>
          </cell>
        </row>
      </sheetData>
      <sheetData sheetId="21">
        <row r="3">
          <cell r="G3">
            <v>212.68726395300044</v>
          </cell>
        </row>
      </sheetData>
      <sheetData sheetId="22">
        <row r="3">
          <cell r="G3">
            <v>212.68726395300044</v>
          </cell>
        </row>
      </sheetData>
      <sheetData sheetId="23">
        <row r="3">
          <cell r="G3">
            <v>212.68726395300044</v>
          </cell>
        </row>
      </sheetData>
      <sheetData sheetId="24">
        <row r="3">
          <cell r="G3">
            <v>212.68726395300044</v>
          </cell>
        </row>
      </sheetData>
      <sheetData sheetId="25">
        <row r="3">
          <cell r="G3">
            <v>212.68726395300044</v>
          </cell>
        </row>
      </sheetData>
      <sheetData sheetId="26"/>
      <sheetData sheetId="27" refreshError="1"/>
      <sheetData sheetId="28"/>
      <sheetData sheetId="29"/>
      <sheetData sheetId="30"/>
      <sheetData sheetId="31"/>
      <sheetData sheetId="32"/>
      <sheetData sheetId="33">
        <row r="3">
          <cell r="G3">
            <v>212.68726395300044</v>
          </cell>
        </row>
      </sheetData>
      <sheetData sheetId="34">
        <row r="3">
          <cell r="G3">
            <v>212.68726395300044</v>
          </cell>
        </row>
      </sheetData>
      <sheetData sheetId="35">
        <row r="3">
          <cell r="G3">
            <v>212.68726395300044</v>
          </cell>
        </row>
      </sheetData>
      <sheetData sheetId="36">
        <row r="3">
          <cell r="G3">
            <v>212.68726395300044</v>
          </cell>
        </row>
      </sheetData>
      <sheetData sheetId="37">
        <row r="3">
          <cell r="G3">
            <v>212.68726395300044</v>
          </cell>
        </row>
      </sheetData>
      <sheetData sheetId="38">
        <row r="3">
          <cell r="G3">
            <v>212.68726395300044</v>
          </cell>
        </row>
      </sheetData>
      <sheetData sheetId="39"/>
      <sheetData sheetId="40"/>
      <sheetData sheetId="41"/>
      <sheetData sheetId="42"/>
      <sheetData sheetId="43"/>
      <sheetData sheetId="44"/>
      <sheetData sheetId="45"/>
      <sheetData sheetId="46">
        <row r="3">
          <cell r="G3">
            <v>212.68726395300044</v>
          </cell>
        </row>
      </sheetData>
      <sheetData sheetId="47">
        <row r="3">
          <cell r="G3">
            <v>212.68726395300044</v>
          </cell>
        </row>
      </sheetData>
      <sheetData sheetId="48">
        <row r="3">
          <cell r="G3">
            <v>212.68726395300044</v>
          </cell>
        </row>
      </sheetData>
      <sheetData sheetId="49">
        <row r="3">
          <cell r="G3">
            <v>212.68726395300044</v>
          </cell>
        </row>
      </sheetData>
      <sheetData sheetId="50">
        <row r="3">
          <cell r="G3">
            <v>212.68726395300044</v>
          </cell>
        </row>
      </sheetData>
      <sheetData sheetId="51">
        <row r="3">
          <cell r="G3">
            <v>212.68726395300044</v>
          </cell>
        </row>
      </sheetData>
      <sheetData sheetId="52"/>
      <sheetData sheetId="53"/>
      <sheetData sheetId="54"/>
      <sheetData sheetId="55"/>
      <sheetData sheetId="56"/>
      <sheetData sheetId="57"/>
      <sheetData sheetId="58"/>
      <sheetData sheetId="59">
        <row r="3">
          <cell r="G3">
            <v>212.68726395300044</v>
          </cell>
        </row>
      </sheetData>
      <sheetData sheetId="60">
        <row r="3">
          <cell r="G3">
            <v>212.68726395300044</v>
          </cell>
        </row>
      </sheetData>
      <sheetData sheetId="61">
        <row r="3">
          <cell r="G3">
            <v>212.68726395300044</v>
          </cell>
        </row>
      </sheetData>
      <sheetData sheetId="62">
        <row r="3">
          <cell r="G3">
            <v>212.68726395300044</v>
          </cell>
        </row>
      </sheetData>
      <sheetData sheetId="63">
        <row r="3">
          <cell r="G3">
            <v>212.68726395300044</v>
          </cell>
        </row>
      </sheetData>
      <sheetData sheetId="64">
        <row r="3">
          <cell r="G3">
            <v>212.68726395300044</v>
          </cell>
        </row>
      </sheetData>
      <sheetData sheetId="65"/>
      <sheetData sheetId="66"/>
      <sheetData sheetId="67"/>
      <sheetData sheetId="68"/>
      <sheetData sheetId="69"/>
      <sheetData sheetId="70"/>
      <sheetData sheetId="71"/>
      <sheetData sheetId="72">
        <row r="3">
          <cell r="G3">
            <v>212.68726395300044</v>
          </cell>
        </row>
      </sheetData>
      <sheetData sheetId="73">
        <row r="3">
          <cell r="G3">
            <v>212.68726395300044</v>
          </cell>
        </row>
      </sheetData>
      <sheetData sheetId="74">
        <row r="3">
          <cell r="G3">
            <v>212.68726395300044</v>
          </cell>
        </row>
      </sheetData>
      <sheetData sheetId="75">
        <row r="3">
          <cell r="G3">
            <v>212.68726395300044</v>
          </cell>
        </row>
      </sheetData>
      <sheetData sheetId="76">
        <row r="3">
          <cell r="G3">
            <v>212.68726395300044</v>
          </cell>
        </row>
      </sheetData>
      <sheetData sheetId="77">
        <row r="3">
          <cell r="G3">
            <v>212.68726395300044</v>
          </cell>
        </row>
      </sheetData>
      <sheetData sheetId="78"/>
      <sheetData sheetId="79"/>
      <sheetData sheetId="80"/>
      <sheetData sheetId="81"/>
      <sheetData sheetId="82"/>
      <sheetData sheetId="83"/>
      <sheetData sheetId="84"/>
      <sheetData sheetId="85">
        <row r="3">
          <cell r="G3">
            <v>212.68726395300044</v>
          </cell>
        </row>
      </sheetData>
      <sheetData sheetId="86">
        <row r="3">
          <cell r="G3">
            <v>212.68726395300044</v>
          </cell>
        </row>
      </sheetData>
      <sheetData sheetId="87">
        <row r="3">
          <cell r="G3">
            <v>212.68726395300044</v>
          </cell>
        </row>
      </sheetData>
      <sheetData sheetId="88">
        <row r="3">
          <cell r="G3">
            <v>212.68726395300044</v>
          </cell>
        </row>
      </sheetData>
      <sheetData sheetId="89">
        <row r="3">
          <cell r="G3">
            <v>212.68726395300044</v>
          </cell>
        </row>
      </sheetData>
      <sheetData sheetId="90">
        <row r="3">
          <cell r="G3">
            <v>212.68726395300044</v>
          </cell>
        </row>
      </sheetData>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Listado Equipos a utilizar"/>
      <sheetName val="Analisis"/>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M.O."/>
      <sheetName val="Ins"/>
      <sheetName val="Ana"/>
      <sheetName val="Análisis de Precios"/>
      <sheetName val="Sheet4"/>
      <sheetName val="Sheet5"/>
      <sheetName val="Mezcla"/>
      <sheetName val="insumo"/>
      <sheetName val="Preferencias"/>
      <sheetName val="Cuantía"/>
      <sheetName val="AISC 13th Ed. Properties Viewer"/>
      <sheetName val="Puertas-Ventanas"/>
      <sheetName val="Finanzas"/>
      <sheetName val="Recursos"/>
      <sheetName val="Rendimiento"/>
      <sheetName val="Personal"/>
      <sheetName val="Presupuesto-Zapata Aislada"/>
      <sheetName val="Tramo_I1"/>
      <sheetName val="Tramo_I_(alt__&quot;B&quot;)1"/>
      <sheetName val="Tramo_II1"/>
      <sheetName val="Tramo_II_(alt_&quot;B&quot;)1"/>
      <sheetName val="Tramo_III1"/>
      <sheetName val="Tramo_III_(Alt__&quot;B&quot;)1"/>
      <sheetName val="Tramo_IV1"/>
      <sheetName val="Tramo_IV_(Alt_&quot;B&quot;)1"/>
      <sheetName val="Tramo_V1"/>
      <sheetName val="Tramo_V_(Alt__&quot;B&quot;)1"/>
      <sheetName val="Tramo_IV_(2)1"/>
      <sheetName val="Listado_Equipos_a_utilizar1"/>
      <sheetName val="Analisis_de_Costos_Aceras"/>
      <sheetName val="MANT_TRANSITO"/>
      <sheetName val="anal_term"/>
      <sheetName val="M_O_"/>
      <sheetName val="Tramo_I2"/>
      <sheetName val="Tramo_I_(alt__&quot;B&quot;)2"/>
      <sheetName val="Tramo_II2"/>
      <sheetName val="Tramo_II_(alt_&quot;B&quot;)2"/>
      <sheetName val="Tramo_III2"/>
      <sheetName val="Tramo_III_(Alt__&quot;B&quot;)2"/>
      <sheetName val="Tramo_IV2"/>
      <sheetName val="Tramo_IV_(Alt_&quot;B&quot;)2"/>
      <sheetName val="Tramo_V2"/>
      <sheetName val="Tramo_V_(Alt__&quot;B&quot;)2"/>
      <sheetName val="Tramo_IV_(2)2"/>
      <sheetName val="Listado_Equipos_a_utilizar2"/>
      <sheetName val="Analisis_de_Costos_Aceras1"/>
      <sheetName val="MANT_TRANSITO1"/>
      <sheetName val="anal_term1"/>
      <sheetName val="M_O_1"/>
      <sheetName val="Tramo_I3"/>
      <sheetName val="Tramo_I_(alt__&quot;B&quot;)3"/>
      <sheetName val="Tramo_II3"/>
      <sheetName val="Tramo_II_(alt_&quot;B&quot;)3"/>
      <sheetName val="Tramo_III3"/>
      <sheetName val="Tramo_III_(Alt__&quot;B&quot;)3"/>
      <sheetName val="Tramo_IV3"/>
      <sheetName val="Tramo_IV_(Alt_&quot;B&quot;)3"/>
      <sheetName val="Tramo_V3"/>
      <sheetName val="Tramo_V_(Alt__&quot;B&quot;)3"/>
      <sheetName val="Tramo_IV_(2)3"/>
      <sheetName val="Listado_Equipos_a_utilizar3"/>
      <sheetName val="Analisis_de_Costos_Aceras2"/>
      <sheetName val="MANT_TRANSITO2"/>
      <sheetName val="anal_term2"/>
      <sheetName val="M_O_2"/>
      <sheetName val="Tramo_I4"/>
      <sheetName val="Tramo_I_(alt__&quot;B&quot;)4"/>
      <sheetName val="Tramo_II4"/>
      <sheetName val="Tramo_II_(alt_&quot;B&quot;)4"/>
      <sheetName val="Tramo_III4"/>
      <sheetName val="Tramo_III_(Alt__&quot;B&quot;)4"/>
      <sheetName val="Tramo_IV4"/>
      <sheetName val="Tramo_IV_(Alt_&quot;B&quot;)4"/>
      <sheetName val="Tramo_V4"/>
      <sheetName val="Tramo_V_(Alt__&quot;B&quot;)4"/>
      <sheetName val="Tramo_IV_(2)4"/>
      <sheetName val="Listado_Equipos_a_utilizar4"/>
      <sheetName val="Analisis_de_Costos_Aceras3"/>
      <sheetName val="MANT_TRANSITO3"/>
      <sheetName val="anal_term3"/>
      <sheetName val="M_O_3"/>
      <sheetName val="Análisis_de_Precios1"/>
      <sheetName val="Análisis_de_Precios"/>
      <sheetName val="Tramo_I5"/>
      <sheetName val="Tramo_I_(alt__&quot;B&quot;)5"/>
      <sheetName val="Tramo_II5"/>
      <sheetName val="Tramo_II_(alt_&quot;B&quot;)5"/>
      <sheetName val="Tramo_III5"/>
      <sheetName val="Tramo_III_(Alt__&quot;B&quot;)5"/>
      <sheetName val="Tramo_IV5"/>
      <sheetName val="Tramo_IV_(Alt_&quot;B&quot;)5"/>
      <sheetName val="Tramo_V5"/>
      <sheetName val="Tramo_V_(Alt__&quot;B&quot;)5"/>
      <sheetName val="Tramo_IV_(2)5"/>
      <sheetName val="Listado_Equipos_a_utilizar5"/>
      <sheetName val="Analisis_de_Costos_Aceras4"/>
      <sheetName val="MANT_TRANSITO4"/>
      <sheetName val="anal_term4"/>
      <sheetName val="M_O_4"/>
      <sheetName val="Tramo_I6"/>
      <sheetName val="Tramo_I_(alt__&quot;B&quot;)6"/>
      <sheetName val="Tramo_II6"/>
      <sheetName val="Tramo_II_(alt_&quot;B&quot;)6"/>
      <sheetName val="Tramo_III6"/>
      <sheetName val="Tramo_III_(Alt__&quot;B&quot;)6"/>
      <sheetName val="Tramo_IV6"/>
      <sheetName val="Tramo_IV_(Alt_&quot;B&quot;)6"/>
      <sheetName val="Tramo_V6"/>
      <sheetName val="Tramo_V_(Alt__&quot;B&quot;)6"/>
      <sheetName val="Tramo_IV_(2)6"/>
      <sheetName val="Listado_Equipos_a_utilizar6"/>
      <sheetName val="Analisis_de_Costos_Aceras5"/>
      <sheetName val="MANT_TRANSITO5"/>
      <sheetName val="anal_term5"/>
      <sheetName val="M_O_5"/>
      <sheetName val="caseta de planta"/>
      <sheetName val="Ana. blocks y termin."/>
      <sheetName val="Costos Mano de Obra"/>
      <sheetName val="Insumos materiales"/>
      <sheetName val="Ana. Horm mexc mort"/>
      <sheetName val="#¡REF"/>
      <sheetName val="V.Tierras A"/>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3">
          <cell r="F43">
            <v>30</v>
          </cell>
        </row>
        <row r="72">
          <cell r="F72">
            <v>43.4</v>
          </cell>
        </row>
        <row r="75">
          <cell r="F75">
            <v>37.200000000000003</v>
          </cell>
        </row>
        <row r="76">
          <cell r="F76">
            <v>43.4</v>
          </cell>
        </row>
        <row r="77">
          <cell r="F77">
            <v>43.4</v>
          </cell>
        </row>
      </sheetData>
      <sheetData sheetId="13" refreshError="1">
        <row r="8">
          <cell r="I8">
            <v>726.05</v>
          </cell>
        </row>
        <row r="9">
          <cell r="I9">
            <v>512.15</v>
          </cell>
        </row>
        <row r="11">
          <cell r="I11">
            <v>344.75</v>
          </cell>
        </row>
        <row r="14">
          <cell r="I14">
            <v>414.5</v>
          </cell>
        </row>
        <row r="15">
          <cell r="I15">
            <v>414.5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Hoja1"/>
      <sheetName val="Factura"/>
      <sheetName val="Factura (593)"/>
      <sheetName val="Hoja2"/>
      <sheetName val="Factura (594)"/>
      <sheetName val="Factura (595)"/>
      <sheetName val="Factura (596)"/>
      <sheetName val="Macros"/>
      <sheetName val="ATW"/>
      <sheetName val="Lock"/>
      <sheetName val="TemplateInformation"/>
      <sheetName val="COTIZA~2"/>
    </sheetNames>
    <sheetDataSet>
      <sheetData sheetId="0" refreshError="1"/>
      <sheetData sheetId="1">
        <row r="22">
          <cell r="G22" t="str">
            <v>Tarjeta 1</v>
          </cell>
        </row>
        <row r="23">
          <cell r="G23" t="str">
            <v>Tarjeta 2</v>
          </cell>
        </row>
        <row r="24">
          <cell r="G24" t="str">
            <v>Tarjeta 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Cornisa de 2.62 pie"/>
      <sheetName val="Volumetria piso 16"/>
      <sheetName val="Hoja de calculo Recubrimiento"/>
      <sheetName val="Calculo Metales NIVEL 17"/>
      <sheetName val="Ana.precios un"/>
      <sheetName val="Factura (813)"/>
      <sheetName val="Analisis"/>
      <sheetName val="Insumos materiales"/>
      <sheetName val="Costos Mano de Obra"/>
      <sheetName val="Ana. Horm mexc mort"/>
      <sheetName val="Análisis"/>
      <sheetName val="Resumen Precio Equipos"/>
    </sheetNames>
    <sheetDataSet>
      <sheetData sheetId="0">
        <row r="30">
          <cell r="L30">
            <v>6.7</v>
          </cell>
        </row>
        <row r="31">
          <cell r="L31">
            <v>6.7</v>
          </cell>
        </row>
        <row r="35">
          <cell r="L35">
            <v>13.1976</v>
          </cell>
        </row>
        <row r="36">
          <cell r="L36">
            <v>7.3216000000000001</v>
          </cell>
        </row>
        <row r="38">
          <cell r="L38">
            <v>203.57</v>
          </cell>
        </row>
        <row r="40">
          <cell r="L40">
            <v>425</v>
          </cell>
        </row>
        <row r="41">
          <cell r="L41">
            <v>50.4</v>
          </cell>
        </row>
        <row r="43">
          <cell r="L43">
            <v>41.552000000000007</v>
          </cell>
        </row>
      </sheetData>
      <sheetData sheetId="1" refreshError="1"/>
      <sheetData sheetId="2" refreshError="1"/>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row r="60">
          <cell r="E60">
            <v>519.29974515533274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s>
    <sheetDataSet>
      <sheetData sheetId="0">
        <row r="767">
          <cell r="D767">
            <v>20</v>
          </cell>
        </row>
        <row r="770">
          <cell r="D770">
            <v>45.14</v>
          </cell>
        </row>
      </sheetData>
      <sheetData sheetId="1">
        <row r="10">
          <cell r="C10">
            <v>350</v>
          </cell>
        </row>
      </sheetData>
      <sheetData sheetId="2"/>
      <sheetData sheetId="3">
        <row r="212">
          <cell r="H212">
            <v>2563.4295469815961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COSTO INDIRECTO"/>
      <sheetName val="OPERADORES EQUIPOS"/>
      <sheetName val="LISTADO INSUMOS DEL 2000"/>
      <sheetName val="Listado Equipos a utilizar"/>
      <sheetName val="Insumos"/>
      <sheetName val="Analisis Unit. "/>
      <sheetName val="Cargas Sociales"/>
      <sheetName val="EQUIPOS"/>
      <sheetName val="M_O_"/>
      <sheetName val="HORM__Y_MORTEROS_"/>
      <sheetName val="ANALISIS_FRED"/>
      <sheetName val="Ana_MELLIZAS"/>
      <sheetName val="Pres_InstSanit_"/>
      <sheetName val="Pres_InstElect_"/>
      <sheetName val="Listado_Equipos_a_utilizar"/>
      <sheetName val="COSTO_INDIRECTO"/>
      <sheetName val="OPERADORES_EQUIPOS"/>
      <sheetName val="LISTADO_INSUMOS_DEL_2000"/>
      <sheetName val="Analisis_Unit__"/>
      <sheetName val="Cargas_Sociales"/>
      <sheetName val="M_O_1"/>
      <sheetName val="HORM__Y_MORTEROS_1"/>
      <sheetName val="ANALISIS_FRED1"/>
      <sheetName val="Ana_MELLIZAS1"/>
      <sheetName val="Pres_InstSanit_1"/>
      <sheetName val="Pres_InstElect_1"/>
      <sheetName val="Listado_Equipos_a_utilizar1"/>
      <sheetName val="COSTO_INDIRECTO1"/>
      <sheetName val="OPERADORES_EQUIPOS1"/>
      <sheetName val="LISTADO_INSUMOS_DEL_20001"/>
      <sheetName val="Analisis_Unit__1"/>
      <sheetName val="Cargas_Sociales1"/>
      <sheetName val="M_O_2"/>
      <sheetName val="HORM__Y_MORTEROS_2"/>
      <sheetName val="ANALISIS_FRED2"/>
      <sheetName val="Ana_MELLIZAS2"/>
      <sheetName val="Pres_InstSanit_2"/>
      <sheetName val="Pres_InstElect_2"/>
      <sheetName val="Listado_Equipos_a_utilizar2"/>
      <sheetName val="COSTO_INDIRECTO2"/>
      <sheetName val="OPERADORES_EQUIPOS2"/>
      <sheetName val="LISTADO_INSUMOS_DEL_20002"/>
      <sheetName val="Analisis_Unit__2"/>
      <sheetName val="Cargas_Sociales2"/>
      <sheetName val="M_O_3"/>
      <sheetName val="HORM__Y_MORTEROS_3"/>
      <sheetName val="ANALISIS_FRED3"/>
      <sheetName val="Ana_MELLIZAS3"/>
      <sheetName val="Pres_InstSanit_3"/>
      <sheetName val="Pres_InstElect_3"/>
      <sheetName val="Listado_Equipos_a_utilizar3"/>
      <sheetName val="COSTO_INDIRECTO3"/>
      <sheetName val="OPERADORES_EQUIPOS3"/>
      <sheetName val="LISTADO_INSUMOS_DEL_20003"/>
      <sheetName val="Analisis_Unit__3"/>
      <sheetName val="Cargas_Sociales3"/>
      <sheetName val="qqVgas"/>
      <sheetName val="MATERIALES"/>
      <sheetName val="OBRAMANO"/>
      <sheetName val="ANALISIS H-A "/>
      <sheetName val="Jornal"/>
      <sheetName val="Unified Pagos- factura_rep.txt"/>
      <sheetName val="M_O_4"/>
      <sheetName val="HORM__Y_MORTEROS_4"/>
      <sheetName val="ANALISIS_FRED4"/>
      <sheetName val="Ana_MELLIZAS4"/>
      <sheetName val="Pres_InstSanit_4"/>
      <sheetName val="Pres_InstElect_4"/>
      <sheetName val="Listado_Equipos_a_utilizar4"/>
      <sheetName val="COSTO_INDIRECTO4"/>
      <sheetName val="OPERADORES_EQUIPOS4"/>
      <sheetName val="LISTADO_INSUMOS_DEL_20004"/>
      <sheetName val="Analisis_Unit__4"/>
      <sheetName val="Cargas_Sociales4"/>
      <sheetName val="M_O_5"/>
      <sheetName val="HORM__Y_MORTEROS_5"/>
      <sheetName val="ANALISIS_FRED5"/>
      <sheetName val="Ana_MELLIZAS5"/>
      <sheetName val="Pres_InstSanit_5"/>
      <sheetName val="Pres_InstElect_5"/>
      <sheetName val="Listado_Equipos_a_utilizar5"/>
      <sheetName val="COSTO_INDIRECTO5"/>
      <sheetName val="OPERADORES_EQUIPOS5"/>
      <sheetName val="LISTADO_INSUMOS_DEL_20005"/>
      <sheetName val="Analisis_Unit__5"/>
      <sheetName val="Cargas_Sociales5"/>
      <sheetName val="INSUMO"/>
      <sheetName val="MANO DE OBRA"/>
      <sheetName val="Insumos materiales"/>
      <sheetName val="Costos Mano de Obra"/>
      <sheetName val="Ana. Horm mexc mort"/>
      <sheetName val="Pu-Sanit."/>
      <sheetName val="Mat"/>
      <sheetName val="anal term"/>
      <sheetName val="Sheet4"/>
      <sheetName val="Sheet5"/>
      <sheetName val="análisis de precios"/>
      <sheetName val="caseta de planta"/>
      <sheetName val="Mezcla"/>
      <sheetName val="analisis de costo"/>
      <sheetName val="Col.Amarre"/>
      <sheetName val="Escalera"/>
      <sheetName val="Muros"/>
      <sheetName val="Precio"/>
      <sheetName val="CUBICACION"/>
      <sheetName val="MOCuadrillas"/>
    </sheetNames>
    <sheetDataSet>
      <sheetData sheetId="0" refreshError="1">
        <row r="767">
          <cell r="D767">
            <v>20</v>
          </cell>
        </row>
        <row r="770">
          <cell r="D770">
            <v>45.14</v>
          </cell>
        </row>
      </sheetData>
      <sheetData sheetId="1" refreshError="1">
        <row r="10">
          <cell r="C10">
            <v>350</v>
          </cell>
        </row>
      </sheetData>
      <sheetData sheetId="2" refreshError="1"/>
      <sheetData sheetId="3" refreshError="1">
        <row r="10">
          <cell r="C10">
            <v>350</v>
          </cell>
        </row>
        <row r="212">
          <cell r="H212">
            <v>2563.4295469815961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0">
          <cell r="C10">
            <v>43335</v>
          </cell>
        </row>
      </sheetData>
      <sheetData sheetId="22">
        <row r="212">
          <cell r="H212">
            <v>2563.4295469815961</v>
          </cell>
        </row>
      </sheetData>
      <sheetData sheetId="23">
        <row r="212">
          <cell r="H212">
            <v>2563.4295469815961</v>
          </cell>
        </row>
      </sheetData>
      <sheetData sheetId="24">
        <row r="212">
          <cell r="H212">
            <v>2563.4295469815961</v>
          </cell>
        </row>
      </sheetData>
      <sheetData sheetId="25">
        <row r="212">
          <cell r="H212">
            <v>2563.4295469815961</v>
          </cell>
        </row>
      </sheetData>
      <sheetData sheetId="26">
        <row r="212">
          <cell r="H212">
            <v>2563.4295469815961</v>
          </cell>
        </row>
      </sheetData>
      <sheetData sheetId="27">
        <row r="212">
          <cell r="H212">
            <v>2563.4295469815961</v>
          </cell>
        </row>
      </sheetData>
      <sheetData sheetId="28">
        <row r="212">
          <cell r="H212">
            <v>2563.4295469815961</v>
          </cell>
        </row>
      </sheetData>
      <sheetData sheetId="29">
        <row r="212">
          <cell r="H212">
            <v>2563.4295469815961</v>
          </cell>
        </row>
      </sheetData>
      <sheetData sheetId="30">
        <row r="212">
          <cell r="H212">
            <v>2563.4295469815961</v>
          </cell>
        </row>
      </sheetData>
      <sheetData sheetId="31">
        <row r="212">
          <cell r="H212">
            <v>2563.4295469815961</v>
          </cell>
        </row>
      </sheetData>
      <sheetData sheetId="32">
        <row r="212">
          <cell r="H212">
            <v>2563.4295469815961</v>
          </cell>
        </row>
      </sheetData>
      <sheetData sheetId="33">
        <row r="212">
          <cell r="H212">
            <v>2563.4295469815961</v>
          </cell>
        </row>
      </sheetData>
      <sheetData sheetId="34">
        <row r="212">
          <cell r="H212">
            <v>2563.4295469815961</v>
          </cell>
        </row>
      </sheetData>
      <sheetData sheetId="35">
        <row r="212">
          <cell r="H212">
            <v>2563.4295469815961</v>
          </cell>
        </row>
      </sheetData>
      <sheetData sheetId="36">
        <row r="212">
          <cell r="H212">
            <v>2563.4295469815961</v>
          </cell>
        </row>
      </sheetData>
      <sheetData sheetId="37">
        <row r="212">
          <cell r="H212">
            <v>2563.4295469815961</v>
          </cell>
        </row>
      </sheetData>
      <sheetData sheetId="38">
        <row r="212">
          <cell r="H212">
            <v>2563.4295469815961</v>
          </cell>
        </row>
      </sheetData>
      <sheetData sheetId="39">
        <row r="212">
          <cell r="H212">
            <v>2563.4295469815961</v>
          </cell>
        </row>
      </sheetData>
      <sheetData sheetId="40"/>
      <sheetData sheetId="41">
        <row r="212">
          <cell r="H212">
            <v>2563.4295469815961</v>
          </cell>
        </row>
      </sheetData>
      <sheetData sheetId="42">
        <row r="212">
          <cell r="H212">
            <v>2563.4295469815961</v>
          </cell>
        </row>
      </sheetData>
      <sheetData sheetId="43">
        <row r="212">
          <cell r="H212">
            <v>2563.4295469815961</v>
          </cell>
        </row>
      </sheetData>
      <sheetData sheetId="44">
        <row r="212">
          <cell r="H212">
            <v>2563.4295469815961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0">
          <cell r="C10">
            <v>43335</v>
          </cell>
        </row>
      </sheetData>
      <sheetData sheetId="69">
        <row r="212">
          <cell r="H212">
            <v>2563.4295469815961</v>
          </cell>
        </row>
      </sheetData>
      <sheetData sheetId="70" refreshError="1"/>
      <sheetData sheetId="71" refreshError="1"/>
      <sheetData sheetId="72" refreshError="1"/>
      <sheetData sheetId="73" refreshError="1"/>
      <sheetData sheetId="74">
        <row r="10">
          <cell r="C10">
            <v>43335</v>
          </cell>
        </row>
      </sheetData>
      <sheetData sheetId="75">
        <row r="10">
          <cell r="C10">
            <v>43335</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0">
          <cell r="C10">
            <v>43335</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Insumos"/>
      <sheetName val="Análisis"/>
      <sheetName val="HOTEL SUNSCAPE EDF. I"/>
      <sheetName val="Hormigones Bavaro"/>
      <sheetName val="Parte Electrica"/>
      <sheetName val="Arcos"/>
      <sheetName val="Cronograma"/>
      <sheetName val="INS"/>
      <sheetName val="HORM. Y MORTEROS."/>
      <sheetName val="SALARIOS"/>
      <sheetName val="Listado Equipos a utilizar"/>
      <sheetName val="Desembolso de Caja"/>
      <sheetName val="Materiales"/>
      <sheetName val="Analisis"/>
    </sheetNames>
    <sheetDataSet>
      <sheetData sheetId="0"/>
      <sheetData sheetId="1" refreshError="1"/>
      <sheetData sheetId="2">
        <row r="261">
          <cell r="D261">
            <v>8760.1070946448017</v>
          </cell>
        </row>
        <row r="525">
          <cell r="D525">
            <v>6325.6686946448008</v>
          </cell>
        </row>
        <row r="1164">
          <cell r="D1164">
            <v>51.690176000000001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Hotel Sunscape "/>
      <sheetName val="Presentacion Hotel Sunscape (2)"/>
      <sheetName val="Resumen Hotel Sunscape II"/>
      <sheetName val="LOBBY Y AREA DE OFICINAS"/>
      <sheetName val="BAR DE LOBBY"/>
      <sheetName val="AREA DE ESPECTACULOS"/>
      <sheetName val="COMEDOR RESTAURANT"/>
      <sheetName val="MODULO DE COCINA"/>
      <sheetName val="EXPLORERS CLUB"/>
      <sheetName val="RESTAURANT DE PLAYA"/>
      <sheetName val="CENTRO SPA Y GIMNASIO"/>
      <sheetName val="EDIF. VEST. Y OFICINAS DE PERS."/>
      <sheetName val="PISCINAS"/>
      <sheetName val="PALAPAS DEPORTES ACUATICOS"/>
      <sheetName val="EDIFICIO DE PERSONAL"/>
      <sheetName val="PALAPA WET BAR"/>
      <sheetName val="PALAPA BAR"/>
      <sheetName val="EDIFICIO DE EMPLEADOS I"/>
      <sheetName val="EDIFICIO DE EMPLEADOS II"/>
      <sheetName val="LAVANDERIA"/>
      <sheetName val="PALAPAS DEPORTES"/>
      <sheetName val="PALAPA WC Y TOALLAS"/>
      <sheetName val="TEMPLETE DE BODAS"/>
      <sheetName val="COFEE BAR"/>
      <sheetName val="AREAS EXT CAMINOSY CALLES HOTEL"/>
      <sheetName val="CANCHA DE FUBOLITO"/>
      <sheetName val="CANCHA DE TENNIS"/>
      <sheetName val="CASETA GUARDIAN"/>
      <sheetName val="CISTERNA"/>
      <sheetName val="Insumos"/>
      <sheetName val="Análisis"/>
      <sheetName val="Muros Interiores h=2.8 m "/>
      <sheetName val="Hormigones Bavaro"/>
      <sheetName val="Listado Equipos a utiliz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5">
          <cell r="C65">
            <v>3449.4880000000003</v>
          </cell>
        </row>
      </sheetData>
      <sheetData sheetId="28">
        <row r="163">
          <cell r="D163">
            <v>4173.9325396235208</v>
          </cell>
        </row>
      </sheetData>
      <sheetData sheetId="29">
        <row r="65">
          <cell r="C65">
            <v>3449.4880000000003</v>
          </cell>
        </row>
        <row r="207">
          <cell r="C207">
            <v>307.06319702602235</v>
          </cell>
        </row>
      </sheetData>
      <sheetData sheetId="30">
        <row r="163">
          <cell r="D163">
            <v>4173.9325396235208</v>
          </cell>
        </row>
        <row r="207">
          <cell r="D207">
            <v>1956.0864615839996</v>
          </cell>
        </row>
        <row r="242">
          <cell r="D242">
            <v>303.18600521235203</v>
          </cell>
        </row>
        <row r="324">
          <cell r="D324">
            <v>10743.444821990295</v>
          </cell>
        </row>
        <row r="345">
          <cell r="D345">
            <v>8896.8764318970934</v>
          </cell>
        </row>
        <row r="503">
          <cell r="D503">
            <v>3374.4886690559997</v>
          </cell>
        </row>
        <row r="557">
          <cell r="D557">
            <v>261.37686356797445</v>
          </cell>
        </row>
        <row r="624">
          <cell r="D624">
            <v>7246.458215866026</v>
          </cell>
        </row>
        <row r="653">
          <cell r="D653">
            <v>6874.6497891993595</v>
          </cell>
        </row>
        <row r="1042">
          <cell r="D1042">
            <v>24.834825970240004</v>
          </cell>
        </row>
        <row r="1256">
          <cell r="D1256">
            <v>589.12297128</v>
          </cell>
        </row>
        <row r="1266">
          <cell r="D1266">
            <v>72.449601096799995</v>
          </cell>
        </row>
        <row r="1340">
          <cell r="D1340">
            <v>353.10569752513288</v>
          </cell>
        </row>
        <row r="1549">
          <cell r="D1549">
            <v>51.690176000000001</v>
          </cell>
        </row>
        <row r="1556">
          <cell r="D1556">
            <v>79.600000000000009</v>
          </cell>
        </row>
      </sheetData>
      <sheetData sheetId="31"/>
      <sheetData sheetId="32"/>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icio A"/>
      <sheetName val="Edificio D"/>
      <sheetName val="Edicio c"/>
      <sheetName val="electr."/>
      <sheetName val="Unv. "/>
      <sheetName val="Presupuesto"/>
      <sheetName val="Volumenes"/>
      <sheetName val="Anal. horm."/>
      <sheetName val="Mat"/>
      <sheetName val="anal term"/>
      <sheetName val="Ana-Sanit."/>
      <sheetName val="Pu-Sanit."/>
      <sheetName val="Ana-Elect"/>
      <sheetName val="PU-Elect."/>
      <sheetName val="anal aire"/>
      <sheetName val="climat."/>
      <sheetName val="Jornal"/>
      <sheetName val="cuantias "/>
      <sheetName val="peso-cuantia"/>
      <sheetName val="planta trata"/>
      <sheetName val="subida materiales"/>
      <sheetName val="Hoja5"/>
      <sheetName val="M. O. exc."/>
      <sheetName val="Hoja3"/>
      <sheetName val="Ana-elect."/>
      <sheetName val="puertas"/>
      <sheetName val="Cubicacion"/>
      <sheetName val="Septicos"/>
      <sheetName val="caseta"/>
      <sheetName val="calcul anal"/>
      <sheetName val="UASD"/>
      <sheetName val="INSUMO"/>
      <sheetName val="Mezcla"/>
      <sheetName val="Hoja2"/>
      <sheetName val="Hoja1"/>
      <sheetName val="A"/>
      <sheetName val="TIPO C 4NIV."/>
      <sheetName val="TIPO I 3NIV."/>
      <sheetName val="TIPO F 3NIV."/>
      <sheetName val="TIPO F 4NIV."/>
      <sheetName val="TIPO I 3NIV(2)"/>
      <sheetName val="Tipo J 3NIV."/>
      <sheetName val="TIPO F 3NIV. (2)"/>
      <sheetName val="Analisis"/>
      <sheetName val="Pres. Adic.Y"/>
      <sheetName val="Ana"/>
      <sheetName val="LISTA DE PRECIO"/>
      <sheetName val="Presup."/>
      <sheetName val="Insumos"/>
      <sheetName val="Edificio_A"/>
      <sheetName val="Edificio_D"/>
      <sheetName val="Edicio_c"/>
      <sheetName val="electr_"/>
      <sheetName val="Unv__"/>
      <sheetName val="Anal__horm_"/>
      <sheetName val="anal_term"/>
      <sheetName val="Ana-Sanit_"/>
      <sheetName val="Pu-Sanit_"/>
      <sheetName val="PU-Elect_"/>
      <sheetName val="anal_aire"/>
      <sheetName val="climat_"/>
      <sheetName val="cuantias_"/>
      <sheetName val="planta_trata"/>
      <sheetName val="subida_materiales"/>
      <sheetName val="M__O__exc_"/>
      <sheetName val="Ana-elect_"/>
      <sheetName val="calcul_anal"/>
      <sheetName val="TIPO_C_4NIV_"/>
      <sheetName val="TIPO_I_3NIV_"/>
      <sheetName val="TIPO_F_3NIV_"/>
      <sheetName val="TIPO_F_4NIV_"/>
      <sheetName val="TIPO_I_3NIV(2)"/>
      <sheetName val="Tipo_J_3NIV_"/>
      <sheetName val="TIPO_F_3NIV__(2)"/>
      <sheetName val="Edificio_A1"/>
      <sheetName val="Edificio_D1"/>
      <sheetName val="Edicio_c1"/>
      <sheetName val="electr_1"/>
      <sheetName val="Unv__1"/>
      <sheetName val="Anal__horm_1"/>
      <sheetName val="anal_term1"/>
      <sheetName val="Ana-Sanit_1"/>
      <sheetName val="Pu-Sanit_1"/>
      <sheetName val="PU-Elect_1"/>
      <sheetName val="anal_aire1"/>
      <sheetName val="climat_1"/>
      <sheetName val="cuantias_1"/>
      <sheetName val="planta_trata1"/>
      <sheetName val="subida_materiales1"/>
      <sheetName val="M__O__exc_1"/>
      <sheetName val="Ana-elect_1"/>
      <sheetName val="calcul_anal1"/>
      <sheetName val="TIPO_C_4NIV_1"/>
      <sheetName val="TIPO_I_3NIV_1"/>
      <sheetName val="TIPO_F_3NIV_1"/>
      <sheetName val="TIPO_F_4NIV_1"/>
      <sheetName val="TIPO_I_3NIV(2)1"/>
      <sheetName val="Tipo_J_3NIV_1"/>
      <sheetName val="TIPO_F_3NIV__(2)1"/>
      <sheetName val="Mano Obra"/>
      <sheetName val="MOJornal"/>
      <sheetName val="Estructura Metalica"/>
      <sheetName val="V.Tierras A"/>
      <sheetName val="PRE Desvio Alcant.  Potable"/>
      <sheetName val="Pres__Adic_Y"/>
      <sheetName val="LISTA_DE_PRECIO"/>
      <sheetName val="Presup_"/>
      <sheetName val="Pres__Adic_Y1"/>
      <sheetName val="LISTA_DE_PRECIO1"/>
      <sheetName val="Presup_1"/>
      <sheetName val="Edificio_A2"/>
      <sheetName val="Edificio_D2"/>
      <sheetName val="Edicio_c2"/>
      <sheetName val="electr_2"/>
      <sheetName val="Unv__2"/>
      <sheetName val="Anal__horm_2"/>
      <sheetName val="anal_term2"/>
      <sheetName val="Ana-Sanit_2"/>
      <sheetName val="Pu-Sanit_2"/>
      <sheetName val="PU-Elect_2"/>
      <sheetName val="anal_aire2"/>
      <sheetName val="climat_2"/>
      <sheetName val="cuantias_2"/>
      <sheetName val="planta_trata2"/>
      <sheetName val="subida_materiales2"/>
      <sheetName val="M__O__exc_2"/>
      <sheetName val="Ana-elect_2"/>
      <sheetName val="calcul_anal2"/>
      <sheetName val="TIPO_C_4NIV_2"/>
      <sheetName val="TIPO_I_3NIV_2"/>
      <sheetName val="TIPO_F_3NIV_2"/>
      <sheetName val="TIPO_F_4NIV_2"/>
      <sheetName val="TIPO_I_3NIV(2)2"/>
      <sheetName val="Tipo_J_3NIV_2"/>
      <sheetName val="TIPO_F_3NIV__(2)2"/>
      <sheetName val="Pres__Adic_Y2"/>
      <sheetName val="LISTA_DE_PRECIO2"/>
      <sheetName val="Presup_2"/>
      <sheetName val="Edificio_A3"/>
      <sheetName val="Edificio_D3"/>
      <sheetName val="Edicio_c3"/>
      <sheetName val="electr_3"/>
      <sheetName val="Unv__3"/>
      <sheetName val="Anal__horm_3"/>
      <sheetName val="anal_term3"/>
      <sheetName val="Ana-Sanit_3"/>
      <sheetName val="Pu-Sanit_3"/>
      <sheetName val="PU-Elect_3"/>
      <sheetName val="anal_aire3"/>
      <sheetName val="climat_3"/>
      <sheetName val="cuantias_3"/>
      <sheetName val="planta_trata3"/>
      <sheetName val="subida_materiales3"/>
      <sheetName val="M__O__exc_3"/>
      <sheetName val="Ana-elect_3"/>
      <sheetName val="calcul_anal3"/>
      <sheetName val="TIPO_C_4NIV_3"/>
      <sheetName val="TIPO_I_3NIV_3"/>
      <sheetName val="TIPO_F_3NIV_3"/>
      <sheetName val="TIPO_F_4NIV_3"/>
      <sheetName val="TIPO_I_3NIV(2)3"/>
      <sheetName val="Tipo_J_3NIV_3"/>
      <sheetName val="TIPO_F_3NIV__(2)3"/>
      <sheetName val="Pres__Adic_Y3"/>
      <sheetName val="LISTA_DE_PRECIO3"/>
      <sheetName val="Presup_3"/>
      <sheetName val="Edificio_A4"/>
      <sheetName val="Edificio_D4"/>
      <sheetName val="Edicio_c4"/>
      <sheetName val="electr_4"/>
      <sheetName val="Unv__4"/>
      <sheetName val="Anal__horm_4"/>
      <sheetName val="anal_term4"/>
      <sheetName val="Ana-Sanit_4"/>
      <sheetName val="Pu-Sanit_4"/>
      <sheetName val="PU-Elect_4"/>
      <sheetName val="anal_aire4"/>
      <sheetName val="climat_4"/>
      <sheetName val="cuantias_4"/>
      <sheetName val="planta_trata4"/>
      <sheetName val="subida_materiales4"/>
      <sheetName val="M__O__exc_4"/>
      <sheetName val="Ana-elect_4"/>
      <sheetName val="calcul_anal4"/>
      <sheetName val="TIPO_C_4NIV_4"/>
      <sheetName val="TIPO_I_3NIV_4"/>
      <sheetName val="TIPO_F_3NIV_4"/>
      <sheetName val="TIPO_F_4NIV_4"/>
      <sheetName val="TIPO_I_3NIV(2)4"/>
      <sheetName val="Tipo_J_3NIV_4"/>
      <sheetName val="TIPO_F_3NIV__(2)4"/>
      <sheetName val="Pres__Adic_Y4"/>
      <sheetName val="LISTA_DE_PRECIO4"/>
      <sheetName val="Presup_4"/>
      <sheetName val="Edificio_A5"/>
      <sheetName val="Edificio_D5"/>
      <sheetName val="Edicio_c5"/>
      <sheetName val="electr_5"/>
      <sheetName val="Unv__5"/>
      <sheetName val="Anal__horm_5"/>
      <sheetName val="anal_term5"/>
      <sheetName val="Ana-Sanit_5"/>
      <sheetName val="Pu-Sanit_5"/>
      <sheetName val="PU-Elect_5"/>
      <sheetName val="anal_aire5"/>
      <sheetName val="climat_5"/>
      <sheetName val="cuantias_5"/>
      <sheetName val="planta_trata5"/>
      <sheetName val="subida_materiales5"/>
      <sheetName val="M__O__exc_5"/>
      <sheetName val="Ana-elect_5"/>
      <sheetName val="calcul_anal5"/>
      <sheetName val="TIPO_C_4NIV_5"/>
      <sheetName val="TIPO_I_3NIV_5"/>
      <sheetName val="TIPO_F_3NIV_5"/>
      <sheetName val="TIPO_F_4NIV_5"/>
      <sheetName val="TIPO_I_3NIV(2)5"/>
      <sheetName val="Tipo_J_3NIV_5"/>
      <sheetName val="TIPO_F_3NIV__(2)5"/>
      <sheetName val="Pres__Adic_Y5"/>
      <sheetName val="LISTA_DE_PRECIO5"/>
      <sheetName val="Presup_5"/>
      <sheetName val="Mano_Obra"/>
      <sheetName val="Mano_Obra1"/>
      <sheetName val="Mano_Obra2"/>
      <sheetName val="Mano_Obra3"/>
      <sheetName val="Mano_Obra4"/>
      <sheetName val="Mano_Obra5"/>
      <sheetName val="Desembolso de Caja"/>
      <sheetName val="Precio"/>
      <sheetName val="Datos"/>
      <sheetName val="Ana. blocks y termin."/>
      <sheetName val="Costos Mano de Obra"/>
      <sheetName val="Insumos materiales"/>
      <sheetName val="Ana. Horm mexc mort"/>
      <sheetName val="INS"/>
      <sheetName val="Rndmto"/>
      <sheetName val="m.o."/>
      <sheetName val="Análisis de Precios"/>
      <sheetName val="R.A.U."/>
      <sheetName val="MO"/>
      <sheetName val="PVC"/>
    </sheetNames>
    <sheetDataSet>
      <sheetData sheetId="0">
        <row r="14">
          <cell r="D14">
            <v>1240</v>
          </cell>
        </row>
      </sheetData>
      <sheetData sheetId="1">
        <row r="14">
          <cell r="D14">
            <v>1240</v>
          </cell>
        </row>
      </sheetData>
      <sheetData sheetId="2">
        <row r="14">
          <cell r="D14">
            <v>0.3</v>
          </cell>
        </row>
      </sheetData>
      <sheetData sheetId="3">
        <row r="1512">
          <cell r="G1512">
            <v>3526.1216021874998</v>
          </cell>
        </row>
      </sheetData>
      <sheetData sheetId="4">
        <row r="391">
          <cell r="F391">
            <v>14781.061545997285</v>
          </cell>
        </row>
      </sheetData>
      <sheetData sheetId="5">
        <row r="14">
          <cell r="D14">
            <v>1240</v>
          </cell>
        </row>
      </sheetData>
      <sheetData sheetId="6">
        <row r="14">
          <cell r="D14">
            <v>1240</v>
          </cell>
        </row>
      </sheetData>
      <sheetData sheetId="7">
        <row r="14">
          <cell r="D14">
            <v>1240</v>
          </cell>
        </row>
      </sheetData>
      <sheetData sheetId="8">
        <row r="14">
          <cell r="D14">
            <v>1240</v>
          </cell>
        </row>
      </sheetData>
      <sheetData sheetId="9">
        <row r="14">
          <cell r="D14">
            <v>1240</v>
          </cell>
        </row>
        <row r="1512">
          <cell r="G1512">
            <v>3526.1216021874998</v>
          </cell>
        </row>
      </sheetData>
      <sheetData sheetId="10">
        <row r="391">
          <cell r="F391">
            <v>14781.061545997285</v>
          </cell>
        </row>
      </sheetData>
      <sheetData sheetId="11">
        <row r="126">
          <cell r="C126">
            <v>55</v>
          </cell>
        </row>
      </sheetData>
      <sheetData sheetId="12">
        <row r="15">
          <cell r="D15">
            <v>1240</v>
          </cell>
        </row>
      </sheetData>
      <sheetData sheetId="13">
        <row r="39">
          <cell r="D39">
            <v>4.37</v>
          </cell>
        </row>
      </sheetData>
      <sheetData sheetId="14">
        <row r="39">
          <cell r="D39">
            <v>4.37</v>
          </cell>
        </row>
      </sheetData>
      <sheetData sheetId="15">
        <row r="1512">
          <cell r="G1512">
            <v>3526.1216021874998</v>
          </cell>
        </row>
      </sheetData>
      <sheetData sheetId="16">
        <row r="14">
          <cell r="D14">
            <v>0.3</v>
          </cell>
        </row>
      </sheetData>
      <sheetData sheetId="17"/>
      <sheetData sheetId="18"/>
      <sheetData sheetId="19">
        <row r="134">
          <cell r="D134">
            <v>550</v>
          </cell>
        </row>
      </sheetData>
      <sheetData sheetId="20"/>
      <sheetData sheetId="21"/>
      <sheetData sheetId="22"/>
      <sheetData sheetId="23"/>
      <sheetData sheetId="24"/>
      <sheetData sheetId="25"/>
      <sheetData sheetId="26"/>
      <sheetData sheetId="27"/>
      <sheetData sheetId="28"/>
      <sheetData sheetId="29"/>
      <sheetData sheetId="30">
        <row r="3141">
          <cell r="F3141">
            <v>2275.0549999999998</v>
          </cell>
        </row>
      </sheetData>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512">
          <cell r="G1512">
            <v>3526.1216021874998</v>
          </cell>
        </row>
      </sheetData>
      <sheetData sheetId="50">
        <row r="39">
          <cell r="D39">
            <v>4.37</v>
          </cell>
        </row>
      </sheetData>
      <sheetData sheetId="51">
        <row r="39">
          <cell r="D39">
            <v>4.37</v>
          </cell>
        </row>
      </sheetData>
      <sheetData sheetId="52">
        <row r="39">
          <cell r="D39">
            <v>4.37</v>
          </cell>
        </row>
      </sheetData>
      <sheetData sheetId="53">
        <row r="39">
          <cell r="D39">
            <v>4.37</v>
          </cell>
        </row>
      </sheetData>
      <sheetData sheetId="54">
        <row r="39">
          <cell r="D39">
            <v>4.37</v>
          </cell>
        </row>
      </sheetData>
      <sheetData sheetId="55">
        <row r="126">
          <cell r="C126">
            <v>55</v>
          </cell>
        </row>
      </sheetData>
      <sheetData sheetId="56">
        <row r="39">
          <cell r="D39">
            <v>4.37</v>
          </cell>
        </row>
      </sheetData>
      <sheetData sheetId="57">
        <row r="126">
          <cell r="C126">
            <v>55</v>
          </cell>
        </row>
      </sheetData>
      <sheetData sheetId="58">
        <row r="39">
          <cell r="D39">
            <v>4.37</v>
          </cell>
        </row>
      </sheetData>
      <sheetData sheetId="59">
        <row r="126">
          <cell r="C126">
            <v>55</v>
          </cell>
        </row>
      </sheetData>
      <sheetData sheetId="60">
        <row r="39">
          <cell r="D39">
            <v>4.37</v>
          </cell>
        </row>
      </sheetData>
      <sheetData sheetId="61"/>
      <sheetData sheetId="62"/>
      <sheetData sheetId="63"/>
      <sheetData sheetId="64"/>
      <sheetData sheetId="65"/>
      <sheetData sheetId="66"/>
      <sheetData sheetId="67" refreshError="1"/>
      <sheetData sheetId="68">
        <row r="1512">
          <cell r="G1512">
            <v>3526.1216021874998</v>
          </cell>
        </row>
      </sheetData>
      <sheetData sheetId="69">
        <row r="391">
          <cell r="F391">
            <v>14781.0615459973</v>
          </cell>
        </row>
      </sheetData>
      <sheetData sheetId="70">
        <row r="1512">
          <cell r="G1512">
            <v>3526.1216021874998</v>
          </cell>
        </row>
      </sheetData>
      <sheetData sheetId="71">
        <row r="391">
          <cell r="F391">
            <v>14781.0615459973</v>
          </cell>
        </row>
      </sheetData>
      <sheetData sheetId="72">
        <row r="126">
          <cell r="C126">
            <v>55</v>
          </cell>
        </row>
      </sheetData>
      <sheetData sheetId="73">
        <row r="39">
          <cell r="D39">
            <v>4.37</v>
          </cell>
        </row>
      </sheetData>
      <sheetData sheetId="74">
        <row r="126">
          <cell r="C126">
            <v>55</v>
          </cell>
        </row>
      </sheetData>
      <sheetData sheetId="75">
        <row r="39">
          <cell r="D39">
            <v>4.37</v>
          </cell>
        </row>
      </sheetData>
      <sheetData sheetId="76">
        <row r="126">
          <cell r="C126">
            <v>55</v>
          </cell>
        </row>
      </sheetData>
      <sheetData sheetId="77">
        <row r="39">
          <cell r="D39">
            <v>4.37</v>
          </cell>
        </row>
      </sheetData>
      <sheetData sheetId="78">
        <row r="126">
          <cell r="C126">
            <v>55</v>
          </cell>
        </row>
      </sheetData>
      <sheetData sheetId="79">
        <row r="39">
          <cell r="D39">
            <v>4.37</v>
          </cell>
        </row>
      </sheetData>
      <sheetData sheetId="80">
        <row r="126">
          <cell r="C126">
            <v>55</v>
          </cell>
        </row>
      </sheetData>
      <sheetData sheetId="81">
        <row r="39">
          <cell r="D39">
            <v>4.37</v>
          </cell>
        </row>
      </sheetData>
      <sheetData sheetId="82">
        <row r="126">
          <cell r="C126">
            <v>55</v>
          </cell>
        </row>
      </sheetData>
      <sheetData sheetId="83">
        <row r="39">
          <cell r="D39">
            <v>4.37</v>
          </cell>
        </row>
      </sheetData>
      <sheetData sheetId="84">
        <row r="126">
          <cell r="C126">
            <v>55</v>
          </cell>
        </row>
      </sheetData>
      <sheetData sheetId="85">
        <row r="39">
          <cell r="D39">
            <v>4.37</v>
          </cell>
        </row>
      </sheetData>
      <sheetData sheetId="86">
        <row r="39">
          <cell r="D39">
            <v>4.37</v>
          </cell>
        </row>
      </sheetData>
      <sheetData sheetId="87">
        <row r="134">
          <cell r="D134">
            <v>550</v>
          </cell>
        </row>
      </sheetData>
      <sheetData sheetId="88">
        <row r="1512">
          <cell r="G1512">
            <v>3526.1216021874998</v>
          </cell>
        </row>
      </sheetData>
      <sheetData sheetId="89">
        <row r="134">
          <cell r="D134">
            <v>550</v>
          </cell>
        </row>
      </sheetData>
      <sheetData sheetId="90">
        <row r="134">
          <cell r="D134">
            <v>550</v>
          </cell>
        </row>
      </sheetData>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391">
          <cell r="F391">
            <v>14781.0615459973</v>
          </cell>
        </row>
      </sheetData>
      <sheetData sheetId="105">
        <row r="391">
          <cell r="F391">
            <v>14781.061545997285</v>
          </cell>
        </row>
      </sheetData>
      <sheetData sheetId="106">
        <row r="1512">
          <cell r="G1512">
            <v>3526.1216021874998</v>
          </cell>
        </row>
      </sheetData>
      <sheetData sheetId="107"/>
      <sheetData sheetId="108"/>
      <sheetData sheetId="109"/>
      <sheetData sheetId="110">
        <row r="1512">
          <cell r="G1512">
            <v>3526.1216021874998</v>
          </cell>
        </row>
      </sheetData>
      <sheetData sheetId="111">
        <row r="391">
          <cell r="F391">
            <v>14781.061545997285</v>
          </cell>
        </row>
      </sheetData>
      <sheetData sheetId="112">
        <row r="1512">
          <cell r="G1512">
            <v>3526.1216021874998</v>
          </cell>
        </row>
      </sheetData>
      <sheetData sheetId="113"/>
      <sheetData sheetId="114">
        <row r="126">
          <cell r="C126">
            <v>55</v>
          </cell>
        </row>
      </sheetData>
      <sheetData sheetId="115">
        <row r="39">
          <cell r="D39">
            <v>4.37</v>
          </cell>
        </row>
      </sheetData>
      <sheetData sheetId="116">
        <row r="391">
          <cell r="F391">
            <v>14781.061545997285</v>
          </cell>
        </row>
      </sheetData>
      <sheetData sheetId="117">
        <row r="1512">
          <cell r="G1512">
            <v>3526.1216021874998</v>
          </cell>
        </row>
      </sheetData>
      <sheetData sheetId="118">
        <row r="126">
          <cell r="C126">
            <v>55</v>
          </cell>
        </row>
      </sheetData>
      <sheetData sheetId="119">
        <row r="39">
          <cell r="D39">
            <v>4.37</v>
          </cell>
        </row>
      </sheetData>
      <sheetData sheetId="120">
        <row r="39">
          <cell r="D39">
            <v>4.37</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12">
          <cell r="G1512">
            <v>3526.1216021874998</v>
          </cell>
        </row>
      </sheetData>
      <sheetData sheetId="135"/>
      <sheetData sheetId="136"/>
      <sheetData sheetId="137"/>
      <sheetData sheetId="138">
        <row r="1512">
          <cell r="G1512">
            <v>3526.1216021874998</v>
          </cell>
        </row>
      </sheetData>
      <sheetData sheetId="139">
        <row r="391">
          <cell r="F391">
            <v>14781.061545997285</v>
          </cell>
        </row>
      </sheetData>
      <sheetData sheetId="140">
        <row r="1512">
          <cell r="G1512">
            <v>3526.1216021874998</v>
          </cell>
        </row>
      </sheetData>
      <sheetData sheetId="141"/>
      <sheetData sheetId="142">
        <row r="126">
          <cell r="C126">
            <v>55</v>
          </cell>
        </row>
      </sheetData>
      <sheetData sheetId="143">
        <row r="39">
          <cell r="D39">
            <v>4.37</v>
          </cell>
        </row>
      </sheetData>
      <sheetData sheetId="144">
        <row r="391">
          <cell r="F391">
            <v>14781.061545997285</v>
          </cell>
        </row>
      </sheetData>
      <sheetData sheetId="145">
        <row r="1512">
          <cell r="G1512">
            <v>3526.1216021874998</v>
          </cell>
        </row>
      </sheetData>
      <sheetData sheetId="146">
        <row r="126">
          <cell r="C126">
            <v>55</v>
          </cell>
        </row>
      </sheetData>
      <sheetData sheetId="147">
        <row r="39">
          <cell r="D39">
            <v>4.37</v>
          </cell>
        </row>
      </sheetData>
      <sheetData sheetId="148">
        <row r="39">
          <cell r="D39">
            <v>4.37</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ow r="1512">
          <cell r="G1512">
            <v>3526.1216021874998</v>
          </cell>
        </row>
      </sheetData>
      <sheetData sheetId="167">
        <row r="1512">
          <cell r="G1512">
            <v>3526.1216021874998</v>
          </cell>
        </row>
      </sheetData>
      <sheetData sheetId="168"/>
      <sheetData sheetId="169"/>
      <sheetData sheetId="170"/>
      <sheetData sheetId="171">
        <row r="391">
          <cell r="F391">
            <v>14781.061545997285</v>
          </cell>
        </row>
      </sheetData>
      <sheetData sheetId="172">
        <row r="391">
          <cell r="F391">
            <v>14781.061545997285</v>
          </cell>
        </row>
      </sheetData>
      <sheetData sheetId="173">
        <row r="1512">
          <cell r="G1512">
            <v>3526.1216021874998</v>
          </cell>
        </row>
      </sheetData>
      <sheetData sheetId="174">
        <row r="126">
          <cell r="C126">
            <v>55</v>
          </cell>
        </row>
      </sheetData>
      <sheetData sheetId="175">
        <row r="39">
          <cell r="D39">
            <v>4.37</v>
          </cell>
        </row>
      </sheetData>
      <sheetData sheetId="176">
        <row r="39">
          <cell r="D39">
            <v>4.37</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ow r="1512">
          <cell r="G1512">
            <v>3526.1216021874998</v>
          </cell>
        </row>
      </sheetData>
      <sheetData sheetId="195">
        <row r="1512">
          <cell r="G1512">
            <v>3526.1216021874998</v>
          </cell>
        </row>
      </sheetData>
      <sheetData sheetId="196"/>
      <sheetData sheetId="197"/>
      <sheetData sheetId="198"/>
      <sheetData sheetId="199">
        <row r="391">
          <cell r="F391">
            <v>14781.061545997285</v>
          </cell>
        </row>
      </sheetData>
      <sheetData sheetId="200">
        <row r="391">
          <cell r="F391">
            <v>14781.061545997285</v>
          </cell>
        </row>
      </sheetData>
      <sheetData sheetId="201">
        <row r="1512">
          <cell r="G1512">
            <v>3526.1216021874998</v>
          </cell>
        </row>
      </sheetData>
      <sheetData sheetId="202">
        <row r="126">
          <cell r="C126">
            <v>55</v>
          </cell>
        </row>
      </sheetData>
      <sheetData sheetId="203">
        <row r="39">
          <cell r="D39">
            <v>4.37</v>
          </cell>
        </row>
      </sheetData>
      <sheetData sheetId="204">
        <row r="39">
          <cell r="D39">
            <v>4.37</v>
          </cell>
        </row>
      </sheetData>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s Sociales"/>
      <sheetName val="cuantias qq"/>
      <sheetName val="Cant. capabeg rell"/>
      <sheetName val="cant de ventanas y puertas"/>
      <sheetName val="cant Dimensiones losas"/>
      <sheetName val="cant hormigon armado"/>
      <sheetName val="Base de datos Res. Nicole I"/>
      <sheetName val="Insumos materiales"/>
      <sheetName val="Costos Mano de Obra"/>
      <sheetName val="Elaborac. Product todo costo"/>
      <sheetName val="Tabla Insumos materiales"/>
      <sheetName val="Tabla Costos Mano de Obra"/>
      <sheetName val="Tabla Elabor. Product todo cost"/>
      <sheetName val="Ana. Horm mexc mort"/>
      <sheetName val="Ana. blocks y termin."/>
      <sheetName val="Ana. pint. y mas "/>
      <sheetName val="Plomeria "/>
      <sheetName val="Análisis"/>
      <sheetName val="Ana"/>
      <sheetName val="a"/>
      <sheetName val="Cargas_Sociales"/>
      <sheetName val="cuantias_qq"/>
      <sheetName val="Cant__capabeg_rell"/>
      <sheetName val="cant_de_ventanas_y_puertas"/>
      <sheetName val="cant_Dimensiones_losas"/>
      <sheetName val="cant_hormigon_armado"/>
      <sheetName val="Base_de_datos_Res__Nicole_I"/>
      <sheetName val="Insumos_materiales"/>
      <sheetName val="Costos_Mano_de_Obra"/>
      <sheetName val="Elaborac__Product_todo_costo"/>
      <sheetName val="Tabla_Insumos_materiales"/>
      <sheetName val="Tabla_Costos_Mano_de_Obra"/>
      <sheetName val="Tabla_Elabor__Product_todo_cost"/>
      <sheetName val="Ana__Horm_mexc_mort"/>
      <sheetName val="Ana__blocks_y_termin_"/>
      <sheetName val="Ana__pint__y_mas_"/>
      <sheetName val="Plomeria_"/>
      <sheetName val="PRECIOS"/>
      <sheetName val="analisis"/>
      <sheetName val="Cargas_Sociales1"/>
      <sheetName val="cuantias_qq1"/>
      <sheetName val="Cant__capabeg_rell1"/>
      <sheetName val="cant_de_ventanas_y_puertas1"/>
      <sheetName val="cant_Dimensiones_losas1"/>
      <sheetName val="cant_hormigon_armado1"/>
      <sheetName val="Base_de_datos_Res__Nicole_I1"/>
      <sheetName val="Insumos_materiales1"/>
      <sheetName val="Costos_Mano_de_Obra1"/>
      <sheetName val="Elaborac__Product_todo_costo1"/>
      <sheetName val="Tabla_Insumos_materiales1"/>
      <sheetName val="Tabla_Costos_Mano_de_Obra1"/>
      <sheetName val="Tabla_Elabor__Product_todo_cos1"/>
      <sheetName val="Ana__Horm_mexc_mort1"/>
      <sheetName val="Ana__blocks_y_termin_1"/>
      <sheetName val="Ana__pint__y_mas_1"/>
      <sheetName val="Plomeria_1"/>
      <sheetName val="Cargas_Sociales2"/>
      <sheetName val="cuantias_qq2"/>
      <sheetName val="Cant__capabeg_rell2"/>
      <sheetName val="cant_de_ventanas_y_puertas2"/>
      <sheetName val="cant_Dimensiones_losas2"/>
      <sheetName val="cant_hormigon_armado2"/>
      <sheetName val="Base_de_datos_Res__Nicole_I2"/>
      <sheetName val="Insumos_materiales2"/>
      <sheetName val="Costos_Mano_de_Obra2"/>
      <sheetName val="Elaborac__Product_todo_costo2"/>
      <sheetName val="Tabla_Insumos_materiales2"/>
      <sheetName val="Tabla_Costos_Mano_de_Obra2"/>
      <sheetName val="Tabla_Elabor__Product_todo_cos2"/>
      <sheetName val="Ana__Horm_mexc_mort2"/>
      <sheetName val="Ana__blocks_y_termin_2"/>
      <sheetName val="Ana__pint__y_mas_2"/>
      <sheetName val="Plomeria_2"/>
      <sheetName val="Cargas_Sociales3"/>
      <sheetName val="cuantias_qq3"/>
      <sheetName val="Cant__capabeg_rell3"/>
      <sheetName val="cant_de_ventanas_y_puertas3"/>
      <sheetName val="cant_Dimensiones_losas3"/>
      <sheetName val="cant_hormigon_armado3"/>
      <sheetName val="Base_de_datos_Res__Nicole_I3"/>
      <sheetName val="Insumos_materiales3"/>
      <sheetName val="Costos_Mano_de_Obra3"/>
      <sheetName val="Elaborac__Product_todo_costo3"/>
      <sheetName val="Tabla_Insumos_materiales3"/>
      <sheetName val="Tabla_Costos_Mano_de_Obra3"/>
      <sheetName val="Tabla_Elabor__Product_todo_cos3"/>
      <sheetName val="Ana__Horm_mexc_mort3"/>
      <sheetName val="Ana__blocks_y_termin_3"/>
      <sheetName val="Ana__pint__y_mas_3"/>
      <sheetName val="Plomeria_3"/>
    </sheetNames>
    <sheetDataSet>
      <sheetData sheetId="0"/>
      <sheetData sheetId="1"/>
      <sheetData sheetId="2"/>
      <sheetData sheetId="3"/>
      <sheetData sheetId="4"/>
      <sheetData sheetId="5">
        <row r="32">
          <cell r="J32">
            <v>120</v>
          </cell>
        </row>
      </sheetData>
      <sheetData sheetId="6">
        <row r="13">
          <cell r="O13">
            <v>50</v>
          </cell>
        </row>
      </sheetData>
      <sheetData sheetId="7">
        <row r="32">
          <cell r="J32">
            <v>120</v>
          </cell>
        </row>
      </sheetData>
      <sheetData sheetId="8">
        <row r="13">
          <cell r="O13">
            <v>50</v>
          </cell>
        </row>
        <row r="42">
          <cell r="O42">
            <v>2.8</v>
          </cell>
        </row>
        <row r="46">
          <cell r="O46">
            <v>100</v>
          </cell>
        </row>
        <row r="52">
          <cell r="O52">
            <v>5</v>
          </cell>
        </row>
      </sheetData>
      <sheetData sheetId="9"/>
      <sheetData sheetId="10"/>
      <sheetData sheetId="11"/>
      <sheetData sheetId="12"/>
      <sheetData sheetId="13">
        <row r="70">
          <cell r="D70">
            <v>3526.3227562500001</v>
          </cell>
        </row>
        <row r="85">
          <cell r="D85">
            <v>3343.3686486375004</v>
          </cell>
        </row>
      </sheetData>
      <sheetData sheetId="14">
        <row r="6">
          <cell r="D6">
            <v>820.26717298649987</v>
          </cell>
        </row>
      </sheetData>
      <sheetData sheetId="15"/>
      <sheetData sheetId="16"/>
      <sheetData sheetId="17" refreshError="1"/>
      <sheetData sheetId="18" refreshError="1"/>
      <sheetData sheetId="19" refreshError="1"/>
      <sheetData sheetId="20"/>
      <sheetData sheetId="21"/>
      <sheetData sheetId="22"/>
      <sheetData sheetId="23"/>
      <sheetData sheetId="24"/>
      <sheetData sheetId="25">
        <row r="32">
          <cell r="J32">
            <v>120</v>
          </cell>
        </row>
      </sheetData>
      <sheetData sheetId="26">
        <row r="13">
          <cell r="O13">
            <v>50</v>
          </cell>
        </row>
      </sheetData>
      <sheetData sheetId="27">
        <row r="13">
          <cell r="O13">
            <v>50</v>
          </cell>
        </row>
      </sheetData>
      <sheetData sheetId="28">
        <row r="13">
          <cell r="O13">
            <v>50</v>
          </cell>
        </row>
      </sheetData>
      <sheetData sheetId="29">
        <row r="13">
          <cell r="O13">
            <v>50</v>
          </cell>
        </row>
      </sheetData>
      <sheetData sheetId="30">
        <row r="13">
          <cell r="O13">
            <v>50</v>
          </cell>
        </row>
      </sheetData>
      <sheetData sheetId="31">
        <row r="32">
          <cell r="J32">
            <v>120</v>
          </cell>
        </row>
      </sheetData>
      <sheetData sheetId="32">
        <row r="6">
          <cell r="D6">
            <v>820.26717298649987</v>
          </cell>
        </row>
      </sheetData>
      <sheetData sheetId="33">
        <row r="6">
          <cell r="D6">
            <v>820.26717298649987</v>
          </cell>
        </row>
      </sheetData>
      <sheetData sheetId="34">
        <row r="6">
          <cell r="D6">
            <v>820.26717298649987</v>
          </cell>
        </row>
      </sheetData>
      <sheetData sheetId="35">
        <row r="6">
          <cell r="D6">
            <v>820.26717298649987</v>
          </cell>
        </row>
      </sheetData>
      <sheetData sheetId="36">
        <row r="6">
          <cell r="D6">
            <v>820.26717298649987</v>
          </cell>
        </row>
      </sheetData>
      <sheetData sheetId="37" refreshError="1"/>
      <sheetData sheetId="38" refreshError="1"/>
      <sheetData sheetId="39"/>
      <sheetData sheetId="40"/>
      <sheetData sheetId="41"/>
      <sheetData sheetId="42"/>
      <sheetData sheetId="43"/>
      <sheetData sheetId="44"/>
      <sheetData sheetId="45"/>
      <sheetData sheetId="46">
        <row r="32">
          <cell r="J32">
            <v>120</v>
          </cell>
        </row>
      </sheetData>
      <sheetData sheetId="47">
        <row r="13">
          <cell r="O13">
            <v>50</v>
          </cell>
        </row>
      </sheetData>
      <sheetData sheetId="48"/>
      <sheetData sheetId="49"/>
      <sheetData sheetId="50"/>
      <sheetData sheetId="51"/>
      <sheetData sheetId="52">
        <row r="70">
          <cell r="D70">
            <v>3526.3227562500001</v>
          </cell>
        </row>
      </sheetData>
      <sheetData sheetId="53">
        <row r="6">
          <cell r="D6">
            <v>820.26717298649987</v>
          </cell>
        </row>
      </sheetData>
      <sheetData sheetId="54"/>
      <sheetData sheetId="55"/>
      <sheetData sheetId="56"/>
      <sheetData sheetId="57"/>
      <sheetData sheetId="58"/>
      <sheetData sheetId="59"/>
      <sheetData sheetId="60"/>
      <sheetData sheetId="61"/>
      <sheetData sheetId="62"/>
      <sheetData sheetId="63">
        <row r="32">
          <cell r="J32">
            <v>120</v>
          </cell>
        </row>
      </sheetData>
      <sheetData sheetId="64">
        <row r="13">
          <cell r="O13">
            <v>50</v>
          </cell>
        </row>
      </sheetData>
      <sheetData sheetId="65"/>
      <sheetData sheetId="66"/>
      <sheetData sheetId="67"/>
      <sheetData sheetId="68"/>
      <sheetData sheetId="69">
        <row r="70">
          <cell r="D70">
            <v>3526.3227562500001</v>
          </cell>
        </row>
      </sheetData>
      <sheetData sheetId="70">
        <row r="6">
          <cell r="D6">
            <v>820.26717298649987</v>
          </cell>
        </row>
      </sheetData>
      <sheetData sheetId="71"/>
      <sheetData sheetId="72"/>
      <sheetData sheetId="73"/>
      <sheetData sheetId="74"/>
      <sheetData sheetId="75"/>
      <sheetData sheetId="76"/>
      <sheetData sheetId="77"/>
      <sheetData sheetId="78"/>
      <sheetData sheetId="79"/>
      <sheetData sheetId="80">
        <row r="32">
          <cell r="J32">
            <v>120</v>
          </cell>
        </row>
      </sheetData>
      <sheetData sheetId="81">
        <row r="13">
          <cell r="O13">
            <v>50</v>
          </cell>
        </row>
      </sheetData>
      <sheetData sheetId="82"/>
      <sheetData sheetId="83"/>
      <sheetData sheetId="84"/>
      <sheetData sheetId="85"/>
      <sheetData sheetId="86">
        <row r="70">
          <cell r="D70">
            <v>3526.3227562500001</v>
          </cell>
        </row>
      </sheetData>
      <sheetData sheetId="87">
        <row r="6">
          <cell r="D6">
            <v>820.26717298649987</v>
          </cell>
        </row>
      </sheetData>
      <sheetData sheetId="88"/>
      <sheetData sheetId="8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2">
          <cell r="D192">
            <v>4262.3431656800003</v>
          </cell>
        </row>
        <row r="200">
          <cell r="D200">
            <v>3629.3421656800001</v>
          </cell>
        </row>
        <row r="729">
          <cell r="D729">
            <v>6101.5641656799999</v>
          </cell>
        </row>
        <row r="1278">
          <cell r="D1278">
            <v>453.35550609000006</v>
          </cell>
        </row>
        <row r="1293">
          <cell r="D1293">
            <v>226.52595108666665</v>
          </cell>
        </row>
        <row r="1304">
          <cell r="D1304">
            <v>385.28506635666668</v>
          </cell>
        </row>
        <row r="1314">
          <cell r="D1314">
            <v>1091.3609376166667</v>
          </cell>
        </row>
        <row r="1324">
          <cell r="D1324">
            <v>991.92152743666668</v>
          </cell>
        </row>
        <row r="1334">
          <cell r="D1334">
            <v>892.4821172566667</v>
          </cell>
        </row>
        <row r="1344">
          <cell r="D1344">
            <v>693.60329689666662</v>
          </cell>
        </row>
        <row r="1354">
          <cell r="D1354">
            <v>589.16388671666675</v>
          </cell>
        </row>
        <row r="1562">
          <cell r="D1562">
            <v>75.459999999999994</v>
          </cell>
        </row>
        <row r="1570">
          <cell r="D1570">
            <v>204.21084000000002</v>
          </cell>
        </row>
        <row r="1625">
          <cell r="D1625">
            <v>1624.9403733333334</v>
          </cell>
        </row>
        <row r="1633">
          <cell r="D1633">
            <v>596.58149475465325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Factura (813)"/>
      <sheetName val="Cornisa de 2.62 pie"/>
      <sheetName val="Volumetria piso 16"/>
      <sheetName val="Hoja de calculo Recubrimiento"/>
      <sheetName val="Calculo Metales NIVEL 17"/>
      <sheetName val="Analisis"/>
      <sheetName val="Análisis"/>
      <sheetName val="Ana.precios un"/>
      <sheetName val="Insumos materiales"/>
      <sheetName val="Costos Mano de Obra"/>
      <sheetName val="Ana. Horm mexc mort"/>
      <sheetName val="Resumen Precio Equipos"/>
    </sheetNames>
    <sheetDataSet>
      <sheetData sheetId="0">
        <row r="30">
          <cell r="L30">
            <v>6.7</v>
          </cell>
        </row>
      </sheetData>
      <sheetData sheetId="1"/>
      <sheetData sheetId="2">
        <row r="64">
          <cell r="E64">
            <v>490.21498365499457</v>
          </cell>
        </row>
      </sheetData>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sheetData sheetId="8">
        <row r="60">
          <cell r="E60">
            <v>519.29974515533274</v>
          </cell>
        </row>
      </sheetData>
      <sheetData sheetId="9">
        <row r="60">
          <cell r="E60">
            <v>519.29974515533274</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s>
    <sheetDataSet>
      <sheetData sheetId="0"/>
      <sheetData sheetId="1"/>
      <sheetData sheetId="2"/>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Comision"/>
      <sheetName val="PRES. FORMATO INAPA"/>
      <sheetName val="ANALISIS "/>
      <sheetName val="tarifa equipo-13"/>
      <sheetName val="tarifa equipo (2)"/>
      <sheetName val="DISTANCIA ACARREO"/>
      <sheetName val="ASFALTADO"/>
      <sheetName val="BASE Y SUB-BASE"/>
      <sheetName val="ACERA Y CONTENES"/>
      <sheetName val="Alcantarilla"/>
      <sheetName val="ANALISIS"/>
      <sheetName val="ANALISIS A US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Vigas Entrepiso"/>
      <sheetName val="Aceros columnas n1-2"/>
      <sheetName val="Acero Zapata"/>
      <sheetName val="Res Cuantia N1-2"/>
      <sheetName val="Res Cuantia Z"/>
      <sheetName val="INSUMOSJES"/>
      <sheetName val="cot.puer.ven"/>
      <sheetName val="insumos"/>
      <sheetName val="subida"/>
      <sheetName val="ORQUIDEA TIPO A"/>
      <sheetName val="analisis1"/>
      <sheetName val="med.mov.de tierras"/>
      <sheetName val="med.superestruc."/>
      <sheetName val="med.terminacion"/>
      <sheetName val="TERMINACION"/>
      <sheetName val="INSTALACIONES"/>
      <sheetName val="MOVIMIENTO DE TIERRAS"/>
      <sheetName val="analisis unitarios"/>
      <sheetName val="SUPERESTRUCTURA"/>
      <sheetName val="PARTIDAS"/>
      <sheetName val="R.CAYENA"/>
      <sheetName val="med.mov.de tierras2"/>
      <sheetName val="factores"/>
      <sheetName val="cotizaciones"/>
      <sheetName val="CONTRARO SEÑALIZACIONES"/>
      <sheetName val="Analisis BC"/>
      <sheetName val="Incremento Precios"/>
      <sheetName val="PARTIDAS NUEVAS"/>
      <sheetName val="LISTA PRECIO"/>
      <sheetName val="caseta transformador"/>
      <sheetName val="ANALISIS STO DGO"/>
      <sheetName val="Ins 2"/>
      <sheetName val="Insumos (2)"/>
      <sheetName val="Aceros_Vigas_Entrepiso"/>
      <sheetName val="Aceros_columnas_n1-2"/>
      <sheetName val="Acero_Zapata"/>
      <sheetName val="Res_Cuantia_N1-2"/>
      <sheetName val="Res_Cuantia_Z"/>
      <sheetName val="cot_puer_ven"/>
      <sheetName val="ORQUIDEA_TIPO_A"/>
      <sheetName val="med_mov_de_tierras"/>
      <sheetName val="med_superestruc_"/>
      <sheetName val="med_terminacion"/>
      <sheetName val="MOVIMIENTO_DE_TIERRAS"/>
      <sheetName val="analisis_unitarios"/>
      <sheetName val="R_CAYENA"/>
      <sheetName val="med_mov_de_tierras2"/>
      <sheetName val="CONTRARO_SEÑALIZACIONES"/>
      <sheetName val="Analisis_BC"/>
      <sheetName val="Incremento_Precios"/>
      <sheetName val="PARTIDAS_NUEVAS"/>
      <sheetName val="ANALISIS_STO_DGO"/>
      <sheetName val="LISTA_PRECIO"/>
      <sheetName val="caseta_transformador"/>
      <sheetName val="Ins_2"/>
      <sheetName val="Insumos_(2)"/>
      <sheetName val="Aceros_Vigas_Entrepiso1"/>
      <sheetName val="Aceros_columnas_n1-21"/>
      <sheetName val="Acero_Zapata1"/>
      <sheetName val="Res_Cuantia_N1-21"/>
      <sheetName val="Res_Cuantia_Z1"/>
      <sheetName val="cot_puer_ven1"/>
      <sheetName val="ORQUIDEA_TIPO_A1"/>
      <sheetName val="med_mov_de_tierras1"/>
      <sheetName val="med_superestruc_1"/>
      <sheetName val="med_terminacion1"/>
      <sheetName val="MOVIMIENTO_DE_TIERRAS1"/>
      <sheetName val="analisis_unitarios1"/>
      <sheetName val="R_CAYENA1"/>
      <sheetName val="med_mov_de_tierras21"/>
      <sheetName val="CONTRARO_SEÑALIZACIONES1"/>
      <sheetName val="Analisis_BC1"/>
      <sheetName val="Incremento_Precios1"/>
      <sheetName val="PARTIDAS_NUEVAS1"/>
      <sheetName val="ANALISIS_STO_DGO1"/>
      <sheetName val="LISTA_PRECIO1"/>
      <sheetName val="caseta_transformador1"/>
      <sheetName val="Ins_21"/>
      <sheetName val="Insumos_(2)1"/>
      <sheetName val="mov. tierra"/>
      <sheetName val="Ins"/>
      <sheetName val="Ana.precios un"/>
      <sheetName val="mov__tierra"/>
      <sheetName val="mov__tierra1"/>
      <sheetName val="Aceros_Vigas_Entrepiso2"/>
      <sheetName val="Aceros_columnas_n1-22"/>
      <sheetName val="Acero_Zapata2"/>
      <sheetName val="Res_Cuantia_N1-22"/>
      <sheetName val="Res_Cuantia_Z2"/>
      <sheetName val="cot_puer_ven2"/>
      <sheetName val="ORQUIDEA_TIPO_A2"/>
      <sheetName val="med_mov_de_tierras3"/>
      <sheetName val="med_superestruc_2"/>
      <sheetName val="med_terminacion2"/>
      <sheetName val="MOVIMIENTO_DE_TIERRAS2"/>
      <sheetName val="analisis_unitarios2"/>
      <sheetName val="R_CAYENA2"/>
      <sheetName val="med_mov_de_tierras22"/>
      <sheetName val="CONTRARO_SEÑALIZACIONES2"/>
      <sheetName val="Analisis_BC2"/>
      <sheetName val="Incremento_Precios2"/>
      <sheetName val="PARTIDAS_NUEVAS2"/>
      <sheetName val="LISTA_PRECIO2"/>
      <sheetName val="caseta_transformador2"/>
      <sheetName val="ANALISIS_STO_DGO2"/>
      <sheetName val="Ins_22"/>
      <sheetName val="mov__tierra2"/>
      <sheetName val="Insumos_(2)2"/>
      <sheetName val="Aceros_Vigas_Entrepiso3"/>
      <sheetName val="Aceros_columnas_n1-23"/>
      <sheetName val="Acero_Zapata3"/>
      <sheetName val="Res_Cuantia_N1-23"/>
      <sheetName val="Res_Cuantia_Z3"/>
      <sheetName val="cot_puer_ven3"/>
      <sheetName val="ORQUIDEA_TIPO_A3"/>
      <sheetName val="med_mov_de_tierras4"/>
      <sheetName val="med_superestruc_3"/>
      <sheetName val="med_terminacion3"/>
      <sheetName val="MOVIMIENTO_DE_TIERRAS3"/>
      <sheetName val="analisis_unitarios3"/>
      <sheetName val="R_CAYENA3"/>
      <sheetName val="med_mov_de_tierras23"/>
      <sheetName val="CONTRARO_SEÑALIZACIONES3"/>
      <sheetName val="Analisis_BC3"/>
      <sheetName val="Incremento_Precios3"/>
      <sheetName val="PARTIDAS_NUEVAS3"/>
      <sheetName val="LISTA_PRECIO3"/>
      <sheetName val="caseta_transformador3"/>
      <sheetName val="ANALISIS_STO_DGO3"/>
      <sheetName val="Ins_23"/>
      <sheetName val="mov__tierra3"/>
      <sheetName val="Insumos_(2)3"/>
      <sheetName val="Aceros_Vigas_Entrepiso4"/>
      <sheetName val="Aceros_columnas_n1-24"/>
      <sheetName val="Acero_Zapata4"/>
      <sheetName val="Res_Cuantia_N1-24"/>
      <sheetName val="Res_Cuantia_Z4"/>
      <sheetName val="cot_puer_ven4"/>
      <sheetName val="ORQUIDEA_TIPO_A4"/>
      <sheetName val="med_mov_de_tierras5"/>
      <sheetName val="med_superestruc_4"/>
      <sheetName val="med_terminacion4"/>
      <sheetName val="MOVIMIENTO_DE_TIERRAS4"/>
      <sheetName val="analisis_unitarios4"/>
      <sheetName val="R_CAYENA4"/>
      <sheetName val="med_mov_de_tierras24"/>
      <sheetName val="CONTRARO_SEÑALIZACIONES4"/>
      <sheetName val="Analisis_BC4"/>
      <sheetName val="Incremento_Precios4"/>
      <sheetName val="PARTIDAS_NUEVAS4"/>
      <sheetName val="LISTA_PRECIO4"/>
      <sheetName val="caseta_transformador4"/>
      <sheetName val="ANALISIS_STO_DGO4"/>
      <sheetName val="Ins_24"/>
      <sheetName val="mov__tierra4"/>
      <sheetName val="Insumos_(2)4"/>
      <sheetName val="Aceros_Vigas_Entrepiso5"/>
      <sheetName val="Aceros_columnas_n1-25"/>
      <sheetName val="Acero_Zapata5"/>
      <sheetName val="Res_Cuantia_N1-25"/>
      <sheetName val="Res_Cuantia_Z5"/>
      <sheetName val="cot_puer_ven5"/>
      <sheetName val="ORQUIDEA_TIPO_A5"/>
      <sheetName val="med_mov_de_tierras6"/>
      <sheetName val="med_superestruc_5"/>
      <sheetName val="med_terminacion5"/>
      <sheetName val="MOVIMIENTO_DE_TIERRAS5"/>
      <sheetName val="analisis_unitarios5"/>
      <sheetName val="R_CAYENA5"/>
      <sheetName val="med_mov_de_tierras25"/>
      <sheetName val="CONTRARO_SEÑALIZACIONES5"/>
      <sheetName val="Analisis_BC5"/>
      <sheetName val="LISTA_PRECIO5"/>
      <sheetName val="caseta_transformador5"/>
      <sheetName val="ANALISIS_STO_DGO5"/>
      <sheetName val="Incremento_Precios5"/>
      <sheetName val="PARTIDAS_NUEVAS5"/>
      <sheetName val="Ins_25"/>
      <sheetName val="mov__tierra5"/>
      <sheetName val="Insumos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D12">
            <v>0.3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RESUMENFINANCIERO"/>
      <sheetName val="FUNCION"/>
    </sheetNames>
    <sheetDataSet>
      <sheetData sheetId="0" refreshError="1"/>
      <sheetData sheetId="1" refreshError="1"/>
      <sheetData sheetId="2" refreshError="1">
        <row r="16">
          <cell r="C16" t="str">
            <v xml:space="preserve">TOTAL BRUTO :          con 00/100 DÓLARES </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0.00"/>
      <sheetName val="02.000.00"/>
      <sheetName val="03.000.00"/>
      <sheetName val="04.000.00"/>
      <sheetName val="05.000.00"/>
      <sheetName val="007.000.00"/>
      <sheetName val="08.000.00"/>
      <sheetName val="09.000.00"/>
      <sheetName val="13.000.00"/>
      <sheetName val="Hoja1"/>
      <sheetName val="INSUMOS"/>
      <sheetName val="15.000.00"/>
      <sheetName val="16.000.00"/>
      <sheetName val="RESUMEN"/>
      <sheetName val="V.Tierras A"/>
      <sheetName val="ANALISIS SEÑAL"/>
      <sheetName val="Materiales"/>
      <sheetName val="Análisis"/>
      <sheetName val="Configuración"/>
      <sheetName val="Ana"/>
      <sheetName val="01_000_00"/>
      <sheetName val="02_000_00"/>
      <sheetName val="03_000_00"/>
      <sheetName val="04_000_00"/>
      <sheetName val="05_000_00"/>
      <sheetName val="007_000_00"/>
      <sheetName val="08_000_00"/>
      <sheetName val="09_000_00"/>
      <sheetName val="13_000_00"/>
      <sheetName val="15_000_00"/>
      <sheetName val="16_000_00"/>
      <sheetName val="V_Tierras_A"/>
      <sheetName val="ANALISIS_SEÑAL"/>
      <sheetName val="01_000_001"/>
      <sheetName val="02_000_001"/>
      <sheetName val="03_000_001"/>
      <sheetName val="04_000_001"/>
      <sheetName val="05_000_001"/>
      <sheetName val="007_000_001"/>
      <sheetName val="08_000_001"/>
      <sheetName val="09_000_001"/>
      <sheetName val="13_000_001"/>
      <sheetName val="15_000_001"/>
      <sheetName val="16_000_001"/>
      <sheetName val="V_Tierras_A1"/>
      <sheetName val="ANALISIS_SEÑAL1"/>
      <sheetName val="m.o."/>
      <sheetName val="ins"/>
      <sheetName val="m_o_"/>
      <sheetName val="m_o_1"/>
      <sheetName val="01_000_002"/>
      <sheetName val="02_000_002"/>
      <sheetName val="03_000_002"/>
      <sheetName val="04_000_002"/>
      <sheetName val="05_000_002"/>
      <sheetName val="007_000_002"/>
      <sheetName val="08_000_002"/>
      <sheetName val="09_000_002"/>
      <sheetName val="13_000_002"/>
      <sheetName val="15_000_002"/>
      <sheetName val="16_000_002"/>
      <sheetName val="V_Tierras_A2"/>
      <sheetName val="ANALISIS_SEÑAL2"/>
      <sheetName val="m_o_2"/>
      <sheetName val="01_000_003"/>
      <sheetName val="02_000_003"/>
      <sheetName val="03_000_003"/>
      <sheetName val="04_000_003"/>
      <sheetName val="05_000_003"/>
      <sheetName val="007_000_003"/>
      <sheetName val="08_000_003"/>
      <sheetName val="09_000_003"/>
      <sheetName val="13_000_003"/>
      <sheetName val="15_000_003"/>
      <sheetName val="16_000_003"/>
      <sheetName val="V_Tierras_A3"/>
      <sheetName val="ANALISIS_SEÑAL3"/>
      <sheetName val="m_o_3"/>
      <sheetName val="caseta transformador"/>
      <sheetName val="01_000_004"/>
      <sheetName val="02_000_004"/>
      <sheetName val="03_000_004"/>
      <sheetName val="04_000_004"/>
      <sheetName val="05_000_004"/>
      <sheetName val="007_000_004"/>
      <sheetName val="08_000_004"/>
      <sheetName val="09_000_004"/>
      <sheetName val="13_000_004"/>
      <sheetName val="15_000_004"/>
      <sheetName val="16_000_004"/>
      <sheetName val="V_Tierras_A4"/>
      <sheetName val="ANALISIS_SEÑAL4"/>
      <sheetName val="m_o_4"/>
      <sheetName val="01_000_005"/>
      <sheetName val="02_000_005"/>
      <sheetName val="03_000_005"/>
      <sheetName val="04_000_005"/>
      <sheetName val="05_000_005"/>
      <sheetName val="007_000_005"/>
      <sheetName val="08_000_005"/>
      <sheetName val="09_000_005"/>
      <sheetName val="13_000_005"/>
      <sheetName val="15_000_005"/>
      <sheetName val="16_000_005"/>
      <sheetName val="V_Tierras_A5"/>
      <sheetName val="ANALISIS_SEÑAL5"/>
      <sheetName val="m_o_5"/>
      <sheetName val="qqVgas"/>
      <sheetName val="INSU"/>
      <sheetName val="MO"/>
      <sheetName val="Resumen Precio Equipos"/>
      <sheetName val="o.m. y salarios"/>
      <sheetName val="Sheet4"/>
      <sheetName val="Sheet5"/>
      <sheetName val="análisis de precios"/>
      <sheetName val="caseta de planta"/>
      <sheetName val="Volumenes"/>
      <sheetName val="Anal. h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61">
          <cell r="F261">
            <v>200</v>
          </cell>
        </row>
        <row r="303">
          <cell r="F303">
            <v>1500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p"/>
      <sheetName val="Mezcla"/>
      <sheetName val="lista de materiales"/>
      <sheetName val="Aceros Vigas Entrepiso"/>
      <sheetName val="Res Cuantia N1-2"/>
      <sheetName val="Aceros columnas n1-2"/>
      <sheetName val="Acero Zapata"/>
      <sheetName val="Res Cuantia Z"/>
    </sheetNames>
    <sheetDataSet>
      <sheetData sheetId="0"/>
      <sheetData sheetId="1"/>
      <sheetData sheetId="2">
        <row r="81">
          <cell r="G81">
            <v>2337.2202857142856</v>
          </cell>
        </row>
        <row r="106">
          <cell r="G106">
            <v>2505.985285714286</v>
          </cell>
        </row>
        <row r="131">
          <cell r="G131">
            <v>2543.4602857142859</v>
          </cell>
        </row>
        <row r="156">
          <cell r="G156">
            <v>2635.300285714286</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Analisis"/>
      <sheetName val="M.O."/>
      <sheetName val="caseta_de_planta_(2)"/>
      <sheetName val="cisterna_"/>
      <sheetName val="caseta_de_planta"/>
      <sheetName val="Relacion_de_proyecto"/>
      <sheetName val="Análisis_de_Precios"/>
      <sheetName val="caseta_de_planta_(2)1"/>
      <sheetName val="cisterna_1"/>
      <sheetName val="caseta_de_planta1"/>
      <sheetName val="Relacion_de_proyecto1"/>
      <sheetName val="Análisis_de_Precios1"/>
      <sheetName val="PRES META"/>
      <sheetName val="PRES DESCUENTO"/>
      <sheetName val="PRES META CON APU LINK"/>
      <sheetName val="MO FELO"/>
      <sheetName val="MO FELO (2)"/>
      <sheetName val="ORIGINAL"/>
      <sheetName val="CANT"/>
      <sheetName val="APU"/>
      <sheetName val="analisis detallado"/>
      <sheetName val="Ins"/>
      <sheetName val="MATERIALES_LISTADO"/>
      <sheetName val="MO"/>
      <sheetName val="M_O_1"/>
      <sheetName val="M_O_"/>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C7" t="str">
            <v>Cant.</v>
          </cell>
        </row>
      </sheetData>
      <sheetData sheetId="20" refreshError="1"/>
      <sheetData sheetId="2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row r="1">
          <cell r="E1">
            <v>0</v>
          </cell>
        </row>
      </sheetData>
      <sheetData sheetId="28">
        <row r="1">
          <cell r="E1">
            <v>0</v>
          </cell>
        </row>
      </sheetData>
      <sheetData sheetId="29">
        <row r="1">
          <cell r="E1">
            <v>0</v>
          </cell>
        </row>
      </sheetData>
      <sheetData sheetId="30">
        <row r="1">
          <cell r="E1">
            <v>0</v>
          </cell>
        </row>
      </sheetData>
      <sheetData sheetId="31">
        <row r="6">
          <cell r="E6" t="str">
            <v>P.U. RD$</v>
          </cell>
        </row>
      </sheetData>
      <sheetData sheetId="32">
        <row r="6">
          <cell r="E6" t="str">
            <v>P.U. RD$</v>
          </cell>
        </row>
      </sheetData>
      <sheetData sheetId="33">
        <row r="6">
          <cell r="E6" t="str">
            <v>P.U. RD$</v>
          </cell>
        </row>
      </sheetData>
      <sheetData sheetId="34">
        <row r="6">
          <cell r="E6" t="str">
            <v>P.U. RD$</v>
          </cell>
        </row>
      </sheetData>
      <sheetData sheetId="35" refreshError="1"/>
      <sheetData sheetId="36" refreshError="1"/>
      <sheetData sheetId="37" refreshError="1"/>
      <sheetData sheetId="38" refreshError="1"/>
      <sheetData sheetId="39"/>
      <sheetData sheetId="40"/>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Análisis_de_Precios"/>
      <sheetName val="Presupuesto_Nave_1"/>
      <sheetName val="Presupuesto_Nave_2"/>
      <sheetName val="Cantidades_Nave_1"/>
      <sheetName val="Cantidades_Nave_2"/>
      <sheetName val="Mano_de_Obra"/>
      <sheetName val="Anal__horm_"/>
      <sheetName val="Trabajos Generales"/>
      <sheetName val="Detalle Acero"/>
      <sheetName val="COSTO INDIRECTO"/>
      <sheetName val="OPERADORES EQUIPOS"/>
      <sheetName val="HORM. Y MORTEROS."/>
      <sheetName val="SALARIOS"/>
      <sheetName val="INS"/>
      <sheetName val="O.M. y Salarios"/>
      <sheetName val="Materiales"/>
      <sheetName val="V.Tierras A"/>
      <sheetName val="materiales (2)"/>
      <sheetName val="Datos"/>
      <sheetName val="INSU"/>
      <sheetName val="MO"/>
      <sheetName val="ANALISIS STO DGO"/>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anal term"/>
      <sheetName val="Ana-Sanit."/>
      <sheetName val="UASD"/>
      <sheetName val="Mat"/>
      <sheetName val="Pu-Sanit."/>
      <sheetName val="Los Ángeles (Fase II)"/>
      <sheetName val="Cotz."/>
      <sheetName val="Trabajos_Generales"/>
      <sheetName val="Detalle_Acero"/>
      <sheetName val="COSTO_INDIRECTO"/>
      <sheetName val="OPERADORES_EQUIPOS"/>
      <sheetName val="HORM__Y_MORTEROS_"/>
      <sheetName val="materiales_(2)1"/>
      <sheetName val="COSTO_INDIRECTO1"/>
      <sheetName val="OPERADORES_EQUIPOS1"/>
      <sheetName val="Trabajos_Generales1"/>
      <sheetName val="Detalle_Acero1"/>
      <sheetName val="HORM__Y_MORTEROS_1"/>
      <sheetName val="Análisis_de_Precios2"/>
      <sheetName val="Presupuesto_Nave_12"/>
      <sheetName val="Presupuesto_Nave_22"/>
      <sheetName val="Cantidades_Nave_12"/>
      <sheetName val="Cantidades_Nave_22"/>
      <sheetName val="Mano_de_Obra2"/>
      <sheetName val="Anal__horm_2"/>
      <sheetName val="Trabajos_Generales2"/>
      <sheetName val="Detalle_Acero2"/>
      <sheetName val="COSTO_INDIRECTO2"/>
      <sheetName val="OPERADORES_EQUIPOS2"/>
      <sheetName val="HORM__Y_MORTEROS_2"/>
      <sheetName val="V_Tierras_A2"/>
      <sheetName val="materiales_(2)2"/>
      <sheetName val="Análisis_de_Precios3"/>
      <sheetName val="Presupuesto_Nave_13"/>
      <sheetName val="Presupuesto_Nave_23"/>
      <sheetName val="Cantidades_Nave_13"/>
      <sheetName val="Cantidades_Nave_23"/>
      <sheetName val="Mano_de_Obra3"/>
      <sheetName val="Anal__horm_3"/>
      <sheetName val="Trabajos_Generales3"/>
      <sheetName val="Detalle_Acero3"/>
      <sheetName val="COSTO_INDIRECTO3"/>
      <sheetName val="OPERADORES_EQUIPOS3"/>
      <sheetName val="HORM__Y_MORTEROS_3"/>
      <sheetName val="V_Tierras_A3"/>
      <sheetName val="materiales_(2)3"/>
      <sheetName val="Análisis_de_Precios4"/>
      <sheetName val="Presupuesto_Nave_14"/>
      <sheetName val="Presupuesto_Nave_24"/>
      <sheetName val="Cantidades_Nave_14"/>
      <sheetName val="Cantidades_Nave_24"/>
      <sheetName val="Mano_de_Obra4"/>
      <sheetName val="Anal__horm_4"/>
      <sheetName val="Trabajos_Generales4"/>
      <sheetName val="Detalle_Acero4"/>
      <sheetName val="COSTO_INDIRECTO4"/>
      <sheetName val="OPERADORES_EQUIPOS4"/>
      <sheetName val="HORM__Y_MORTEROS_4"/>
      <sheetName val="V_Tierras_A4"/>
      <sheetName val="materiales_(2)4"/>
      <sheetName val="Análisis_de_Precios5"/>
      <sheetName val="Presupuesto_Nave_15"/>
      <sheetName val="Presupuesto_Nave_25"/>
      <sheetName val="Cantidades_Nave_15"/>
      <sheetName val="Cantidades_Nave_25"/>
      <sheetName val="Mano_de_Obra5"/>
      <sheetName val="Anal__horm_5"/>
      <sheetName val="V_Tierras_A5"/>
      <sheetName val="materiales_(2)5"/>
      <sheetName val="COSTO_INDIRECTO5"/>
      <sheetName val="OPERADORES_EQUIPOS5"/>
      <sheetName val="Trabajos_Generales5"/>
      <sheetName val="Detalle_Acero5"/>
      <sheetName val="HORM__Y_MORTEROS_5"/>
      <sheetName val="caseta de planta"/>
      <sheetName val="O_M__y_Salarios"/>
      <sheetName val="O_M__y_Salarios1"/>
      <sheetName val="O_M__y_Salarios2"/>
      <sheetName val="O_M__y_Salarios3"/>
      <sheetName val="O_M__y_Salarios4"/>
      <sheetName val="O_M__y_Salarios5"/>
      <sheetName val="insumo"/>
      <sheetName val="mezcla"/>
      <sheetName val="Desembolso de Caja"/>
      <sheetName val="qqVgas"/>
    </sheetNames>
    <sheetDataSet>
      <sheetData sheetId="0" refreshError="1">
        <row r="6">
          <cell r="B6" t="str">
            <v>Acero 1/2" (  Grado 40  )</v>
          </cell>
        </row>
        <row r="71">
          <cell r="B71" t="str">
            <v>Hormigón Industrial 210 Kg/cm2 (Incluye ITBIS y Vaciado Con Bomba)</v>
          </cell>
          <cell r="C71" t="str">
            <v>M3</v>
          </cell>
          <cell r="D71">
            <v>1918.8</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ow r="201">
          <cell r="F201">
            <v>7792.2050656250012</v>
          </cell>
        </row>
      </sheetData>
      <sheetData sheetId="19">
        <row r="201">
          <cell r="F201">
            <v>7792.2050656250012</v>
          </cell>
        </row>
      </sheetData>
      <sheetData sheetId="20"/>
      <sheetData sheetId="21"/>
      <sheetData sheetId="22"/>
      <sheetData sheetId="23">
        <row r="201">
          <cell r="F201">
            <v>7792.2050656250012</v>
          </cell>
        </row>
      </sheetData>
      <sheetData sheetId="24">
        <row r="201">
          <cell r="F201">
            <v>7792.2050656250012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01">
          <cell r="F201">
            <v>7792.2050656250012</v>
          </cell>
        </row>
      </sheetData>
      <sheetData sheetId="41">
        <row r="201">
          <cell r="F201">
            <v>7792.2050656250012</v>
          </cell>
        </row>
      </sheetData>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ow r="201">
          <cell r="F201">
            <v>7792.2050656250003</v>
          </cell>
        </row>
      </sheetData>
      <sheetData sheetId="60">
        <row r="201">
          <cell r="F201">
            <v>7792.2050656250003</v>
          </cell>
        </row>
      </sheetData>
      <sheetData sheetId="61"/>
      <sheetData sheetId="62"/>
      <sheetData sheetId="63"/>
      <sheetData sheetId="64"/>
      <sheetData sheetId="65"/>
      <sheetData sheetId="66"/>
      <sheetData sheetId="67">
        <row r="201">
          <cell r="F201">
            <v>7792.2050656250012</v>
          </cell>
        </row>
      </sheetData>
      <sheetData sheetId="68">
        <row r="201">
          <cell r="F201">
            <v>7792.2050656250012</v>
          </cell>
        </row>
      </sheetData>
      <sheetData sheetId="69">
        <row r="201">
          <cell r="F201">
            <v>7792.2050656250012</v>
          </cell>
        </row>
      </sheetData>
      <sheetData sheetId="70">
        <row r="201">
          <cell r="F201">
            <v>7792.2050656250012</v>
          </cell>
        </row>
      </sheetData>
      <sheetData sheetId="71"/>
      <sheetData sheetId="72"/>
      <sheetData sheetId="73"/>
      <sheetData sheetId="74">
        <row r="201">
          <cell r="F201">
            <v>7792.2050656250012</v>
          </cell>
        </row>
      </sheetData>
      <sheetData sheetId="75">
        <row r="201">
          <cell r="F201">
            <v>7792.2050656250012</v>
          </cell>
        </row>
      </sheetData>
      <sheetData sheetId="76">
        <row r="201">
          <cell r="F201">
            <v>7792.2050656250012</v>
          </cell>
        </row>
      </sheetData>
      <sheetData sheetId="77"/>
      <sheetData sheetId="78"/>
      <sheetData sheetId="79"/>
      <sheetData sheetId="80"/>
      <sheetData sheetId="81">
        <row r="201">
          <cell r="F201">
            <v>7792.2050656250012</v>
          </cell>
        </row>
      </sheetData>
      <sheetData sheetId="82">
        <row r="201">
          <cell r="F201">
            <v>7792.2050656250012</v>
          </cell>
        </row>
      </sheetData>
      <sheetData sheetId="83">
        <row r="201">
          <cell r="F201">
            <v>7792.2050656250012</v>
          </cell>
        </row>
      </sheetData>
      <sheetData sheetId="84">
        <row r="201">
          <cell r="F201">
            <v>7792.2050656250012</v>
          </cell>
        </row>
      </sheetData>
      <sheetData sheetId="85"/>
      <sheetData sheetId="86"/>
      <sheetData sheetId="87"/>
      <sheetData sheetId="88"/>
      <sheetData sheetId="89"/>
      <sheetData sheetId="90">
        <row r="201">
          <cell r="F201">
            <v>7792.2050656250012</v>
          </cell>
        </row>
      </sheetData>
      <sheetData sheetId="91"/>
      <sheetData sheetId="92"/>
      <sheetData sheetId="93"/>
      <sheetData sheetId="94"/>
      <sheetData sheetId="95">
        <row r="201">
          <cell r="F201">
            <v>7792.2050656250012</v>
          </cell>
        </row>
      </sheetData>
      <sheetData sheetId="96">
        <row r="201">
          <cell r="F201">
            <v>7792.2050656250012</v>
          </cell>
        </row>
      </sheetData>
      <sheetData sheetId="97"/>
      <sheetData sheetId="98">
        <row r="201">
          <cell r="F201">
            <v>7792.2050656250012</v>
          </cell>
        </row>
      </sheetData>
      <sheetData sheetId="99"/>
      <sheetData sheetId="100"/>
      <sheetData sheetId="101"/>
      <sheetData sheetId="102"/>
      <sheetData sheetId="103"/>
      <sheetData sheetId="104"/>
      <sheetData sheetId="105"/>
      <sheetData sheetId="106"/>
      <sheetData sheetId="107"/>
      <sheetData sheetId="108"/>
      <sheetData sheetId="109">
        <row r="201">
          <cell r="F201">
            <v>7792.2050656250012</v>
          </cell>
        </row>
      </sheetData>
      <sheetData sheetId="110">
        <row r="201">
          <cell r="F201">
            <v>7792.2050656250012</v>
          </cell>
        </row>
      </sheetData>
      <sheetData sheetId="111"/>
      <sheetData sheetId="112">
        <row r="201">
          <cell r="F201">
            <v>7792.2050656250012</v>
          </cell>
        </row>
      </sheetData>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refreshError="1"/>
      <sheetData sheetId="132" refreshError="1"/>
      <sheetData sheetId="133" refreshError="1"/>
      <sheetData sheetId="1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arios"/>
      <sheetName val="Directos"/>
      <sheetName val="Viaticos"/>
    </sheetNames>
    <sheetDataSet>
      <sheetData sheetId="0" refreshError="1"/>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row r="10">
          <cell r="C10">
            <v>578</v>
          </cell>
        </row>
      </sheetData>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MO"/>
      <sheetName val="HORM_MOR"/>
      <sheetName val="MUROS"/>
      <sheetName val="TERMI"/>
      <sheetName val="MEMORIA"/>
      <sheetName val="ANA"/>
      <sheetName val="PRESUPUESTO"/>
      <sheetName val="SEPAR"/>
    </sheetNames>
    <sheetDataSet>
      <sheetData sheetId="0"/>
      <sheetData sheetId="1"/>
      <sheetData sheetId="2" refreshError="1">
        <row r="7">
          <cell r="A7" t="str">
            <v>H.S. 1:2:4</v>
          </cell>
          <cell r="C7" t="str">
            <v>m3</v>
          </cell>
          <cell r="D7">
            <v>2901.45</v>
          </cell>
        </row>
      </sheetData>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OS LIMONES ACERO "/>
      <sheetName val="AC. LOS LIMONES HIERRO DUCTIL"/>
      <sheetName val="AC. LOS LIMONES G.R.P (2)"/>
      <sheetName val="MOV. TIERRA"/>
      <sheetName val="Hoja2"/>
      <sheetName val="MO"/>
      <sheetName val="INSU"/>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s>
    <sheetDataSet>
      <sheetData sheetId="0" refreshError="1">
        <row r="2">
          <cell r="D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6"/>
      <sheetName val="MODULO 5"/>
      <sheetName val="MODULO 4"/>
      <sheetName val="Insumos"/>
      <sheetName val="Analisis "/>
      <sheetName val="Analisis Civil MODULO 4"/>
      <sheetName val="Analisis Civil MODULO 5"/>
      <sheetName val="Analisis Civil MODULO 6"/>
      <sheetName val="Mezcla"/>
      <sheetName val=" MObra"/>
    </sheetNames>
    <sheetDataSet>
      <sheetData sheetId="0"/>
      <sheetData sheetId="1"/>
      <sheetData sheetId="2"/>
      <sheetData sheetId="3" refreshError="1">
        <row r="2">
          <cell r="G2">
            <v>1</v>
          </cell>
          <cell r="H2">
            <v>34</v>
          </cell>
        </row>
      </sheetData>
      <sheetData sheetId="4"/>
      <sheetData sheetId="5"/>
      <sheetData sheetId="6"/>
      <sheetData sheetId="7"/>
      <sheetData sheetId="8"/>
      <sheetData sheetId="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illa"/>
      <sheetName val="Terraza"/>
      <sheetName val="Marquesina"/>
      <sheetName val="Gazebo"/>
      <sheetName val="Piscina &amp; Jacuzzi"/>
      <sheetName val="Insumos"/>
      <sheetName val="Cotizaciones"/>
      <sheetName val="M.O."/>
      <sheetName val="ATC"/>
      <sheetName val="Mediciones 1er Nivel"/>
      <sheetName val="Mediciones 2do Nivel"/>
      <sheetName val="Mediciones Terraza"/>
      <sheetName val="Mediciones Marquesinas"/>
      <sheetName val="Mediciones Gazebo"/>
      <sheetName val="Mediciones Piscina"/>
      <sheetName val="Albañilería"/>
      <sheetName val="Bloques"/>
      <sheetName val="Columnas"/>
      <sheetName val="Losas"/>
      <sheetName val="Materiales &amp; Tranporte"/>
      <sheetName val="Muros"/>
      <sheetName val="Otros"/>
      <sheetName val="Pisos &amp; Revestimientos"/>
      <sheetName val="Vigas"/>
      <sheetName val="Zapatas"/>
      <sheetName val="Cuantía Acero"/>
      <sheetName val="Cotización Acero"/>
      <sheetName val="IS Villa"/>
      <sheetName val="IS Gazebo"/>
      <sheetName val="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LUZINC"/>
      <sheetName val="ANALISIS ACERO"/>
      <sheetName val="propuesta"/>
      <sheetName val="peso"/>
      <sheetName val="Insumos"/>
      <sheetName val="MANO DE OBRA"/>
      <sheetName val="ANALISIS_ALUZINC"/>
      <sheetName val="ANALISIS_ACERO"/>
    </sheetNames>
    <sheetDataSet>
      <sheetData sheetId="0" refreshError="1"/>
      <sheetData sheetId="1" refreshError="1"/>
      <sheetData sheetId="2" refreshError="1"/>
      <sheetData sheetId="3"/>
      <sheetData sheetId="4" refreshError="1"/>
      <sheetData sheetId="5"/>
      <sheetData sheetId="6"/>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Torn"/>
      <sheetName val="Insumos"/>
      <sheetName val="varios"/>
      <sheetName val="Presupuesto"/>
      <sheetName val="materiales"/>
      <sheetName val="propuesta"/>
      <sheetName val="peso"/>
      <sheetName val="MO"/>
      <sheetName val="INS"/>
      <sheetName val="Grupo V"/>
      <sheetName val="Desembolso de Caja"/>
      <sheetName val="Grupo_V"/>
      <sheetName val="Desembolso_de_Caja"/>
      <sheetName val="Grupo_V1"/>
      <sheetName val="Desembolso_de_Caja1"/>
      <sheetName val="I.HORMIGON"/>
      <sheetName val="qqVgas"/>
      <sheetName val="Rendimientos OM"/>
      <sheetName val="Analisis Unitarios"/>
      <sheetName val="Rndmto"/>
      <sheetName val="volumenes"/>
      <sheetName val="jornal"/>
      <sheetName val="Pu-Sanit."/>
      <sheetName val="pu-elect."/>
      <sheetName val="anal term"/>
      <sheetName val="anal. horm."/>
      <sheetName val="m. o. exc."/>
      <sheetName val="Ana-Sanit."/>
      <sheetName val="ana-elect."/>
      <sheetName val="Mat"/>
      <sheetName val="puertas"/>
      <sheetName val="análisis"/>
      <sheetName val="MANO DE OBRA"/>
      <sheetName val="EST N. DE OVANDO CENTRAL (MOD. "/>
      <sheetName val="PRE Desvio Alcant.  Potable"/>
      <sheetName val="Insumos materiales"/>
      <sheetName val="Costos Mano de Obra"/>
      <sheetName val="Ana. Horm mexc mort"/>
      <sheetName val="MANO DE OBRA (2)"/>
      <sheetName val="MATERIALES LISTADO"/>
    </sheetNames>
    <sheetDataSet>
      <sheetData sheetId="0" refreshError="1"/>
      <sheetData sheetId="1" refreshError="1">
        <row r="12">
          <cell r="E12">
            <v>285</v>
          </cell>
        </row>
        <row r="13">
          <cell r="E13">
            <v>1832.8</v>
          </cell>
        </row>
        <row r="17">
          <cell r="E17">
            <v>2600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iscin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sheetData sheetId="1"/>
      <sheetData sheetId="2"/>
      <sheetData sheetId="3"/>
      <sheetData sheetId="4"/>
      <sheetData sheetId="5"/>
      <sheetData sheetId="6"/>
      <sheetData sheetId="7">
        <row r="35">
          <cell r="C35">
            <v>23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sheetName val="insumo"/>
      <sheetName val="Mezcla"/>
      <sheetName val="ana.h.a"/>
      <sheetName val="analisis"/>
      <sheetName val="Resumen"/>
      <sheetName val="exteriores"/>
      <sheetName val="block .A"/>
      <sheetName val="block C"/>
      <sheetName val="v. exterior"/>
      <sheetName val="m.t C"/>
      <sheetName val="m y h.a. C"/>
      <sheetName val="term.C"/>
      <sheetName val="resum.ac "/>
      <sheetName val="Analisis Areas Ext."/>
      <sheetName val="edificio de 4 niveles"/>
      <sheetName val="m.tIERRA"/>
      <sheetName val="H.A Y MUROS"/>
      <sheetName val="TERMINACIONES"/>
    </sheetNames>
    <sheetDataSet>
      <sheetData sheetId="0" refreshError="1"/>
      <sheetData sheetId="1" refreshError="1"/>
      <sheetData sheetId="2" refreshError="1"/>
      <sheetData sheetId="3" refreshError="1"/>
      <sheetData sheetId="4" refreshError="1">
        <row r="4">
          <cell r="D4">
            <v>2002</v>
          </cell>
        </row>
        <row r="5">
          <cell r="D5">
            <v>30</v>
          </cell>
        </row>
        <row r="6">
          <cell r="D6">
            <v>800</v>
          </cell>
        </row>
        <row r="7">
          <cell r="D7">
            <v>600</v>
          </cell>
        </row>
        <row r="8">
          <cell r="D8">
            <v>31.099599999999995</v>
          </cell>
        </row>
        <row r="9">
          <cell r="D9">
            <v>32.630799999999994</v>
          </cell>
        </row>
        <row r="10">
          <cell r="D10">
            <v>39.567599999999999</v>
          </cell>
        </row>
        <row r="11">
          <cell r="D11">
            <v>95</v>
          </cell>
        </row>
        <row r="12">
          <cell r="D12">
            <v>300</v>
          </cell>
        </row>
        <row r="13">
          <cell r="D13">
            <v>210</v>
          </cell>
        </row>
        <row r="14">
          <cell r="D14">
            <v>315</v>
          </cell>
        </row>
        <row r="15">
          <cell r="D15">
            <v>290</v>
          </cell>
        </row>
        <row r="16">
          <cell r="D16">
            <v>300</v>
          </cell>
        </row>
        <row r="17">
          <cell r="D17">
            <v>280</v>
          </cell>
        </row>
        <row r="18">
          <cell r="D18">
            <v>38</v>
          </cell>
        </row>
        <row r="19">
          <cell r="D19">
            <v>30</v>
          </cell>
        </row>
        <row r="20">
          <cell r="D20">
            <v>800</v>
          </cell>
        </row>
        <row r="21">
          <cell r="D21">
            <v>2030</v>
          </cell>
        </row>
        <row r="22">
          <cell r="D22">
            <v>670</v>
          </cell>
        </row>
        <row r="28">
          <cell r="D28">
            <v>37</v>
          </cell>
        </row>
        <row r="33">
          <cell r="D33">
            <v>4553</v>
          </cell>
        </row>
        <row r="36">
          <cell r="D36">
            <v>5208.3999999999996</v>
          </cell>
        </row>
      </sheetData>
      <sheetData sheetId="5" refreshError="1">
        <row r="10">
          <cell r="G10">
            <v>3351.62</v>
          </cell>
        </row>
        <row r="17">
          <cell r="G17">
            <v>2883.18</v>
          </cell>
        </row>
        <row r="29">
          <cell r="G29">
            <v>8588.86</v>
          </cell>
        </row>
        <row r="37">
          <cell r="G37">
            <v>3634.7700000000004</v>
          </cell>
        </row>
        <row r="45">
          <cell r="G45">
            <v>4097.26</v>
          </cell>
        </row>
        <row r="158">
          <cell r="G158">
            <v>6.9640000000000004</v>
          </cell>
        </row>
      </sheetData>
      <sheetData sheetId="6" refreshError="1"/>
      <sheetData sheetId="7" refreshError="1"/>
      <sheetData sheetId="8" refreshError="1"/>
      <sheetData sheetId="9" refreshError="1">
        <row r="66">
          <cell r="D66">
            <v>2</v>
          </cell>
        </row>
      </sheetData>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Módulo1"/>
      <sheetName val="Insumos"/>
    </sheetNames>
    <sheetDataSet>
      <sheetData sheetId="0" refreshError="1">
        <row r="9">
          <cell r="O9" t="str">
            <v>HTA1..M11~</v>
          </cell>
        </row>
      </sheetData>
      <sheetData sheetId="1"/>
      <sheetData sheetId="2"/>
      <sheetData sheetId="3"/>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insumos"/>
      <sheetName val="PARTIDAS"/>
      <sheetName val="med.mov.de tierras"/>
      <sheetName val="med.superestruc."/>
      <sheetName val="analisis unitarios"/>
      <sheetName val="MOVIMIENTO DE TIERRAS"/>
      <sheetName val="INSTALACIONES"/>
      <sheetName val="SUPERESTRUCTURA"/>
      <sheetName val="med.terminacion"/>
      <sheetName val="TERMINACION"/>
      <sheetName val="RESUMEN "/>
      <sheetName val="Análisis"/>
      <sheetName val="Presupuesto"/>
      <sheetName val="analisis1"/>
      <sheetName val="Materiales"/>
      <sheetName val="MANO DE OBRA"/>
      <sheetName val="med_mov_de_tierras"/>
      <sheetName val="med_superestruc_"/>
      <sheetName val="analisis_unitarios"/>
      <sheetName val="MOVIMIENTO_DE_TIERRAS"/>
      <sheetName val="med_terminacion"/>
      <sheetName val="RESUMEN_"/>
      <sheetName val="med_mov_de_tierras1"/>
      <sheetName val="med_superestruc_1"/>
      <sheetName val="analisis_unitarios1"/>
      <sheetName val="MOVIMIENTO_DE_TIERRAS1"/>
      <sheetName val="med_terminacion1"/>
      <sheetName val="RESUMEN_1"/>
      <sheetName val="OBS"/>
      <sheetName val="addenda"/>
      <sheetName val="med_mov_de_tierras2"/>
      <sheetName val="med_superestruc_2"/>
      <sheetName val="analisis_unitarios2"/>
      <sheetName val="MOVIMIENTO_DE_TIERRAS2"/>
      <sheetName val="med_terminacion2"/>
      <sheetName val="RESUMEN_2"/>
      <sheetName val="med_mov_de_tierras3"/>
      <sheetName val="med_superestruc_3"/>
      <sheetName val="analisis_unitarios3"/>
      <sheetName val="MOVIMIENTO_DE_TIERRAS3"/>
      <sheetName val="med_terminacion3"/>
      <sheetName val="RESUMEN_3"/>
      <sheetName val="Analisis"/>
      <sheetName val="med_mov_de_tierras4"/>
      <sheetName val="med_superestruc_4"/>
      <sheetName val="analisis_unitarios4"/>
      <sheetName val="MOVIMIENTO_DE_TIERRAS4"/>
      <sheetName val="med_terminacion4"/>
      <sheetName val="RESUMEN_4"/>
      <sheetName val="med_mov_de_tierras5"/>
      <sheetName val="med_superestruc_5"/>
      <sheetName val="analisis_unitarios5"/>
      <sheetName val="MOVIMIENTO_DE_TIERRAS5"/>
      <sheetName val="med_terminacion5"/>
      <sheetName val="RESUMEN_5"/>
      <sheetName val="peso"/>
      <sheetName val="INS"/>
      <sheetName val="HORM. Y MORTEROS."/>
      <sheetName val="SALARIOS"/>
      <sheetName val="Cargas Sociales"/>
      <sheetName val="Macro1"/>
      <sheetName val="Analisis Unit. "/>
      <sheetName val="M.O Y Rendtos"/>
      <sheetName val="Analisis de Costos"/>
    </sheetNames>
    <sheetDataSet>
      <sheetData sheetId="0">
        <row r="6">
          <cell r="D6">
            <v>0.8</v>
          </cell>
        </row>
      </sheetData>
      <sheetData sheetId="1">
        <row r="6">
          <cell r="D6">
            <v>0.8</v>
          </cell>
        </row>
      </sheetData>
      <sheetData sheetId="2">
        <row r="6">
          <cell r="D6">
            <v>0.8</v>
          </cell>
        </row>
      </sheetData>
      <sheetData sheetId="3">
        <row r="6">
          <cell r="D6">
            <v>0.8</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6">
          <cell r="D6">
            <v>0.8</v>
          </cell>
        </row>
      </sheetData>
      <sheetData sheetId="18">
        <row r="6">
          <cell r="D6">
            <v>0.8</v>
          </cell>
        </row>
      </sheetData>
      <sheetData sheetId="19"/>
      <sheetData sheetId="20" refreshError="1"/>
      <sheetData sheetId="21"/>
      <sheetData sheetId="22"/>
      <sheetData sheetId="23">
        <row r="6">
          <cell r="D6">
            <v>0.8</v>
          </cell>
        </row>
      </sheetData>
      <sheetData sheetId="24">
        <row r="6">
          <cell r="D6">
            <v>0.8</v>
          </cell>
        </row>
      </sheetData>
      <sheetData sheetId="25"/>
      <sheetData sheetId="26"/>
      <sheetData sheetId="27" refreshError="1"/>
      <sheetData sheetId="28" refreshError="1"/>
      <sheetData sheetId="29" refreshError="1"/>
      <sheetData sheetId="30" refreshError="1"/>
      <sheetData sheetId="31">
        <row r="6">
          <cell r="D6">
            <v>0.8</v>
          </cell>
        </row>
      </sheetData>
      <sheetData sheetId="32"/>
      <sheetData sheetId="33"/>
      <sheetData sheetId="34"/>
      <sheetData sheetId="35"/>
      <sheetData sheetId="36"/>
      <sheetData sheetId="37">
        <row r="6">
          <cell r="D6">
            <v>0.8</v>
          </cell>
        </row>
      </sheetData>
      <sheetData sheetId="38"/>
      <sheetData sheetId="39"/>
      <sheetData sheetId="40"/>
      <sheetData sheetId="41"/>
      <sheetData sheetId="42"/>
      <sheetData sheetId="43" refreshError="1"/>
      <sheetData sheetId="44">
        <row r="6">
          <cell r="D6">
            <v>0.8</v>
          </cell>
        </row>
      </sheetData>
      <sheetData sheetId="45"/>
      <sheetData sheetId="46"/>
      <sheetData sheetId="47"/>
      <sheetData sheetId="48"/>
      <sheetData sheetId="49"/>
      <sheetData sheetId="50">
        <row r="6">
          <cell r="D6">
            <v>0.8</v>
          </cell>
        </row>
      </sheetData>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row>
        <row r="82">
          <cell r="A82" t="str">
            <v>BF01.</v>
          </cell>
          <cell r="B82" t="str">
            <v>Baños</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Llave sencilla cromada, para lavamanos pequeño</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Plywood  / formaleta 4' x 8' x 3/4"</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row>
        <row r="418">
          <cell r="A418" t="str">
            <v>TP01.</v>
          </cell>
          <cell r="B418" t="str">
            <v>Tuberías y Piezas PVC Drenaje</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row>
        <row r="611">
          <cell r="A611" t="str">
            <v>PZ01.</v>
          </cell>
          <cell r="B611" t="str">
            <v>Piso y Zócalos</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MANO DE OBRA</v>
          </cell>
        </row>
        <row r="717">
          <cell r="A717" t="str">
            <v>MO01-30.</v>
          </cell>
          <cell r="B717" t="str">
            <v>Albañileria</v>
          </cell>
        </row>
        <row r="718">
          <cell r="A718" t="str">
            <v>MO01.</v>
          </cell>
          <cell r="B718" t="str">
            <v>Colocacion de Bloques</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MO Encofrado y desencofrado, zapatas columnas</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row>
        <row r="839">
          <cell r="A839" t="str">
            <v>MO41.</v>
          </cell>
          <cell r="B839" t="str">
            <v>Montura Bidet,Inodoros y Orinales</v>
          </cell>
        </row>
        <row r="840">
          <cell r="A840" t="str">
            <v>MO41.001</v>
          </cell>
          <cell r="B840" t="str">
            <v>Inodoros de Dos Cuerpos</v>
          </cell>
          <cell r="C840" t="str">
            <v>u</v>
          </cell>
          <cell r="D840">
            <v>1</v>
          </cell>
          <cell r="E840">
            <v>200</v>
          </cell>
          <cell r="F840">
            <v>200</v>
          </cell>
        </row>
        <row r="841">
          <cell r="A841" t="str">
            <v>MO42.</v>
          </cell>
          <cell r="B841" t="str">
            <v>Montura Lavamanos</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row>
        <row r="868">
          <cell r="A868" t="str">
            <v>MO48.009</v>
          </cell>
          <cell r="B868" t="str">
            <v>Conexión Cloaca.</v>
          </cell>
          <cell r="C868" t="str">
            <v>u</v>
          </cell>
          <cell r="D868">
            <v>1</v>
          </cell>
          <cell r="E868">
            <v>250</v>
          </cell>
          <cell r="F868">
            <v>250</v>
          </cell>
        </row>
        <row r="869">
          <cell r="A869" t="str">
            <v>MO49.</v>
          </cell>
          <cell r="B869" t="str">
            <v>Bajante o Ventilación por Planta</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Mortero (1:3)</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Mortero (1:2)</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Muros de Bloques de Hormigón 8"</v>
          </cell>
          <cell r="C938" t="str">
            <v>m2</v>
          </cell>
          <cell r="D938">
            <v>1</v>
          </cell>
          <cell r="E938">
            <v>294.55</v>
          </cell>
          <cell r="F938">
            <v>294.55</v>
          </cell>
        </row>
        <row r="939">
          <cell r="A939" t="str">
            <v>05.201</v>
          </cell>
          <cell r="B939" t="str">
            <v>Muros de Bloques de Hormigón 6"</v>
          </cell>
          <cell r="C939" t="str">
            <v>m2</v>
          </cell>
          <cell r="D939">
            <v>1</v>
          </cell>
          <cell r="E939">
            <v>200.3</v>
          </cell>
          <cell r="F939">
            <v>200.3</v>
          </cell>
        </row>
        <row r="940">
          <cell r="A940" t="str">
            <v>05.301</v>
          </cell>
          <cell r="B940" t="str">
            <v>Muros de Bloques de Hormigón 4"</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sheetData sheetId="8">
        <row r="4">
          <cell r="A4" t="str">
            <v>Id.</v>
          </cell>
        </row>
      </sheetData>
      <sheetData sheetId="9">
        <row r="4">
          <cell r="A4" t="str">
            <v>Id.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 val="presup."/>
      <sheetName val="Materiales y Precios"/>
      <sheetName val="Gastos_Generales1"/>
      <sheetName val="Cub__011"/>
      <sheetName val="Analisis_Costo1"/>
      <sheetName val="FCC-005_ANDAMIOS"/>
      <sheetName val="FCC-002_ACERO"/>
      <sheetName val="FCC-004_CALZOS"/>
      <sheetName val="Trabajos_Generales"/>
      <sheetName val="med_mov_de_tierras"/>
      <sheetName val="Labor_FD1"/>
      <sheetName val="presup_"/>
      <sheetName val="Gastos_Generales2"/>
      <sheetName val="Cub__012"/>
      <sheetName val="Analisis_Costo2"/>
      <sheetName val="FCC-005_ANDAMIOS1"/>
      <sheetName val="FCC-002_ACERO1"/>
      <sheetName val="FCC-004_CALZOS1"/>
      <sheetName val="Trabajos_Generales1"/>
      <sheetName val="med_mov_de_tierras1"/>
      <sheetName val="Labor_FD11"/>
      <sheetName val="presup_1"/>
      <sheetName val="Gastos_Generales3"/>
      <sheetName val="Cub__013"/>
      <sheetName val="Analisis_Costo3"/>
      <sheetName val="FCC-005_ANDAMIOS2"/>
      <sheetName val="FCC-002_ACERO2"/>
      <sheetName val="FCC-004_CALZOS2"/>
      <sheetName val="Trabajos_Generales2"/>
      <sheetName val="med_mov_de_tierras2"/>
      <sheetName val="Labor_FD12"/>
      <sheetName val="presup_2"/>
      <sheetName val="Gastos_Generales4"/>
      <sheetName val="Cub__014"/>
      <sheetName val="Analisis_Costo4"/>
      <sheetName val="FCC-005_ANDAMIOS3"/>
      <sheetName val="FCC-002_ACERO3"/>
      <sheetName val="FCC-004_CALZOS3"/>
      <sheetName val="Trabajos_Generales3"/>
      <sheetName val="med_mov_de_tierras3"/>
      <sheetName val="Labor_FD13"/>
      <sheetName val="presup_3"/>
      <sheetName val="Insumos"/>
      <sheetName val="electrico"/>
      <sheetName val="anal term"/>
      <sheetName val="Ana-Sanit."/>
      <sheetName val="Anal. horm."/>
      <sheetName val="Mat"/>
      <sheetName val="MANO DE OBRA"/>
      <sheetName val="MANT.TRANSITO"/>
      <sheetName val="LISTAS DESP"/>
      <sheetName val="Gastos_Generales5"/>
      <sheetName val="Cub__015"/>
      <sheetName val="Analisis_Costo5"/>
      <sheetName val="FCC-005_ANDAMIOS4"/>
      <sheetName val="FCC-002_ACERO4"/>
      <sheetName val="FCC-004_CALZOS4"/>
      <sheetName val="Trabajos_Generales4"/>
      <sheetName val="med_mov_de_tierras4"/>
      <sheetName val="Labor_FD14"/>
      <sheetName val="presup_4"/>
      <sheetName val="Gastos_Generales6"/>
      <sheetName val="Cub__016"/>
      <sheetName val="Analisis_Costo6"/>
      <sheetName val="FCC-005_ANDAMIOS5"/>
      <sheetName val="FCC-002_ACERO5"/>
      <sheetName val="FCC-004_CALZOS5"/>
      <sheetName val="med_mov_de_tierras5"/>
      <sheetName val="Trabajos_Generales5"/>
      <sheetName val="Labor_FD15"/>
      <sheetName val="presup_5"/>
      <sheetName val="Materiales_y_Precios"/>
      <sheetName val="MANT_TRANSITO"/>
      <sheetName val="LISTAS_DESP"/>
      <sheetName val="addenda"/>
      <sheetName val="CUBICACION "/>
      <sheetName val="A"/>
      <sheetName val="inter"/>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t="str">
            <v/>
          </cell>
          <cell r="F5" t="str">
            <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t="str">
            <v/>
          </cell>
          <cell r="F16" t="str">
            <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6">
          <cell r="A26" t="str">
            <v>AG99.001</v>
          </cell>
          <cell r="B26" t="str">
            <v>Bote de materiales</v>
          </cell>
          <cell r="C26" t="str">
            <v>m3</v>
          </cell>
          <cell r="D26">
            <v>1</v>
          </cell>
          <cell r="E26">
            <v>80</v>
          </cell>
          <cell r="F26">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5">
          <cell r="A35" t="str">
            <v>MT01.001</v>
          </cell>
          <cell r="B35" t="str">
            <v>Carguío</v>
          </cell>
          <cell r="C35" t="str">
            <v>m3E</v>
          </cell>
          <cell r="D35">
            <v>1</v>
          </cell>
          <cell r="E35">
            <v>20</v>
          </cell>
          <cell r="F35">
            <v>20</v>
          </cell>
        </row>
        <row r="36">
          <cell r="A36" t="str">
            <v>MT01.002</v>
          </cell>
          <cell r="B36" t="str">
            <v>Arranque</v>
          </cell>
          <cell r="C36" t="str">
            <v>m3E</v>
          </cell>
          <cell r="D36">
            <v>1</v>
          </cell>
          <cell r="E36">
            <v>4</v>
          </cell>
          <cell r="F36">
            <v>4</v>
          </cell>
        </row>
        <row r="37">
          <cell r="A37" t="str">
            <v>MT01.003</v>
          </cell>
          <cell r="B37" t="str">
            <v>Acarreo Adicional en Ciudad</v>
          </cell>
          <cell r="C37" t="str">
            <v>m3E-Km</v>
          </cell>
          <cell r="D37">
            <v>1</v>
          </cell>
          <cell r="E37">
            <v>3</v>
          </cell>
          <cell r="F37">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6">
          <cell r="A46" t="str">
            <v>EQ02.001</v>
          </cell>
          <cell r="B46" t="str">
            <v>Ligadora de 2 fundas</v>
          </cell>
          <cell r="C46" t="str">
            <v>hr</v>
          </cell>
          <cell r="D46">
            <v>1</v>
          </cell>
          <cell r="E46">
            <v>108.58</v>
          </cell>
          <cell r="F46">
            <v>108.58</v>
          </cell>
        </row>
        <row r="47">
          <cell r="A47" t="str">
            <v>EQ02.002</v>
          </cell>
          <cell r="B47" t="str">
            <v>Winche</v>
          </cell>
          <cell r="C47" t="str">
            <v>hr</v>
          </cell>
          <cell r="D47">
            <v>1</v>
          </cell>
          <cell r="E47">
            <v>86.79</v>
          </cell>
          <cell r="F47">
            <v>86.79</v>
          </cell>
        </row>
        <row r="48">
          <cell r="A48" t="str">
            <v>EQ03.001</v>
          </cell>
          <cell r="B48" t="str">
            <v>Compactador de Mano (12"x12")</v>
          </cell>
          <cell r="C48" t="str">
            <v>hr</v>
          </cell>
          <cell r="D48">
            <v>1</v>
          </cell>
          <cell r="E48">
            <v>112.5</v>
          </cell>
          <cell r="F48">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5">
          <cell r="A65" t="str">
            <v>JD01.006</v>
          </cell>
          <cell r="B65" t="str">
            <v>Jornal diario Operario de PRIMERA CATEGORIA (OP1)</v>
          </cell>
          <cell r="C65" t="str">
            <v>Día</v>
          </cell>
          <cell r="D65">
            <v>1</v>
          </cell>
          <cell r="E65">
            <v>300</v>
          </cell>
          <cell r="F65">
            <v>300</v>
          </cell>
        </row>
        <row r="66">
          <cell r="A66" t="str">
            <v>JD01.007</v>
          </cell>
          <cell r="B66" t="str">
            <v>Jornal diario MAESTRO</v>
          </cell>
          <cell r="C66" t="str">
            <v>Día</v>
          </cell>
          <cell r="D66">
            <v>1</v>
          </cell>
          <cell r="E66">
            <v>350</v>
          </cell>
          <cell r="F66">
            <v>350</v>
          </cell>
        </row>
        <row r="67">
          <cell r="A67" t="str">
            <v>JD01.008</v>
          </cell>
          <cell r="B67" t="str">
            <v>Brigada de Topografía</v>
          </cell>
          <cell r="C67" t="str">
            <v>Día</v>
          </cell>
          <cell r="D67">
            <v>1</v>
          </cell>
          <cell r="E67">
            <v>1000</v>
          </cell>
          <cell r="F67">
            <v>1000</v>
          </cell>
        </row>
        <row r="68">
          <cell r="A68" t="str">
            <v>AL</v>
          </cell>
          <cell r="B68" t="str">
            <v>ALFARERIA</v>
          </cell>
          <cell r="D68" t="str">
            <v/>
          </cell>
          <cell r="F68" t="str">
            <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t="str">
            <v/>
          </cell>
          <cell r="F81" t="str">
            <v/>
          </cell>
        </row>
        <row r="82">
          <cell r="A82" t="str">
            <v>BF01.</v>
          </cell>
          <cell r="B82" t="str">
            <v>Baños</v>
          </cell>
          <cell r="D82" t="str">
            <v/>
          </cell>
          <cell r="F82" t="str">
            <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t="str">
            <v/>
          </cell>
          <cell r="F104" t="str">
            <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t="str">
            <v/>
          </cell>
          <cell r="F108" t="str">
            <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t="str">
            <v/>
          </cell>
          <cell r="F117" t="str">
            <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t="str">
            <v/>
          </cell>
          <cell r="F171" t="str">
            <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t="str">
            <v/>
          </cell>
          <cell r="F177" t="str">
            <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t="str">
            <v/>
          </cell>
          <cell r="F204" t="str">
            <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t="str">
            <v/>
          </cell>
          <cell r="F207" t="str">
            <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5">
          <cell r="A215" t="str">
            <v>CC02.002</v>
          </cell>
          <cell r="B215" t="str">
            <v>Cemento para Grouting Portland</v>
          </cell>
          <cell r="C215" t="str">
            <v>fda</v>
          </cell>
          <cell r="D215">
            <v>1</v>
          </cell>
          <cell r="E215">
            <v>67</v>
          </cell>
          <cell r="F215">
            <v>67</v>
          </cell>
        </row>
        <row r="216">
          <cell r="A216" t="str">
            <v>CC02.003</v>
          </cell>
          <cell r="B216" t="str">
            <v>Supracure</v>
          </cell>
          <cell r="C216" t="str">
            <v>gl</v>
          </cell>
          <cell r="D216">
            <v>1</v>
          </cell>
          <cell r="E216">
            <v>97.2</v>
          </cell>
          <cell r="F216">
            <v>97.2</v>
          </cell>
        </row>
        <row r="217">
          <cell r="A217" t="str">
            <v>CC02.004</v>
          </cell>
          <cell r="B217" t="str">
            <v>Superplastificante</v>
          </cell>
          <cell r="C217" t="str">
            <v>gl</v>
          </cell>
          <cell r="D217">
            <v>1</v>
          </cell>
          <cell r="E217">
            <v>91.8</v>
          </cell>
          <cell r="F217">
            <v>91.8</v>
          </cell>
        </row>
        <row r="218">
          <cell r="A218" t="str">
            <v>CE</v>
          </cell>
          <cell r="B218" t="str">
            <v>CERAMICAS</v>
          </cell>
          <cell r="D218" t="str">
            <v/>
          </cell>
          <cell r="F218" t="str">
            <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t="str">
            <v/>
          </cell>
          <cell r="F225" t="str">
            <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t="str">
            <v/>
          </cell>
          <cell r="F232" t="str">
            <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t="str">
            <v/>
          </cell>
          <cell r="F247" t="str">
            <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t="str">
            <v/>
          </cell>
          <cell r="F286" t="str">
            <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t="str">
            <v/>
          </cell>
          <cell r="F305" t="str">
            <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t="str">
            <v/>
          </cell>
          <cell r="F326" t="str">
            <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t="str">
            <v/>
          </cell>
          <cell r="F336" t="str">
            <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t="str">
            <v/>
          </cell>
          <cell r="F339" t="str">
            <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7">
          <cell r="A367" t="str">
            <v>LL04.002</v>
          </cell>
          <cell r="B367" t="str">
            <v>Tapa de aluminio para cistena 24" x 24"</v>
          </cell>
          <cell r="C367" t="str">
            <v>u</v>
          </cell>
          <cell r="D367">
            <v>1</v>
          </cell>
          <cell r="E367">
            <v>1150</v>
          </cell>
          <cell r="F367">
            <v>1150</v>
          </cell>
        </row>
        <row r="368">
          <cell r="A368" t="str">
            <v>MA</v>
          </cell>
          <cell r="B368" t="str">
            <v>MADERAS, CLAVOS, ZINC</v>
          </cell>
          <cell r="D368" t="str">
            <v/>
          </cell>
          <cell r="F368" t="str">
            <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t="str">
            <v/>
          </cell>
          <cell r="F389" t="str">
            <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t="str">
            <v/>
          </cell>
          <cell r="F417" t="str">
            <v/>
          </cell>
        </row>
        <row r="418">
          <cell r="A418" t="str">
            <v>TP01.</v>
          </cell>
          <cell r="B418" t="str">
            <v>Tuberías y Piezas PVC Drenaje</v>
          </cell>
          <cell r="D418" t="str">
            <v/>
          </cell>
          <cell r="F418" t="str">
            <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t="str">
            <v/>
          </cell>
          <cell r="F476" t="str">
            <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t="str">
            <v/>
          </cell>
          <cell r="F549" t="str">
            <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t="str">
            <v/>
          </cell>
          <cell r="F610" t="str">
            <v/>
          </cell>
        </row>
        <row r="611">
          <cell r="A611" t="str">
            <v>PZ01.</v>
          </cell>
          <cell r="B611" t="str">
            <v>Piso y Zócalos</v>
          </cell>
          <cell r="D611" t="str">
            <v/>
          </cell>
          <cell r="F611" t="str">
            <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t="str">
            <v/>
          </cell>
          <cell r="F642" t="str">
            <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t="str">
            <v/>
          </cell>
          <cell r="F648" t="str">
            <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t="str">
            <v/>
          </cell>
          <cell r="F653" t="str">
            <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t="str">
            <v/>
          </cell>
          <cell r="F707" t="str">
            <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3">
          <cell r="A713" t="str">
            <v>YS02.002</v>
          </cell>
          <cell r="B713" t="str">
            <v>Plafón en láminas</v>
          </cell>
          <cell r="C713" t="str">
            <v>m2</v>
          </cell>
          <cell r="D713">
            <v>1</v>
          </cell>
          <cell r="E713">
            <v>280</v>
          </cell>
          <cell r="F713">
            <v>280</v>
          </cell>
        </row>
        <row r="714">
          <cell r="A714" t="str">
            <v>YS02.003</v>
          </cell>
          <cell r="B714" t="str">
            <v>Plafón Sheet Rock - Instalado</v>
          </cell>
          <cell r="C714" t="str">
            <v>m2</v>
          </cell>
          <cell r="D714">
            <v>1.08</v>
          </cell>
          <cell r="E714">
            <v>450</v>
          </cell>
          <cell r="F714">
            <v>486</v>
          </cell>
        </row>
        <row r="715">
          <cell r="A715" t="str">
            <v>YS03.001</v>
          </cell>
          <cell r="B715" t="str">
            <v>Rosetas</v>
          </cell>
          <cell r="C715" t="str">
            <v>u</v>
          </cell>
          <cell r="D715">
            <v>1</v>
          </cell>
          <cell r="E715">
            <v>100</v>
          </cell>
          <cell r="F715">
            <v>100</v>
          </cell>
        </row>
        <row r="716">
          <cell r="A716" t="str">
            <v>MO</v>
          </cell>
          <cell r="B716" t="str">
            <v xml:space="preserve">MANO DE OBRA </v>
          </cell>
          <cell r="D716" t="str">
            <v/>
          </cell>
          <cell r="F716" t="str">
            <v/>
          </cell>
        </row>
        <row r="717">
          <cell r="A717" t="str">
            <v>MO01-30.</v>
          </cell>
          <cell r="B717" t="str">
            <v>Albañileria</v>
          </cell>
          <cell r="D717" t="str">
            <v/>
          </cell>
          <cell r="F717" t="str">
            <v/>
          </cell>
        </row>
        <row r="718">
          <cell r="A718" t="str">
            <v>MO01.</v>
          </cell>
          <cell r="B718" t="str">
            <v>Colocacion de Bloques</v>
          </cell>
          <cell r="D718" t="str">
            <v/>
          </cell>
          <cell r="F718" t="str">
            <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t="str">
            <v/>
          </cell>
          <cell r="F723" t="str">
            <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t="str">
            <v/>
          </cell>
          <cell r="F733" t="str">
            <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t="str">
            <v/>
          </cell>
          <cell r="F738" t="str">
            <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t="str">
            <v/>
          </cell>
          <cell r="F760" t="str">
            <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t="str">
            <v/>
          </cell>
          <cell r="F769" t="str">
            <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t="str">
            <v/>
          </cell>
          <cell r="F775" t="str">
            <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t="str">
            <v/>
          </cell>
          <cell r="F777" t="str">
            <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t="str">
            <v/>
          </cell>
          <cell r="F780" t="str">
            <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t="str">
            <v/>
          </cell>
          <cell r="F783" t="str">
            <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t="str">
            <v/>
          </cell>
          <cell r="F801" t="str">
            <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t="str">
            <v/>
          </cell>
          <cell r="F822" t="str">
            <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t="str">
            <v/>
          </cell>
          <cell r="F838" t="str">
            <v/>
          </cell>
        </row>
        <row r="839">
          <cell r="A839" t="str">
            <v>MO41.</v>
          </cell>
          <cell r="B839" t="str">
            <v>Montura Bidet,Inodoros y Orinales</v>
          </cell>
          <cell r="D839" t="str">
            <v/>
          </cell>
          <cell r="F839" t="str">
            <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t="str">
            <v/>
          </cell>
          <cell r="F841" t="str">
            <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t="str">
            <v/>
          </cell>
          <cell r="F843" t="str">
            <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t="str">
            <v/>
          </cell>
          <cell r="F851" t="str">
            <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t="str">
            <v/>
          </cell>
          <cell r="F853" t="str">
            <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t="str">
            <v/>
          </cell>
          <cell r="F855" t="str">
            <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t="str">
            <v/>
          </cell>
          <cell r="F858" t="str">
            <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t="str">
            <v/>
          </cell>
          <cell r="F864" t="str">
            <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t="str">
            <v/>
          </cell>
          <cell r="F867" t="str">
            <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t="str">
            <v/>
          </cell>
          <cell r="F869" t="str">
            <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t="str">
            <v/>
          </cell>
          <cell r="F871" t="str">
            <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t="str">
            <v/>
          </cell>
          <cell r="F873" t="str">
            <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t="str">
            <v/>
          </cell>
          <cell r="F876" t="str">
            <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t="str">
            <v/>
          </cell>
          <cell r="F878" t="str">
            <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t="str">
            <v/>
          </cell>
          <cell r="F880" t="str">
            <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t="str">
            <v/>
          </cell>
          <cell r="F882" t="str">
            <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t="str">
            <v/>
          </cell>
          <cell r="F884" t="str">
            <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t="str">
            <v/>
          </cell>
          <cell r="F886" t="str">
            <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t="str">
            <v/>
          </cell>
          <cell r="F888" t="str">
            <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t="str">
            <v/>
          </cell>
          <cell r="F890" t="str">
            <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t="str">
            <v/>
          </cell>
          <cell r="F894" t="str">
            <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8">
          <cell r="A918" t="str">
            <v>MO78.004</v>
          </cell>
          <cell r="B918" t="str">
            <v>Maestro Plomero</v>
          </cell>
          <cell r="C918" t="str">
            <v>día</v>
          </cell>
          <cell r="D918">
            <v>1</v>
          </cell>
          <cell r="E918">
            <v>457</v>
          </cell>
          <cell r="F918">
            <v>457</v>
          </cell>
        </row>
        <row r="919">
          <cell r="A919" t="str">
            <v>99.</v>
          </cell>
          <cell r="B919" t="str">
            <v>DE LOS ANALISIS DE COSTOS</v>
          </cell>
          <cell r="F919" t="str">
            <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29">
          <cell r="A929" t="str">
            <v>99.024</v>
          </cell>
          <cell r="B929" t="str">
            <v>Hormigón (1:2:4) Vaciado a Mano</v>
          </cell>
          <cell r="C929" t="str">
            <v>m3</v>
          </cell>
          <cell r="D929">
            <v>1</v>
          </cell>
          <cell r="E929">
            <v>1060.28</v>
          </cell>
          <cell r="F929">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7">
          <cell r="A937" t="str">
            <v>99.901</v>
          </cell>
          <cell r="B937" t="str">
            <v>Mortero (1:2) en Techo</v>
          </cell>
          <cell r="C937" t="str">
            <v>m3</v>
          </cell>
          <cell r="D937">
            <v>1</v>
          </cell>
          <cell r="E937">
            <v>1958.27</v>
          </cell>
          <cell r="F937">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1">
          <cell r="A941" t="str">
            <v>05.301</v>
          </cell>
          <cell r="B941" t="str">
            <v>Muros de Bloques de Hormigón 4"</v>
          </cell>
          <cell r="C941" t="str">
            <v>m2</v>
          </cell>
          <cell r="D941">
            <v>1</v>
          </cell>
          <cell r="E941">
            <v>174.08</v>
          </cell>
          <cell r="F941">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row r="4">
          <cell r="A4" t="str">
            <v>Id.</v>
          </cell>
        </row>
      </sheetData>
      <sheetData sheetId="8">
        <row r="4">
          <cell r="A4" t="str">
            <v>Id.</v>
          </cell>
        </row>
      </sheetData>
      <sheetData sheetId="9">
        <row r="4">
          <cell r="A4" t="str">
            <v>Id.</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ow r="4">
          <cell r="A4" t="str">
            <v>Id.</v>
          </cell>
        </row>
      </sheetData>
      <sheetData sheetId="32">
        <row r="4">
          <cell r="A4" t="str">
            <v>Id.</v>
          </cell>
        </row>
      </sheetData>
      <sheetData sheetId="33">
        <row r="4">
          <cell r="A4" t="str">
            <v>Id.</v>
          </cell>
        </row>
      </sheetData>
      <sheetData sheetId="34">
        <row r="4">
          <cell r="A4" t="str">
            <v>Id.</v>
          </cell>
        </row>
      </sheetData>
      <sheetData sheetId="35">
        <row r="4">
          <cell r="A4" t="str">
            <v>Id.</v>
          </cell>
        </row>
      </sheetData>
      <sheetData sheetId="36">
        <row r="4">
          <cell r="A4" t="str">
            <v>Id.</v>
          </cell>
        </row>
      </sheetData>
      <sheetData sheetId="37">
        <row r="4">
          <cell r="A4" t="str">
            <v>Id.</v>
          </cell>
        </row>
      </sheetData>
      <sheetData sheetId="38">
        <row r="4">
          <cell r="A4" t="str">
            <v>Id.</v>
          </cell>
        </row>
      </sheetData>
      <sheetData sheetId="39">
        <row r="5">
          <cell r="B5">
            <v>2</v>
          </cell>
        </row>
      </sheetData>
      <sheetData sheetId="40">
        <row r="4">
          <cell r="A4" t="str">
            <v>Id.</v>
          </cell>
        </row>
      </sheetData>
      <sheetData sheetId="41">
        <row r="4">
          <cell r="A4" t="str">
            <v>Id.</v>
          </cell>
        </row>
      </sheetData>
      <sheetData sheetId="42">
        <row r="4">
          <cell r="A4" t="str">
            <v>Id.</v>
          </cell>
        </row>
      </sheetData>
      <sheetData sheetId="43">
        <row r="4">
          <cell r="A4" t="str">
            <v>Id.</v>
          </cell>
        </row>
      </sheetData>
      <sheetData sheetId="44">
        <row r="4">
          <cell r="A4" t="str">
            <v>Id.</v>
          </cell>
        </row>
      </sheetData>
      <sheetData sheetId="45">
        <row r="4">
          <cell r="A4" t="str">
            <v>Id.</v>
          </cell>
        </row>
      </sheetData>
      <sheetData sheetId="46">
        <row r="4">
          <cell r="A4" t="str">
            <v>Id.</v>
          </cell>
        </row>
      </sheetData>
      <sheetData sheetId="47">
        <row r="4">
          <cell r="A4" t="str">
            <v>Id.</v>
          </cell>
        </row>
      </sheetData>
      <sheetData sheetId="48">
        <row r="4">
          <cell r="A4" t="str">
            <v>Id.</v>
          </cell>
        </row>
      </sheetData>
      <sheetData sheetId="49">
        <row r="4">
          <cell r="A4" t="str">
            <v>Id.</v>
          </cell>
        </row>
      </sheetData>
      <sheetData sheetId="50">
        <row r="4">
          <cell r="A4" t="str">
            <v>Id.</v>
          </cell>
        </row>
      </sheetData>
      <sheetData sheetId="51">
        <row r="4">
          <cell r="A4" t="str">
            <v>Id.</v>
          </cell>
        </row>
      </sheetData>
      <sheetData sheetId="52">
        <row r="4">
          <cell r="A4" t="str">
            <v>Id.</v>
          </cell>
        </row>
      </sheetData>
      <sheetData sheetId="53">
        <row r="4">
          <cell r="A4" t="str">
            <v>Id.</v>
          </cell>
        </row>
      </sheetData>
      <sheetData sheetId="54">
        <row r="4">
          <cell r="A4" t="str">
            <v>Id.</v>
          </cell>
        </row>
      </sheetData>
      <sheetData sheetId="55">
        <row r="4">
          <cell r="A4" t="str">
            <v>Id.</v>
          </cell>
        </row>
      </sheetData>
      <sheetData sheetId="56"/>
      <sheetData sheetId="57"/>
      <sheetData sheetId="58">
        <row r="4">
          <cell r="A4" t="str">
            <v>Id.</v>
          </cell>
        </row>
      </sheetData>
      <sheetData sheetId="59"/>
      <sheetData sheetId="60">
        <row r="4">
          <cell r="A4" t="str">
            <v>Id.</v>
          </cell>
        </row>
      </sheetData>
      <sheetData sheetId="61">
        <row r="4">
          <cell r="A4" t="str">
            <v>Id.</v>
          </cell>
        </row>
      </sheetData>
      <sheetData sheetId="62">
        <row r="4">
          <cell r="A4" t="str">
            <v>Id.</v>
          </cell>
        </row>
      </sheetData>
      <sheetData sheetId="63">
        <row r="4">
          <cell r="A4" t="str">
            <v>Id.</v>
          </cell>
        </row>
      </sheetData>
      <sheetData sheetId="64">
        <row r="4">
          <cell r="A4" t="str">
            <v>Id.</v>
          </cell>
        </row>
      </sheetData>
      <sheetData sheetId="65">
        <row r="4">
          <cell r="A4" t="str">
            <v>Id.</v>
          </cell>
        </row>
      </sheetData>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4">
          <cell r="A4" t="str">
            <v>Id.</v>
          </cell>
        </row>
      </sheetData>
      <sheetData sheetId="81">
        <row r="4">
          <cell r="A4" t="str">
            <v>Id.</v>
          </cell>
        </row>
      </sheetData>
      <sheetData sheetId="82">
        <row r="4">
          <cell r="A4" t="str">
            <v>Id.</v>
          </cell>
        </row>
      </sheetData>
      <sheetData sheetId="83">
        <row r="4">
          <cell r="A4" t="str">
            <v>Id.</v>
          </cell>
        </row>
      </sheetData>
      <sheetData sheetId="84"/>
      <sheetData sheetId="85">
        <row r="4">
          <cell r="A4" t="str">
            <v>Id.</v>
          </cell>
        </row>
      </sheetData>
      <sheetData sheetId="86"/>
      <sheetData sheetId="87"/>
      <sheetData sheetId="88">
        <row r="4">
          <cell r="A4" t="str">
            <v>Id.</v>
          </cell>
        </row>
      </sheetData>
      <sheetData sheetId="89">
        <row r="4">
          <cell r="A4" t="str">
            <v>Id.</v>
          </cell>
        </row>
      </sheetData>
      <sheetData sheetId="90">
        <row r="4">
          <cell r="A4" t="str">
            <v>Id.</v>
          </cell>
        </row>
      </sheetData>
      <sheetData sheetId="91">
        <row r="4">
          <cell r="A4" t="str">
            <v>Id.</v>
          </cell>
        </row>
      </sheetData>
      <sheetData sheetId="92">
        <row r="4">
          <cell r="A4" t="str">
            <v>Id.</v>
          </cell>
        </row>
      </sheetData>
      <sheetData sheetId="93">
        <row r="4">
          <cell r="A4" t="str">
            <v>Id.</v>
          </cell>
        </row>
      </sheetData>
      <sheetData sheetId="94"/>
      <sheetData sheetId="95">
        <row r="4">
          <cell r="A4" t="str">
            <v>Id.</v>
          </cell>
        </row>
      </sheetData>
      <sheetData sheetId="96"/>
      <sheetData sheetId="97"/>
      <sheetData sheetId="98"/>
      <sheetData sheetId="99"/>
      <sheetData sheetId="100">
        <row r="4">
          <cell r="A4" t="str">
            <v>Id.</v>
          </cell>
        </row>
      </sheetData>
      <sheetData sheetId="101"/>
      <sheetData sheetId="102"/>
      <sheetData sheetId="103" refreshError="1"/>
      <sheetData sheetId="104" refreshError="1"/>
      <sheetData sheetId="105" refreshError="1"/>
      <sheetData sheetId="10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 val="RECLAMACION 3"/>
      <sheetName val="INSU"/>
      <sheetName val="MO"/>
      <sheetName val="Ins 2"/>
      <sheetName val="INSUMOS"/>
    </sheetNames>
    <sheetDataSet>
      <sheetData sheetId="0">
        <row r="561">
          <cell r="D561">
            <v>36.01</v>
          </cell>
        </row>
      </sheetData>
      <sheetData sheetId="1" refreshError="1">
        <row r="561">
          <cell r="D561">
            <v>36.01</v>
          </cell>
        </row>
      </sheetData>
      <sheetData sheetId="2"/>
      <sheetData sheetId="3"/>
      <sheetData sheetId="4"/>
      <sheetData sheetId="5"/>
      <sheetData sheetId="6"/>
      <sheetData sheetId="7">
        <row r="568">
          <cell r="D568" t="str">
            <v>m3</v>
          </cell>
        </row>
      </sheetData>
      <sheetData sheetId="8"/>
      <sheetData sheetId="9"/>
      <sheetData sheetId="10">
        <row r="568">
          <cell r="D568" t="str">
            <v>m3</v>
          </cell>
        </row>
      </sheetData>
      <sheetData sheetId="11"/>
      <sheetData sheetId="12"/>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rel(OBINSA)"/>
      <sheetName val="Pres."/>
      <sheetName val="med.mov.de tierras"/>
      <sheetName val="Hoja1"/>
      <sheetName val="Presupuesto"/>
    </sheetNames>
    <sheetDataSet>
      <sheetData sheetId="0">
        <row r="107">
          <cell r="H107">
            <v>8351734.1800199989</v>
          </cell>
        </row>
      </sheetData>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Ins 2"/>
      <sheetName val="FA"/>
      <sheetName val="Rndmto"/>
      <sheetName val="M.O."/>
      <sheetName val="Ana"/>
      <sheetName val="Resu"/>
      <sheetName val="Indice"/>
      <sheetName val="Pasarela de L=60.00"/>
      <sheetName val="Insumos"/>
      <sheetName val="MANO DE OBRA"/>
      <sheetName val="Presupuesto"/>
      <sheetName val="Ana.precios un"/>
      <sheetName val="Sheet4"/>
      <sheetName val="Sheet5"/>
      <sheetName val="análisis de precios"/>
      <sheetName val="caseta de planta"/>
      <sheetName val="PRE Desvio Alcant.  Potable"/>
      <sheetName val="Materiales"/>
      <sheetName val="Los Ángeles (Fase II)"/>
      <sheetName val="Ins_2"/>
      <sheetName val="M_O_"/>
      <sheetName val="Pasarela_de_L=60_00"/>
      <sheetName val="PRE_Desvio_Alcant___Potable"/>
      <sheetName val="Ana_precios_un"/>
      <sheetName val="MANO_DE_OBRA"/>
      <sheetName val="análisis_de_precios"/>
      <sheetName val="caseta_de_planta"/>
      <sheetName val="Los_Ángeles_(Fase_II)"/>
    </sheetNames>
    <sheetDataSet>
      <sheetData sheetId="0" refreshError="1"/>
      <sheetData sheetId="1" refreshError="1"/>
      <sheetData sheetId="2" refreshError="1">
        <row r="51">
          <cell r="E51">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Presentacion "/>
      <sheetName val="Cubicación"/>
      <sheetName val="Resumen"/>
      <sheetName val="Flujograma 2"/>
      <sheetName val="Pago Cubicaciones"/>
    </sheetNames>
    <sheetDataSet>
      <sheetData sheetId="0" refreshError="1"/>
      <sheetData sheetId="1">
        <row r="138">
          <cell r="P138">
            <v>91254.508800000011</v>
          </cell>
        </row>
        <row r="269">
          <cell r="P269">
            <v>88180.369600000005</v>
          </cell>
        </row>
        <row r="401">
          <cell r="P401">
            <v>66039.507599999997</v>
          </cell>
        </row>
        <row r="535">
          <cell r="P535">
            <v>67281.496400000004</v>
          </cell>
        </row>
        <row r="653">
          <cell r="P653">
            <v>73941.508800000011</v>
          </cell>
        </row>
        <row r="768">
          <cell r="P768">
            <v>86583.652799999996</v>
          </cell>
        </row>
        <row r="883">
          <cell r="P883">
            <v>101637.17000000001</v>
          </cell>
        </row>
        <row r="998">
          <cell r="P998">
            <v>73941.508800000011</v>
          </cell>
        </row>
        <row r="1113">
          <cell r="P1113">
            <v>73941.508800000011</v>
          </cell>
        </row>
        <row r="1231">
          <cell r="P1231">
            <v>74255.358400000012</v>
          </cell>
        </row>
        <row r="1346">
          <cell r="P1346">
            <v>74993.118400000007</v>
          </cell>
        </row>
        <row r="1461">
          <cell r="P1461">
            <v>74993.118400000007</v>
          </cell>
        </row>
        <row r="1576">
          <cell r="P1576">
            <v>65108.816400000003</v>
          </cell>
        </row>
        <row r="1690">
          <cell r="P1690">
            <v>74255.358400000012</v>
          </cell>
        </row>
        <row r="1805">
          <cell r="P1805">
            <v>66975.940800000011</v>
          </cell>
        </row>
        <row r="1920">
          <cell r="P1920">
            <v>74255.358400000012</v>
          </cell>
        </row>
        <row r="2037">
          <cell r="P2037">
            <v>102212.40239999999</v>
          </cell>
        </row>
        <row r="2150">
          <cell r="P2150">
            <v>137598.35320000001</v>
          </cell>
        </row>
      </sheetData>
      <sheetData sheetId="2"/>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Herram"/>
      <sheetName val="Rndmto"/>
      <sheetName val="MOCuadrillas"/>
      <sheetName val="MOJornal"/>
      <sheetName val="Ana-Basic"/>
      <sheetName val="Ana MO Aparatos Sanit"/>
      <sheetName val="Ana"/>
      <sheetName val="Ana-Inter"/>
      <sheetName val="Res Analisis"/>
      <sheetName val="Datos Tecnicos"/>
      <sheetName val="DOBLEZ"/>
      <sheetName val="Indice"/>
    </sheetNames>
    <sheetDataSet>
      <sheetData sheetId="0"/>
      <sheetData sheetId="1">
        <row r="337">
          <cell r="E337">
            <v>271.02</v>
          </cell>
        </row>
        <row r="909">
          <cell r="E909">
            <v>36.1</v>
          </cell>
        </row>
        <row r="917">
          <cell r="E917">
            <v>57.83</v>
          </cell>
        </row>
      </sheetData>
      <sheetData sheetId="2">
        <row r="24">
          <cell r="E24">
            <v>106.29</v>
          </cell>
        </row>
      </sheetData>
      <sheetData sheetId="3"/>
      <sheetData sheetId="4"/>
      <sheetData sheetId="5">
        <row r="31">
          <cell r="D31">
            <v>1977.14</v>
          </cell>
        </row>
        <row r="51">
          <cell r="D51">
            <v>1255.3699999999999</v>
          </cell>
        </row>
        <row r="63">
          <cell r="D63">
            <v>720.78</v>
          </cell>
        </row>
      </sheetData>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s>
    <sheetDataSet>
      <sheetData sheetId="0"/>
      <sheetData sheetId="1">
        <row r="561">
          <cell r="D561">
            <v>36.01</v>
          </cell>
        </row>
      </sheetData>
      <sheetData sheetId="2"/>
      <sheetData sheetId="3"/>
      <sheetData sheetId="4"/>
      <sheetData sheetId="5"/>
      <sheetData sheetId="6"/>
      <sheetData sheetId="7">
        <row r="568">
          <cell r="D568" t="str">
            <v>m3</v>
          </cell>
        </row>
      </sheetData>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Villas"/>
      <sheetName val="Piscina"/>
      <sheetName val="Análisis"/>
      <sheetName val="Palapas"/>
      <sheetName val="Presentación"/>
    </sheetNames>
    <sheetDataSet>
      <sheetData sheetId="0">
        <row r="80">
          <cell r="E80">
            <v>44</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umos"/>
      <sheetName val="MO"/>
      <sheetName val="Precio de Vigas"/>
      <sheetName val="analisis"/>
      <sheetName val="Hss 10&quot; x 3&quot; x .125&quot;"/>
      <sheetName val="C 5&quot; x 10&quot; x 2 mm"/>
      <sheetName val="C 2&quot; x 10&quot; x 2mm"/>
      <sheetName val="ANALISIS STO DGO"/>
      <sheetName val="Mat"/>
      <sheetName val="anal term"/>
      <sheetName val="Jornal"/>
      <sheetName val="Anal. horm."/>
      <sheetName val="PU-Elect."/>
      <sheetName val="Ana-Sanit."/>
      <sheetName val="Pu-Sanit."/>
      <sheetName val="Precio_de_Vigas"/>
      <sheetName val="Hss_10&quot;_x_3&quot;_x__125&quot;"/>
      <sheetName val="C_5&quot;_x_10&quot;_x_2_mm"/>
      <sheetName val="C_2&quot;_x_10&quot;_x_2mm"/>
      <sheetName val="Precio_de_Vigas1"/>
      <sheetName val="Hss_10&quot;_x_3&quot;_x__125&quot;1"/>
      <sheetName val="C_5&quot;_x_10&quot;_x_2_mm1"/>
      <sheetName val="C_2&quot;_x_10&quot;_x_2mm1"/>
      <sheetName val="COSTO INDIRECTO"/>
      <sheetName val="OPERADORES EQUIPOS"/>
      <sheetName val="análisis"/>
      <sheetName val="MOJornal"/>
      <sheetName val="ANALISIS_STO_DGO"/>
      <sheetName val="ANALISIS_STO_DGO1"/>
      <sheetName val="Precio_de_Vigas2"/>
      <sheetName val="Hss_10&quot;_x_3&quot;_x__125&quot;2"/>
      <sheetName val="C_5&quot;_x_10&quot;_x_2_mm2"/>
      <sheetName val="C_2&quot;_x_10&quot;_x_2mm2"/>
      <sheetName val="ANALISIS_STO_DGO2"/>
      <sheetName val="Precio_de_Vigas3"/>
      <sheetName val="Hss_10&quot;_x_3&quot;_x__125&quot;3"/>
      <sheetName val="C_5&quot;_x_10&quot;_x_2_mm3"/>
      <sheetName val="C_2&quot;_x_10&quot;_x_2mm3"/>
      <sheetName val="ANALISIS_STO_DGO3"/>
      <sheetName val="Precio_de_Vigas4"/>
      <sheetName val="Hss_10&quot;_x_3&quot;_x__125&quot;4"/>
      <sheetName val="C_5&quot;_x_10&quot;_x_2_mm4"/>
      <sheetName val="C_2&quot;_x_10&quot;_x_2mm4"/>
      <sheetName val="ANALISIS_STO_DGO4"/>
      <sheetName val="Precio_de_Vigas5"/>
      <sheetName val="Hss_10&quot;_x_3&quot;_x__125&quot;5"/>
      <sheetName val="C_5&quot;_x_10&quot;_x_2_mm5"/>
      <sheetName val="C_2&quot;_x_10&quot;_x_2mm5"/>
      <sheetName val="ANALISIS_STO_DGO5"/>
      <sheetName val="a"/>
    </sheetNames>
    <sheetDataSet>
      <sheetData sheetId="0"/>
      <sheetData sheetId="1" refreshError="1"/>
      <sheetData sheetId="2" refreshError="1"/>
      <sheetData sheetId="3" refreshError="1"/>
      <sheetData sheetId="4">
        <row r="4">
          <cell r="F4">
            <v>35.75</v>
          </cell>
        </row>
        <row r="1453">
          <cell r="G1453">
            <v>1.18</v>
          </cell>
        </row>
        <row r="1637">
          <cell r="G1637">
            <v>1.1100000000000001</v>
          </cell>
        </row>
        <row r="1814">
          <cell r="G1814">
            <v>1.0990083501452665</v>
          </cell>
        </row>
        <row r="1872">
          <cell r="G1872">
            <v>1.04</v>
          </cell>
        </row>
        <row r="1977">
          <cell r="G1977">
            <v>1.01</v>
          </cell>
        </row>
        <row r="2313">
          <cell r="G2313">
            <v>1.5546306759858588</v>
          </cell>
        </row>
        <row r="2322">
          <cell r="G2322">
            <v>1.1959693269503306</v>
          </cell>
        </row>
        <row r="2477">
          <cell r="G2477">
            <v>1.5569471130991022</v>
          </cell>
        </row>
        <row r="2486">
          <cell r="G2486">
            <v>1.5907568128034648</v>
          </cell>
        </row>
        <row r="2513">
          <cell r="G2513">
            <v>1.4007248423901459</v>
          </cell>
        </row>
        <row r="2860">
          <cell r="G2860">
            <v>0.92456503968147008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IV1022"/>
  <sheetViews>
    <sheetView workbookViewId="0">
      <selection sqref="A1:F1"/>
    </sheetView>
  </sheetViews>
  <sheetFormatPr baseColWidth="10" defaultColWidth="11.42578125" defaultRowHeight="12.75"/>
  <cols>
    <col min="1" max="1" width="7.5703125" style="8" customWidth="1"/>
    <col min="2" max="2" width="55.85546875" style="8" customWidth="1"/>
    <col min="3" max="3" width="12" style="24" customWidth="1"/>
    <col min="4" max="4" width="7.28515625" style="1413" customWidth="1"/>
    <col min="5" max="5" width="11.42578125" style="8" customWidth="1"/>
    <col min="6" max="6" width="13.140625" style="8" customWidth="1"/>
    <col min="7" max="7" width="15.140625" style="8" customWidth="1"/>
    <col min="8" max="9" width="11.42578125" style="8"/>
    <col min="10" max="10" width="13.28515625" style="8" customWidth="1"/>
    <col min="11" max="16384" width="11.42578125" style="8"/>
  </cols>
  <sheetData>
    <row r="1" spans="1:256" s="1360" customFormat="1" ht="12.75" customHeight="1">
      <c r="A1" s="4769" t="s">
        <v>5</v>
      </c>
      <c r="B1" s="4769"/>
      <c r="C1" s="4769"/>
      <c r="D1" s="4769"/>
      <c r="E1" s="4769"/>
      <c r="F1" s="4769"/>
    </row>
    <row r="2" spans="1:256" s="1360" customFormat="1" ht="12.75" customHeight="1">
      <c r="A2" s="4769" t="s">
        <v>6</v>
      </c>
      <c r="B2" s="4769"/>
      <c r="C2" s="4769"/>
      <c r="D2" s="4769"/>
      <c r="E2" s="4769"/>
      <c r="F2" s="4769"/>
      <c r="G2" s="1539"/>
      <c r="H2" s="1539"/>
      <c r="I2" s="1539"/>
      <c r="J2" s="1539"/>
      <c r="K2" s="1539"/>
      <c r="L2" s="1539"/>
      <c r="M2" s="1586"/>
      <c r="N2" s="1586"/>
      <c r="O2" s="1586"/>
      <c r="P2" s="1586"/>
      <c r="Q2" s="1586"/>
      <c r="R2" s="1586"/>
      <c r="S2" s="4769"/>
      <c r="T2" s="4769"/>
      <c r="U2" s="4769"/>
      <c r="V2" s="4769"/>
      <c r="W2" s="4769"/>
      <c r="X2" s="4769"/>
      <c r="Y2" s="4769"/>
      <c r="Z2" s="4769"/>
      <c r="AA2" s="4769"/>
      <c r="AB2" s="4769"/>
      <c r="AC2" s="4769"/>
      <c r="AD2" s="4769"/>
      <c r="AE2" s="4769"/>
      <c r="AF2" s="4769"/>
      <c r="AG2" s="4769"/>
      <c r="AH2" s="4769"/>
      <c r="AI2" s="4769"/>
      <c r="AJ2" s="4769"/>
      <c r="AK2" s="4769"/>
      <c r="AL2" s="4769"/>
      <c r="AM2" s="4769"/>
      <c r="AN2" s="4769"/>
      <c r="AO2" s="4769"/>
      <c r="AP2" s="4769"/>
      <c r="AQ2" s="4769"/>
      <c r="AR2" s="4769"/>
      <c r="AS2" s="4769"/>
      <c r="AT2" s="4769"/>
      <c r="AU2" s="4769"/>
      <c r="AV2" s="4769"/>
      <c r="AW2" s="4769"/>
      <c r="AX2" s="4769"/>
      <c r="AY2" s="4769"/>
      <c r="AZ2" s="4769"/>
      <c r="BA2" s="4769"/>
      <c r="BB2" s="4769"/>
      <c r="BC2" s="4769"/>
      <c r="BD2" s="4769"/>
      <c r="BE2" s="4769"/>
      <c r="BF2" s="4769"/>
      <c r="BG2" s="4769"/>
      <c r="BH2" s="4769"/>
      <c r="BI2" s="4769"/>
      <c r="BJ2" s="4769"/>
      <c r="BK2" s="4769"/>
      <c r="BL2" s="4769"/>
      <c r="BM2" s="4769"/>
      <c r="BN2" s="4769"/>
      <c r="BO2" s="4769"/>
      <c r="BP2" s="4769"/>
      <c r="BQ2" s="4769"/>
      <c r="BR2" s="4769"/>
      <c r="BS2" s="4769"/>
      <c r="BT2" s="4769"/>
      <c r="BU2" s="4769"/>
      <c r="BV2" s="4769"/>
      <c r="BW2" s="4769"/>
      <c r="BX2" s="4769"/>
      <c r="BY2" s="4769"/>
      <c r="BZ2" s="4769"/>
      <c r="CA2" s="4769"/>
      <c r="CB2" s="4769"/>
      <c r="CC2" s="4769"/>
      <c r="CD2" s="4769"/>
      <c r="CE2" s="4769"/>
      <c r="CF2" s="4769"/>
      <c r="CG2" s="4769"/>
      <c r="CH2" s="4769"/>
      <c r="CI2" s="4769"/>
      <c r="CJ2" s="4769"/>
      <c r="CK2" s="4769"/>
      <c r="CL2" s="4769"/>
      <c r="CM2" s="4769"/>
      <c r="CN2" s="4769"/>
      <c r="CO2" s="4769"/>
      <c r="CP2" s="4769"/>
      <c r="CQ2" s="4769"/>
      <c r="CR2" s="4769"/>
      <c r="CS2" s="4769"/>
      <c r="CT2" s="4769"/>
      <c r="CU2" s="4769"/>
      <c r="CV2" s="4769"/>
      <c r="CW2" s="4769"/>
      <c r="CX2" s="4769"/>
      <c r="CY2" s="4769"/>
      <c r="CZ2" s="4769"/>
      <c r="DA2" s="4769"/>
      <c r="DB2" s="4769"/>
      <c r="DC2" s="4769"/>
      <c r="DD2" s="4769"/>
      <c r="DE2" s="4769"/>
      <c r="DF2" s="4769"/>
      <c r="DG2" s="4769"/>
      <c r="DH2" s="4769"/>
      <c r="DI2" s="4769"/>
      <c r="DJ2" s="4769"/>
      <c r="DK2" s="4769"/>
      <c r="DL2" s="4769"/>
      <c r="DM2" s="4769"/>
      <c r="DN2" s="4769"/>
      <c r="DO2" s="4769"/>
      <c r="DP2" s="4769"/>
      <c r="DQ2" s="4769"/>
      <c r="DR2" s="4769"/>
      <c r="DS2" s="4769"/>
      <c r="DT2" s="4769"/>
      <c r="DU2" s="4769"/>
      <c r="DV2" s="4769"/>
      <c r="DW2" s="4769"/>
      <c r="DX2" s="4769"/>
      <c r="DY2" s="4769"/>
      <c r="DZ2" s="4769"/>
      <c r="EA2" s="4769"/>
      <c r="EB2" s="4769"/>
      <c r="EC2" s="4769"/>
      <c r="ED2" s="4769"/>
      <c r="EE2" s="4769"/>
      <c r="EF2" s="4769"/>
      <c r="EG2" s="4769"/>
      <c r="EH2" s="4769"/>
      <c r="EI2" s="4769"/>
      <c r="EJ2" s="4769"/>
      <c r="EK2" s="4769"/>
      <c r="EL2" s="4769"/>
      <c r="EM2" s="4769"/>
      <c r="EN2" s="4769"/>
      <c r="EO2" s="4769"/>
      <c r="EP2" s="4769"/>
      <c r="EQ2" s="4769"/>
      <c r="ER2" s="4769"/>
      <c r="ES2" s="4769"/>
      <c r="ET2" s="4769"/>
      <c r="EU2" s="4769"/>
      <c r="EV2" s="4769"/>
      <c r="EW2" s="4769"/>
      <c r="EX2" s="4769"/>
      <c r="EY2" s="4769"/>
      <c r="EZ2" s="4769"/>
      <c r="FA2" s="4769"/>
      <c r="FB2" s="4769"/>
      <c r="FC2" s="4769"/>
      <c r="FD2" s="4769"/>
      <c r="FE2" s="4769"/>
      <c r="FF2" s="4769"/>
      <c r="FG2" s="4769"/>
      <c r="FH2" s="4769"/>
      <c r="FI2" s="4769"/>
      <c r="FJ2" s="4769"/>
      <c r="FK2" s="4769"/>
      <c r="FL2" s="4769"/>
      <c r="FM2" s="4769"/>
      <c r="FN2" s="4769"/>
      <c r="FO2" s="4769"/>
      <c r="FP2" s="4769"/>
      <c r="FQ2" s="4769"/>
      <c r="FR2" s="4769"/>
      <c r="FS2" s="4769"/>
      <c r="FT2" s="4769"/>
      <c r="FU2" s="4769"/>
      <c r="FV2" s="4769"/>
      <c r="FW2" s="4769"/>
      <c r="FX2" s="4769"/>
      <c r="FY2" s="4769"/>
      <c r="FZ2" s="4769"/>
      <c r="GA2" s="4769"/>
      <c r="GB2" s="4769"/>
      <c r="GC2" s="4769"/>
      <c r="GD2" s="4769"/>
      <c r="GE2" s="4769"/>
      <c r="GF2" s="4769"/>
      <c r="GG2" s="4769"/>
      <c r="GH2" s="4769"/>
      <c r="GI2" s="4769"/>
      <c r="GJ2" s="4769"/>
      <c r="GK2" s="4769"/>
      <c r="GL2" s="4769"/>
      <c r="GM2" s="4769"/>
      <c r="GN2" s="4769"/>
      <c r="GO2" s="4769"/>
      <c r="GP2" s="4769"/>
      <c r="GQ2" s="4769"/>
      <c r="GR2" s="4769"/>
      <c r="GS2" s="4769"/>
      <c r="GT2" s="4769"/>
      <c r="GU2" s="4769"/>
      <c r="GV2" s="4769"/>
      <c r="GW2" s="4769"/>
      <c r="GX2" s="4769"/>
      <c r="GY2" s="4769"/>
      <c r="GZ2" s="4769"/>
      <c r="HA2" s="4769"/>
      <c r="HB2" s="4769"/>
      <c r="HC2" s="4769"/>
      <c r="HD2" s="4769"/>
      <c r="HE2" s="4769"/>
      <c r="HF2" s="4769"/>
      <c r="HG2" s="4769"/>
      <c r="HH2" s="4769"/>
      <c r="HI2" s="4769"/>
      <c r="HJ2" s="4769"/>
      <c r="HK2" s="4769"/>
      <c r="HL2" s="4769"/>
      <c r="HM2" s="4769"/>
      <c r="HN2" s="4769"/>
      <c r="HO2" s="4769"/>
      <c r="HP2" s="4769"/>
      <c r="HQ2" s="4769"/>
      <c r="HR2" s="4769"/>
      <c r="HS2" s="4769"/>
      <c r="HT2" s="4769"/>
      <c r="HU2" s="4769"/>
      <c r="HV2" s="4769"/>
      <c r="HW2" s="4769"/>
      <c r="HX2" s="4769"/>
      <c r="HY2" s="4769"/>
      <c r="HZ2" s="4769"/>
      <c r="IA2" s="4769"/>
      <c r="IB2" s="4769"/>
      <c r="IC2" s="4769"/>
      <c r="ID2" s="4769"/>
      <c r="IE2" s="4769"/>
      <c r="IF2" s="4769"/>
      <c r="IG2" s="4769"/>
      <c r="IH2" s="4769"/>
      <c r="II2" s="4769"/>
      <c r="IJ2" s="4769"/>
      <c r="IK2" s="4769"/>
      <c r="IL2" s="4769"/>
      <c r="IM2" s="4769"/>
      <c r="IN2" s="4769"/>
      <c r="IO2" s="4769"/>
      <c r="IP2" s="4769"/>
      <c r="IQ2" s="4769"/>
      <c r="IR2" s="4769"/>
      <c r="IS2" s="4769"/>
      <c r="IT2" s="4769"/>
      <c r="IU2" s="4769"/>
      <c r="IV2" s="4769"/>
    </row>
    <row r="3" spans="1:256" s="1360" customFormat="1" ht="12.75" customHeight="1">
      <c r="A3" s="4769" t="s">
        <v>7</v>
      </c>
      <c r="B3" s="4769"/>
      <c r="C3" s="4769"/>
      <c r="D3" s="4769"/>
      <c r="E3" s="4769"/>
      <c r="F3" s="4769"/>
      <c r="G3" s="1539"/>
      <c r="H3" s="1539"/>
      <c r="I3" s="1539"/>
      <c r="J3" s="1539"/>
      <c r="K3" s="1539"/>
      <c r="L3" s="1539"/>
      <c r="M3" s="1586"/>
      <c r="N3" s="1586"/>
      <c r="O3" s="1586"/>
      <c r="P3" s="1586"/>
      <c r="Q3" s="1586"/>
      <c r="R3" s="1586"/>
      <c r="S3" s="4769"/>
      <c r="T3" s="4769"/>
      <c r="U3" s="4769"/>
      <c r="V3" s="4769"/>
      <c r="W3" s="4769"/>
      <c r="X3" s="4769"/>
      <c r="Y3" s="4769"/>
      <c r="Z3" s="4769"/>
      <c r="AA3" s="4769"/>
      <c r="AB3" s="4769"/>
      <c r="AC3" s="4769"/>
      <c r="AD3" s="4769"/>
      <c r="AE3" s="4769"/>
      <c r="AF3" s="4769"/>
      <c r="AG3" s="4769"/>
      <c r="AH3" s="4769"/>
      <c r="AI3" s="4769"/>
      <c r="AJ3" s="4769"/>
      <c r="AK3" s="4769"/>
      <c r="AL3" s="4769"/>
      <c r="AM3" s="4769"/>
      <c r="AN3" s="4769"/>
      <c r="AO3" s="4769"/>
      <c r="AP3" s="4769"/>
      <c r="AQ3" s="4769"/>
      <c r="AR3" s="4769"/>
      <c r="AS3" s="4769"/>
      <c r="AT3" s="4769"/>
      <c r="AU3" s="4769"/>
      <c r="AV3" s="4769"/>
      <c r="AW3" s="4769"/>
      <c r="AX3" s="4769"/>
      <c r="AY3" s="4769"/>
      <c r="AZ3" s="4769"/>
      <c r="BA3" s="4769"/>
      <c r="BB3" s="4769"/>
      <c r="BC3" s="4769"/>
      <c r="BD3" s="4769"/>
      <c r="BE3" s="4769"/>
      <c r="BF3" s="4769"/>
      <c r="BG3" s="4769"/>
      <c r="BH3" s="4769"/>
      <c r="BI3" s="4769"/>
      <c r="BJ3" s="4769"/>
      <c r="BK3" s="4769"/>
      <c r="BL3" s="4769"/>
      <c r="BM3" s="4769"/>
      <c r="BN3" s="4769"/>
      <c r="BO3" s="4769"/>
      <c r="BP3" s="4769"/>
      <c r="BQ3" s="4769"/>
      <c r="BR3" s="4769"/>
      <c r="BS3" s="4769"/>
      <c r="BT3" s="4769"/>
      <c r="BU3" s="4769"/>
      <c r="BV3" s="4769"/>
      <c r="BW3" s="4769"/>
      <c r="BX3" s="4769"/>
      <c r="BY3" s="4769"/>
      <c r="BZ3" s="4769"/>
      <c r="CA3" s="4769"/>
      <c r="CB3" s="4769"/>
      <c r="CC3" s="4769"/>
      <c r="CD3" s="4769"/>
      <c r="CE3" s="4769"/>
      <c r="CF3" s="4769"/>
      <c r="CG3" s="4769"/>
      <c r="CH3" s="4769"/>
      <c r="CI3" s="4769"/>
      <c r="CJ3" s="4769"/>
      <c r="CK3" s="4769"/>
      <c r="CL3" s="4769"/>
      <c r="CM3" s="4769"/>
      <c r="CN3" s="4769"/>
      <c r="CO3" s="4769"/>
      <c r="CP3" s="4769"/>
      <c r="CQ3" s="4769"/>
      <c r="CR3" s="4769"/>
      <c r="CS3" s="4769"/>
      <c r="CT3" s="4769"/>
      <c r="CU3" s="4769"/>
      <c r="CV3" s="4769"/>
      <c r="CW3" s="4769"/>
      <c r="CX3" s="4769"/>
      <c r="CY3" s="4769"/>
      <c r="CZ3" s="4769"/>
      <c r="DA3" s="4769"/>
      <c r="DB3" s="4769"/>
      <c r="DC3" s="4769"/>
      <c r="DD3" s="4769"/>
      <c r="DE3" s="4769"/>
      <c r="DF3" s="4769"/>
      <c r="DG3" s="4769"/>
      <c r="DH3" s="4769"/>
      <c r="DI3" s="4769"/>
      <c r="DJ3" s="4769"/>
      <c r="DK3" s="4769"/>
      <c r="DL3" s="4769"/>
      <c r="DM3" s="4769"/>
      <c r="DN3" s="4769"/>
      <c r="DO3" s="4769"/>
      <c r="DP3" s="4769"/>
      <c r="DQ3" s="4769"/>
      <c r="DR3" s="4769"/>
      <c r="DS3" s="4769"/>
      <c r="DT3" s="4769"/>
      <c r="DU3" s="4769"/>
      <c r="DV3" s="4769"/>
      <c r="DW3" s="4769"/>
      <c r="DX3" s="4769"/>
      <c r="DY3" s="4769"/>
      <c r="DZ3" s="4769"/>
      <c r="EA3" s="4769"/>
      <c r="EB3" s="4769"/>
      <c r="EC3" s="4769"/>
      <c r="ED3" s="4769"/>
      <c r="EE3" s="4769"/>
      <c r="EF3" s="4769"/>
      <c r="EG3" s="4769"/>
      <c r="EH3" s="4769"/>
      <c r="EI3" s="4769"/>
      <c r="EJ3" s="4769"/>
      <c r="EK3" s="4769"/>
      <c r="EL3" s="4769"/>
      <c r="EM3" s="4769"/>
      <c r="EN3" s="4769"/>
      <c r="EO3" s="4769"/>
      <c r="EP3" s="4769"/>
      <c r="EQ3" s="4769"/>
      <c r="ER3" s="4769"/>
      <c r="ES3" s="4769"/>
      <c r="ET3" s="4769"/>
      <c r="EU3" s="4769"/>
      <c r="EV3" s="4769"/>
      <c r="EW3" s="4769"/>
      <c r="EX3" s="4769"/>
      <c r="EY3" s="4769"/>
      <c r="EZ3" s="4769"/>
      <c r="FA3" s="4769"/>
      <c r="FB3" s="4769"/>
      <c r="FC3" s="4769"/>
      <c r="FD3" s="4769"/>
      <c r="FE3" s="4769"/>
      <c r="FF3" s="4769"/>
      <c r="FG3" s="4769"/>
      <c r="FH3" s="4769"/>
      <c r="FI3" s="4769"/>
      <c r="FJ3" s="4769"/>
      <c r="FK3" s="4769"/>
      <c r="FL3" s="4769"/>
      <c r="FM3" s="4769"/>
      <c r="FN3" s="4769"/>
      <c r="FO3" s="4769"/>
      <c r="FP3" s="4769"/>
      <c r="FQ3" s="4769"/>
      <c r="FR3" s="4769"/>
      <c r="FS3" s="4769"/>
      <c r="FT3" s="4769"/>
      <c r="FU3" s="4769"/>
      <c r="FV3" s="4769"/>
      <c r="FW3" s="4769"/>
      <c r="FX3" s="4769"/>
      <c r="FY3" s="4769"/>
      <c r="FZ3" s="4769"/>
      <c r="GA3" s="4769"/>
      <c r="GB3" s="4769"/>
      <c r="GC3" s="4769"/>
      <c r="GD3" s="4769"/>
      <c r="GE3" s="4769"/>
      <c r="GF3" s="4769"/>
      <c r="GG3" s="4769"/>
      <c r="GH3" s="4769"/>
      <c r="GI3" s="4769"/>
      <c r="GJ3" s="4769"/>
      <c r="GK3" s="4769"/>
      <c r="GL3" s="4769"/>
      <c r="GM3" s="4769"/>
      <c r="GN3" s="4769"/>
      <c r="GO3" s="4769"/>
      <c r="GP3" s="4769"/>
      <c r="GQ3" s="4769"/>
      <c r="GR3" s="4769"/>
      <c r="GS3" s="4769"/>
      <c r="GT3" s="4769"/>
      <c r="GU3" s="4769"/>
      <c r="GV3" s="4769"/>
      <c r="GW3" s="4769"/>
      <c r="GX3" s="4769"/>
      <c r="GY3" s="4769"/>
      <c r="GZ3" s="4769"/>
      <c r="HA3" s="4769"/>
      <c r="HB3" s="4769"/>
      <c r="HC3" s="4769"/>
      <c r="HD3" s="4769"/>
      <c r="HE3" s="4769"/>
      <c r="HF3" s="4769"/>
      <c r="HG3" s="4769"/>
      <c r="HH3" s="4769"/>
      <c r="HI3" s="4769"/>
      <c r="HJ3" s="4769"/>
      <c r="HK3" s="4769"/>
      <c r="HL3" s="4769"/>
      <c r="HM3" s="4769"/>
      <c r="HN3" s="4769"/>
      <c r="HO3" s="4769"/>
      <c r="HP3" s="4769"/>
      <c r="HQ3" s="4769"/>
      <c r="HR3" s="4769"/>
      <c r="HS3" s="4769"/>
      <c r="HT3" s="4769"/>
      <c r="HU3" s="4769"/>
      <c r="HV3" s="4769"/>
      <c r="HW3" s="4769"/>
      <c r="HX3" s="4769"/>
      <c r="HY3" s="4769"/>
      <c r="HZ3" s="4769"/>
      <c r="IA3" s="4769"/>
      <c r="IB3" s="4769"/>
      <c r="IC3" s="4769"/>
      <c r="ID3" s="4769"/>
      <c r="IE3" s="4769"/>
      <c r="IF3" s="4769"/>
      <c r="IG3" s="4769"/>
      <c r="IH3" s="4769"/>
      <c r="II3" s="4769"/>
      <c r="IJ3" s="4769"/>
      <c r="IK3" s="4769"/>
      <c r="IL3" s="4769"/>
      <c r="IM3" s="4769"/>
      <c r="IN3" s="4769"/>
      <c r="IO3" s="4769"/>
      <c r="IP3" s="4769"/>
      <c r="IQ3" s="4769"/>
      <c r="IR3" s="4769"/>
      <c r="IS3" s="4769"/>
      <c r="IT3" s="4769"/>
      <c r="IU3" s="4769"/>
      <c r="IV3" s="4769"/>
    </row>
    <row r="4" spans="1:256" s="1360" customFormat="1" ht="12.75" customHeight="1">
      <c r="A4" s="4769" t="s">
        <v>60</v>
      </c>
      <c r="B4" s="4769"/>
      <c r="C4" s="4769"/>
      <c r="D4" s="4769"/>
      <c r="E4" s="4769"/>
      <c r="F4" s="4769"/>
      <c r="G4" s="1539"/>
      <c r="H4" s="1539"/>
      <c r="I4" s="1539"/>
      <c r="J4" s="1539"/>
      <c r="K4" s="1539"/>
      <c r="L4" s="1539"/>
      <c r="M4" s="1586"/>
      <c r="N4" s="1586"/>
      <c r="O4" s="1586"/>
      <c r="P4" s="1586"/>
      <c r="Q4" s="1586"/>
      <c r="R4" s="1586"/>
      <c r="S4" s="4769"/>
      <c r="T4" s="4769"/>
      <c r="U4" s="4769"/>
      <c r="V4" s="4769"/>
      <c r="W4" s="4769"/>
      <c r="X4" s="4769"/>
      <c r="Y4" s="4769"/>
      <c r="Z4" s="4769"/>
      <c r="AA4" s="4769"/>
      <c r="AB4" s="4769"/>
      <c r="AC4" s="4769"/>
      <c r="AD4" s="4769"/>
      <c r="AE4" s="4769"/>
      <c r="AF4" s="4769"/>
      <c r="AG4" s="4769"/>
      <c r="AH4" s="4769"/>
      <c r="AI4" s="4769"/>
      <c r="AJ4" s="4769"/>
      <c r="AK4" s="4769"/>
      <c r="AL4" s="4769"/>
      <c r="AM4" s="4769"/>
      <c r="AN4" s="4769"/>
      <c r="AO4" s="4769"/>
      <c r="AP4" s="4769"/>
      <c r="AQ4" s="4769"/>
      <c r="AR4" s="4769"/>
      <c r="AS4" s="4769"/>
      <c r="AT4" s="4769"/>
      <c r="AU4" s="4769"/>
      <c r="AV4" s="4769"/>
      <c r="AW4" s="4769"/>
      <c r="AX4" s="4769"/>
      <c r="AY4" s="4769"/>
      <c r="AZ4" s="4769"/>
      <c r="BA4" s="4769"/>
      <c r="BB4" s="4769"/>
      <c r="BC4" s="4769"/>
      <c r="BD4" s="4769"/>
      <c r="BE4" s="4769"/>
      <c r="BF4" s="4769"/>
      <c r="BG4" s="4769"/>
      <c r="BH4" s="4769"/>
      <c r="BI4" s="4769"/>
      <c r="BJ4" s="4769"/>
      <c r="BK4" s="4769"/>
      <c r="BL4" s="4769"/>
      <c r="BM4" s="4769"/>
      <c r="BN4" s="4769"/>
      <c r="BO4" s="4769"/>
      <c r="BP4" s="4769"/>
      <c r="BQ4" s="4769"/>
      <c r="BR4" s="4769"/>
      <c r="BS4" s="4769"/>
      <c r="BT4" s="4769"/>
      <c r="BU4" s="4769"/>
      <c r="BV4" s="4769"/>
      <c r="BW4" s="4769"/>
      <c r="BX4" s="4769"/>
      <c r="BY4" s="4769"/>
      <c r="BZ4" s="4769"/>
      <c r="CA4" s="4769"/>
      <c r="CB4" s="4769"/>
      <c r="CC4" s="4769"/>
      <c r="CD4" s="4769"/>
      <c r="CE4" s="4769"/>
      <c r="CF4" s="4769"/>
      <c r="CG4" s="4769"/>
      <c r="CH4" s="4769"/>
      <c r="CI4" s="4769"/>
      <c r="CJ4" s="4769"/>
      <c r="CK4" s="4769"/>
      <c r="CL4" s="4769"/>
      <c r="CM4" s="4769"/>
      <c r="CN4" s="4769"/>
      <c r="CO4" s="4769"/>
      <c r="CP4" s="4769"/>
      <c r="CQ4" s="4769"/>
      <c r="CR4" s="4769"/>
      <c r="CS4" s="4769"/>
      <c r="CT4" s="4769"/>
      <c r="CU4" s="4769"/>
      <c r="CV4" s="4769"/>
      <c r="CW4" s="4769"/>
      <c r="CX4" s="4769"/>
      <c r="CY4" s="4769"/>
      <c r="CZ4" s="4769"/>
      <c r="DA4" s="4769"/>
      <c r="DB4" s="4769"/>
      <c r="DC4" s="4769"/>
      <c r="DD4" s="4769"/>
      <c r="DE4" s="4769"/>
      <c r="DF4" s="4769"/>
      <c r="DG4" s="4769"/>
      <c r="DH4" s="4769"/>
      <c r="DI4" s="4769"/>
      <c r="DJ4" s="4769"/>
      <c r="DK4" s="4769"/>
      <c r="DL4" s="4769"/>
      <c r="DM4" s="4769"/>
      <c r="DN4" s="4769"/>
      <c r="DO4" s="4769"/>
      <c r="DP4" s="4769"/>
      <c r="DQ4" s="4769"/>
      <c r="DR4" s="4769"/>
      <c r="DS4" s="4769"/>
      <c r="DT4" s="4769"/>
      <c r="DU4" s="4769"/>
      <c r="DV4" s="4769"/>
      <c r="DW4" s="4769"/>
      <c r="DX4" s="4769"/>
      <c r="DY4" s="4769"/>
      <c r="DZ4" s="4769"/>
      <c r="EA4" s="4769"/>
      <c r="EB4" s="4769"/>
      <c r="EC4" s="4769"/>
      <c r="ED4" s="4769"/>
      <c r="EE4" s="4769"/>
      <c r="EF4" s="4769"/>
      <c r="EG4" s="4769"/>
      <c r="EH4" s="4769"/>
      <c r="EI4" s="4769"/>
      <c r="EJ4" s="4769"/>
      <c r="EK4" s="4769"/>
      <c r="EL4" s="4769"/>
      <c r="EM4" s="4769"/>
      <c r="EN4" s="4769"/>
      <c r="EO4" s="4769"/>
      <c r="EP4" s="4769"/>
      <c r="EQ4" s="4769"/>
      <c r="ER4" s="4769"/>
      <c r="ES4" s="4769"/>
      <c r="ET4" s="4769"/>
      <c r="EU4" s="4769"/>
      <c r="EV4" s="4769"/>
      <c r="EW4" s="4769"/>
      <c r="EX4" s="4769"/>
      <c r="EY4" s="4769"/>
      <c r="EZ4" s="4769"/>
      <c r="FA4" s="4769"/>
      <c r="FB4" s="4769"/>
      <c r="FC4" s="4769"/>
      <c r="FD4" s="4769"/>
      <c r="FE4" s="4769"/>
      <c r="FF4" s="4769"/>
      <c r="FG4" s="4769"/>
      <c r="FH4" s="4769"/>
      <c r="FI4" s="4769"/>
      <c r="FJ4" s="4769"/>
      <c r="FK4" s="4769"/>
      <c r="FL4" s="4769"/>
      <c r="FM4" s="4769"/>
      <c r="FN4" s="4769"/>
      <c r="FO4" s="4769"/>
      <c r="FP4" s="4769"/>
      <c r="FQ4" s="4769"/>
      <c r="FR4" s="4769"/>
      <c r="FS4" s="4769"/>
      <c r="FT4" s="4769"/>
      <c r="FU4" s="4769"/>
      <c r="FV4" s="4769"/>
      <c r="FW4" s="4769"/>
      <c r="FX4" s="4769"/>
      <c r="FY4" s="4769"/>
      <c r="FZ4" s="4769"/>
      <c r="GA4" s="4769"/>
      <c r="GB4" s="4769"/>
      <c r="GC4" s="4769"/>
      <c r="GD4" s="4769"/>
      <c r="GE4" s="4769"/>
      <c r="GF4" s="4769"/>
      <c r="GG4" s="4769"/>
      <c r="GH4" s="4769"/>
      <c r="GI4" s="4769"/>
      <c r="GJ4" s="4769"/>
      <c r="GK4" s="4769"/>
      <c r="GL4" s="4769"/>
      <c r="GM4" s="4769"/>
      <c r="GN4" s="4769"/>
      <c r="GO4" s="4769"/>
      <c r="GP4" s="4769"/>
      <c r="GQ4" s="4769"/>
      <c r="GR4" s="4769"/>
      <c r="GS4" s="4769"/>
      <c r="GT4" s="4769"/>
      <c r="GU4" s="4769"/>
      <c r="GV4" s="4769"/>
      <c r="GW4" s="4769"/>
      <c r="GX4" s="4769"/>
      <c r="GY4" s="4769"/>
      <c r="GZ4" s="4769"/>
      <c r="HA4" s="4769"/>
      <c r="HB4" s="4769"/>
      <c r="HC4" s="4769"/>
      <c r="HD4" s="4769"/>
      <c r="HE4" s="4769"/>
      <c r="HF4" s="4769"/>
      <c r="HG4" s="4769"/>
      <c r="HH4" s="4769"/>
      <c r="HI4" s="4769"/>
      <c r="HJ4" s="4769"/>
      <c r="HK4" s="4769"/>
      <c r="HL4" s="4769"/>
      <c r="HM4" s="4769"/>
      <c r="HN4" s="4769"/>
      <c r="HO4" s="4769"/>
      <c r="HP4" s="4769"/>
      <c r="HQ4" s="4769"/>
      <c r="HR4" s="4769"/>
      <c r="HS4" s="4769"/>
      <c r="HT4" s="4769"/>
      <c r="HU4" s="4769"/>
      <c r="HV4" s="4769"/>
      <c r="HW4" s="4769"/>
      <c r="HX4" s="4769"/>
      <c r="HY4" s="4769"/>
      <c r="HZ4" s="4769"/>
      <c r="IA4" s="4769"/>
      <c r="IB4" s="4769"/>
      <c r="IC4" s="4769"/>
      <c r="ID4" s="4769"/>
      <c r="IE4" s="4769"/>
      <c r="IF4" s="4769"/>
      <c r="IG4" s="4769"/>
      <c r="IH4" s="4769"/>
      <c r="II4" s="4769"/>
      <c r="IJ4" s="4769"/>
      <c r="IK4" s="4769"/>
      <c r="IL4" s="4769"/>
      <c r="IM4" s="4769"/>
      <c r="IN4" s="4769"/>
      <c r="IO4" s="4769"/>
      <c r="IP4" s="4769"/>
      <c r="IQ4" s="4769"/>
      <c r="IR4" s="4769"/>
      <c r="IS4" s="4769"/>
      <c r="IT4" s="4769"/>
      <c r="IU4" s="4769"/>
      <c r="IV4" s="4769"/>
    </row>
    <row r="5" spans="1:256" s="1360" customFormat="1" ht="12.75" customHeight="1">
      <c r="A5" s="1587"/>
      <c r="B5" s="1587"/>
      <c r="C5" s="1587"/>
      <c r="D5" s="1587"/>
      <c r="E5" s="1587"/>
      <c r="F5" s="1587"/>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c r="AP5" s="1586"/>
      <c r="AQ5" s="1586"/>
      <c r="AR5" s="1586"/>
      <c r="AS5" s="1586"/>
      <c r="AT5" s="1586"/>
      <c r="AU5" s="1586"/>
      <c r="AV5" s="1586"/>
      <c r="AW5" s="1586"/>
      <c r="AX5" s="1586"/>
      <c r="AY5" s="1586"/>
      <c r="AZ5" s="1586"/>
      <c r="BA5" s="1586"/>
      <c r="BB5" s="1586"/>
      <c r="BC5" s="1586"/>
      <c r="BD5" s="1586"/>
      <c r="BE5" s="1586"/>
      <c r="BF5" s="1586"/>
      <c r="BG5" s="1586"/>
      <c r="BH5" s="1586"/>
      <c r="BI5" s="1586"/>
      <c r="BJ5" s="1586"/>
      <c r="BK5" s="1586"/>
      <c r="BL5" s="1586"/>
      <c r="BM5" s="1586"/>
      <c r="BN5" s="1586"/>
      <c r="BO5" s="1586"/>
      <c r="BP5" s="1586"/>
      <c r="BQ5" s="1586"/>
      <c r="BR5" s="1586"/>
      <c r="BS5" s="1586"/>
      <c r="BT5" s="1586"/>
      <c r="BU5" s="1586"/>
      <c r="BV5" s="1586"/>
      <c r="BW5" s="1586"/>
      <c r="BX5" s="1586"/>
      <c r="BY5" s="1586"/>
      <c r="BZ5" s="1586"/>
      <c r="CA5" s="1586"/>
      <c r="CB5" s="1586"/>
      <c r="CC5" s="1586"/>
      <c r="CD5" s="1586"/>
      <c r="CE5" s="1586"/>
      <c r="CF5" s="1586"/>
      <c r="CG5" s="1586"/>
      <c r="CH5" s="1586"/>
      <c r="CI5" s="1586"/>
      <c r="CJ5" s="1586"/>
      <c r="CK5" s="1586"/>
      <c r="CL5" s="1586"/>
      <c r="CM5" s="1586"/>
      <c r="CN5" s="1586"/>
      <c r="CO5" s="1586"/>
      <c r="CP5" s="1586"/>
      <c r="CQ5" s="1586"/>
      <c r="CR5" s="1586"/>
      <c r="CS5" s="1586"/>
      <c r="CT5" s="1586"/>
      <c r="CU5" s="1586"/>
      <c r="CV5" s="1586"/>
      <c r="CW5" s="1586"/>
      <c r="CX5" s="1586"/>
      <c r="CY5" s="1586"/>
      <c r="CZ5" s="1586"/>
      <c r="DA5" s="1586"/>
      <c r="DB5" s="1586"/>
      <c r="DC5" s="1586"/>
      <c r="DD5" s="1586"/>
      <c r="DE5" s="1586"/>
      <c r="DF5" s="1586"/>
      <c r="DG5" s="1586"/>
      <c r="DH5" s="1586"/>
      <c r="DI5" s="1586"/>
      <c r="DJ5" s="1586"/>
      <c r="DK5" s="1586"/>
      <c r="DL5" s="1586"/>
      <c r="DM5" s="1586"/>
      <c r="DN5" s="1586"/>
      <c r="DO5" s="1586"/>
      <c r="DP5" s="1586"/>
      <c r="DQ5" s="1586"/>
      <c r="DR5" s="1586"/>
      <c r="DS5" s="1586"/>
      <c r="DT5" s="1586"/>
      <c r="DU5" s="1586"/>
      <c r="DV5" s="1586"/>
      <c r="DW5" s="1586"/>
      <c r="DX5" s="1586"/>
      <c r="DY5" s="1586"/>
      <c r="DZ5" s="1586"/>
      <c r="EA5" s="1586"/>
      <c r="EB5" s="1586"/>
      <c r="EC5" s="1586"/>
      <c r="ED5" s="1586"/>
      <c r="EE5" s="1586"/>
      <c r="EF5" s="1586"/>
      <c r="EG5" s="1586"/>
      <c r="EH5" s="1586"/>
      <c r="EI5" s="1586"/>
      <c r="EJ5" s="1586"/>
      <c r="EK5" s="1586"/>
      <c r="EL5" s="1586"/>
      <c r="EM5" s="1586"/>
      <c r="EN5" s="1586"/>
      <c r="EO5" s="1586"/>
      <c r="EP5" s="1586"/>
      <c r="EQ5" s="1586"/>
      <c r="ER5" s="1586"/>
      <c r="ES5" s="1586"/>
      <c r="ET5" s="1586"/>
      <c r="EU5" s="1586"/>
      <c r="EV5" s="1586"/>
      <c r="EW5" s="1586"/>
      <c r="EX5" s="1586"/>
      <c r="EY5" s="1586"/>
      <c r="EZ5" s="1586"/>
      <c r="FA5" s="1586"/>
      <c r="FB5" s="1586"/>
      <c r="FC5" s="1586"/>
      <c r="FD5" s="1586"/>
      <c r="FE5" s="1586"/>
      <c r="FF5" s="1586"/>
      <c r="FG5" s="1586"/>
      <c r="FH5" s="1586"/>
      <c r="FI5" s="1586"/>
      <c r="FJ5" s="1586"/>
      <c r="FK5" s="1586"/>
      <c r="FL5" s="1586"/>
      <c r="FM5" s="1586"/>
      <c r="FN5" s="1586"/>
      <c r="FO5" s="1586"/>
      <c r="FP5" s="1586"/>
      <c r="FQ5" s="1586"/>
      <c r="FR5" s="1586"/>
      <c r="FS5" s="1586"/>
      <c r="FT5" s="1586"/>
      <c r="FU5" s="1586"/>
      <c r="FV5" s="1586"/>
      <c r="FW5" s="1586"/>
      <c r="FX5" s="1586"/>
      <c r="FY5" s="1586"/>
      <c r="FZ5" s="1586"/>
      <c r="GA5" s="1586"/>
      <c r="GB5" s="1586"/>
      <c r="GC5" s="1586"/>
      <c r="GD5" s="1586"/>
      <c r="GE5" s="1586"/>
      <c r="GF5" s="1586"/>
      <c r="GG5" s="1586"/>
      <c r="GH5" s="1586"/>
      <c r="GI5" s="1586"/>
      <c r="GJ5" s="1586"/>
      <c r="GK5" s="1586"/>
      <c r="GL5" s="1586"/>
      <c r="GM5" s="1586"/>
      <c r="GN5" s="1586"/>
      <c r="GO5" s="1586"/>
      <c r="GP5" s="1586"/>
      <c r="GQ5" s="1586"/>
      <c r="GR5" s="1586"/>
      <c r="GS5" s="1586"/>
      <c r="GT5" s="1586"/>
      <c r="GU5" s="1586"/>
      <c r="GV5" s="1586"/>
      <c r="GW5" s="1586"/>
      <c r="GX5" s="1586"/>
      <c r="GY5" s="1586"/>
      <c r="GZ5" s="1586"/>
      <c r="HA5" s="1586"/>
      <c r="HB5" s="1586"/>
      <c r="HC5" s="1586"/>
      <c r="HD5" s="1586"/>
      <c r="HE5" s="1586"/>
      <c r="HF5" s="1586"/>
      <c r="HG5" s="1586"/>
      <c r="HH5" s="1586"/>
      <c r="HI5" s="1586"/>
      <c r="HJ5" s="1586"/>
      <c r="HK5" s="1586"/>
      <c r="HL5" s="1586"/>
      <c r="HM5" s="1586"/>
      <c r="HN5" s="1586"/>
      <c r="HO5" s="1586"/>
      <c r="HP5" s="1586"/>
      <c r="HQ5" s="1586"/>
      <c r="HR5" s="1586"/>
      <c r="HS5" s="1586"/>
      <c r="HT5" s="1586"/>
      <c r="HU5" s="1586"/>
      <c r="HV5" s="1586"/>
      <c r="HW5" s="1586"/>
      <c r="HX5" s="1586"/>
      <c r="HY5" s="1586"/>
      <c r="HZ5" s="1586"/>
      <c r="IA5" s="1586"/>
      <c r="IB5" s="1586"/>
      <c r="IC5" s="1586"/>
      <c r="ID5" s="1586"/>
      <c r="IE5" s="1586"/>
      <c r="IF5" s="1586"/>
      <c r="IG5" s="1586"/>
      <c r="IH5" s="1586"/>
      <c r="II5" s="1586"/>
      <c r="IJ5" s="1586"/>
      <c r="IK5" s="1586"/>
      <c r="IL5" s="1586"/>
      <c r="IM5" s="1586"/>
      <c r="IN5" s="1586"/>
      <c r="IO5" s="1586"/>
      <c r="IP5" s="1586"/>
      <c r="IQ5" s="1586"/>
      <c r="IR5" s="1586"/>
      <c r="IS5" s="1586"/>
      <c r="IT5" s="1586"/>
      <c r="IU5" s="1586"/>
      <c r="IV5" s="1586"/>
    </row>
    <row r="6" spans="1:256" s="1360" customFormat="1" ht="27.75" customHeight="1">
      <c r="A6" s="4769" t="s">
        <v>547</v>
      </c>
      <c r="B6" s="4769"/>
      <c r="C6" s="4769"/>
      <c r="D6" s="4769"/>
      <c r="E6" s="4769"/>
      <c r="F6" s="4769"/>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c r="GE6" s="1586"/>
      <c r="GF6" s="1586"/>
      <c r="GG6" s="1586"/>
      <c r="GH6" s="1586"/>
      <c r="GI6" s="1586"/>
      <c r="GJ6" s="1586"/>
      <c r="GK6" s="1586"/>
      <c r="GL6" s="1586"/>
      <c r="GM6" s="1586"/>
      <c r="GN6" s="1586"/>
      <c r="GO6" s="1586"/>
      <c r="GP6" s="1586"/>
      <c r="GQ6" s="1586"/>
      <c r="GR6" s="1586"/>
      <c r="GS6" s="1586"/>
      <c r="GT6" s="1586"/>
      <c r="GU6" s="1586"/>
      <c r="GV6" s="1586"/>
      <c r="GW6" s="1586"/>
      <c r="GX6" s="1586"/>
      <c r="GY6" s="1586"/>
      <c r="GZ6" s="1586"/>
      <c r="HA6" s="1586"/>
      <c r="HB6" s="1586"/>
      <c r="HC6" s="1586"/>
      <c r="HD6" s="1586"/>
      <c r="HE6" s="1586"/>
      <c r="HF6" s="1586"/>
      <c r="HG6" s="1586"/>
      <c r="HH6" s="1586"/>
      <c r="HI6" s="1586"/>
      <c r="HJ6" s="1586"/>
      <c r="HK6" s="1586"/>
      <c r="HL6" s="1586"/>
      <c r="HM6" s="1586"/>
      <c r="HN6" s="1586"/>
      <c r="HO6" s="1586"/>
      <c r="HP6" s="1586"/>
      <c r="HQ6" s="1586"/>
      <c r="HR6" s="1586"/>
      <c r="HS6" s="1586"/>
      <c r="HT6" s="1586"/>
      <c r="HU6" s="1586"/>
      <c r="HV6" s="1586"/>
      <c r="HW6" s="1586"/>
      <c r="HX6" s="1586"/>
      <c r="HY6" s="1586"/>
      <c r="HZ6" s="1586"/>
      <c r="IA6" s="1586"/>
      <c r="IB6" s="1586"/>
      <c r="IC6" s="1586"/>
      <c r="ID6" s="1586"/>
      <c r="IE6" s="1586"/>
      <c r="IF6" s="1586"/>
      <c r="IG6" s="1586"/>
      <c r="IH6" s="1586"/>
      <c r="II6" s="1586"/>
      <c r="IJ6" s="1586"/>
      <c r="IK6" s="1586"/>
      <c r="IL6" s="1586"/>
      <c r="IM6" s="1586"/>
      <c r="IN6" s="1586"/>
      <c r="IO6" s="1586"/>
      <c r="IP6" s="1586"/>
      <c r="IQ6" s="1586"/>
      <c r="IR6" s="1586"/>
      <c r="IS6" s="1586"/>
      <c r="IT6" s="1586"/>
      <c r="IU6" s="1586"/>
      <c r="IV6" s="1586"/>
    </row>
    <row r="7" spans="1:256" s="655" customFormat="1" ht="15" customHeight="1">
      <c r="A7" s="6" t="s">
        <v>27</v>
      </c>
      <c r="B7" s="5"/>
      <c r="C7" s="20" t="s">
        <v>31</v>
      </c>
      <c r="D7" s="1410"/>
      <c r="E7" s="1"/>
      <c r="F7" s="1"/>
    </row>
    <row r="8" spans="1:256" s="655" customFormat="1" ht="8.25" customHeight="1">
      <c r="A8" s="6"/>
      <c r="B8" s="5"/>
      <c r="C8" s="20"/>
      <c r="D8" s="1410"/>
      <c r="E8" s="1"/>
      <c r="F8" s="1"/>
    </row>
    <row r="9" spans="1:256" s="1361" customFormat="1" ht="15" customHeight="1">
      <c r="A9" s="694" t="s">
        <v>28</v>
      </c>
      <c r="B9" s="694" t="s">
        <v>29</v>
      </c>
      <c r="C9" s="694" t="s">
        <v>30</v>
      </c>
      <c r="D9" s="694" t="s">
        <v>976</v>
      </c>
      <c r="E9" s="694" t="s">
        <v>44</v>
      </c>
      <c r="F9" s="1327" t="s">
        <v>45</v>
      </c>
    </row>
    <row r="10" spans="1:256" s="655" customFormat="1" ht="12.75" customHeight="1">
      <c r="A10" s="34"/>
      <c r="B10" s="35"/>
      <c r="C10" s="36"/>
      <c r="D10" s="37"/>
      <c r="E10" s="38"/>
      <c r="F10" s="1328"/>
    </row>
    <row r="11" spans="1:256" s="655" customFormat="1" ht="14.25" customHeight="1">
      <c r="A11" s="2"/>
      <c r="B11" s="3"/>
      <c r="C11" s="21"/>
      <c r="D11" s="4"/>
      <c r="E11" s="654"/>
      <c r="F11" s="1329"/>
      <c r="G11" s="1362"/>
    </row>
    <row r="12" spans="1:256" s="650" customFormat="1" ht="30">
      <c r="A12" s="708" t="s">
        <v>0</v>
      </c>
      <c r="B12" s="1403" t="s">
        <v>1249</v>
      </c>
      <c r="C12" s="22"/>
      <c r="D12" s="9"/>
      <c r="E12" s="31"/>
      <c r="F12" s="1330"/>
      <c r="G12" s="1362"/>
    </row>
    <row r="13" spans="1:256" s="655" customFormat="1">
      <c r="A13" s="27"/>
      <c r="B13" s="51"/>
      <c r="C13" s="22"/>
      <c r="D13" s="9"/>
      <c r="E13" s="31"/>
      <c r="F13" s="1330"/>
      <c r="G13" s="1362"/>
    </row>
    <row r="14" spans="1:256" s="655" customFormat="1">
      <c r="A14" s="27">
        <v>1</v>
      </c>
      <c r="B14" s="51" t="s">
        <v>1250</v>
      </c>
      <c r="C14" s="22"/>
      <c r="D14" s="9"/>
      <c r="E14" s="31"/>
      <c r="F14" s="1330"/>
      <c r="G14" s="1362"/>
    </row>
    <row r="15" spans="1:256" s="655" customFormat="1">
      <c r="A15" s="14">
        <v>1.1000000000000001</v>
      </c>
      <c r="B15" s="28" t="s">
        <v>577</v>
      </c>
      <c r="C15" s="803">
        <v>718</v>
      </c>
      <c r="D15" s="9" t="s">
        <v>1</v>
      </c>
      <c r="E15" s="803">
        <v>45</v>
      </c>
      <c r="F15" s="1330">
        <f t="shared" ref="F15:F31" si="0">+ROUND(C15*E15,2)</f>
        <v>32310</v>
      </c>
      <c r="G15" s="1362"/>
    </row>
    <row r="16" spans="1:256" s="655" customFormat="1">
      <c r="A16" s="14"/>
      <c r="B16" s="51"/>
      <c r="C16" s="803"/>
      <c r="D16" s="9"/>
      <c r="E16" s="803"/>
      <c r="F16" s="1330">
        <f t="shared" si="0"/>
        <v>0</v>
      </c>
      <c r="G16" s="1362"/>
    </row>
    <row r="17" spans="1:9" s="655" customFormat="1">
      <c r="A17" s="16">
        <v>2</v>
      </c>
      <c r="B17" s="711" t="s">
        <v>14</v>
      </c>
      <c r="C17" s="804"/>
      <c r="D17" s="10"/>
      <c r="E17" s="1039"/>
      <c r="F17" s="1330">
        <f t="shared" si="0"/>
        <v>0</v>
      </c>
      <c r="G17" s="1362"/>
    </row>
    <row r="18" spans="1:9" s="655" customFormat="1">
      <c r="A18" s="1204" t="s">
        <v>1182</v>
      </c>
      <c r="B18" s="1205" t="s">
        <v>1179</v>
      </c>
      <c r="C18" s="805">
        <f>0.7*'MT-A'!F26</f>
        <v>53.61</v>
      </c>
      <c r="D18" s="1206" t="s">
        <v>2</v>
      </c>
      <c r="E18" s="1207">
        <v>154.53</v>
      </c>
      <c r="F18" s="1331">
        <f t="shared" si="0"/>
        <v>8284.35</v>
      </c>
      <c r="G18" s="1362"/>
      <c r="H18" s="1363"/>
      <c r="I18" s="1364"/>
    </row>
    <row r="19" spans="1:9" s="655" customFormat="1" ht="25.5">
      <c r="A19" s="1204" t="s">
        <v>1183</v>
      </c>
      <c r="B19" s="1205" t="s">
        <v>1180</v>
      </c>
      <c r="C19" s="805">
        <f>0.3*'MT-A'!F26</f>
        <v>22.98</v>
      </c>
      <c r="D19" s="1206" t="s">
        <v>2</v>
      </c>
      <c r="E19" s="1207">
        <v>1125.8</v>
      </c>
      <c r="F19" s="1331">
        <f t="shared" si="0"/>
        <v>25870.880000000001</v>
      </c>
      <c r="G19" s="1362"/>
      <c r="H19" s="1363"/>
      <c r="I19" s="1364"/>
    </row>
    <row r="20" spans="1:9" s="655" customFormat="1">
      <c r="A20" s="1204">
        <v>2.2000000000000002</v>
      </c>
      <c r="B20" s="1205" t="s">
        <v>1181</v>
      </c>
      <c r="C20" s="805">
        <f>+C15*0.85</f>
        <v>610.29999999999995</v>
      </c>
      <c r="D20" s="1206" t="s">
        <v>11</v>
      </c>
      <c r="E20" s="1207">
        <v>28.5</v>
      </c>
      <c r="F20" s="1331">
        <f t="shared" si="0"/>
        <v>17393.55</v>
      </c>
      <c r="G20" s="1362"/>
      <c r="H20" s="1363"/>
      <c r="I20" s="1364"/>
    </row>
    <row r="21" spans="1:9" s="655" customFormat="1">
      <c r="A21" s="715">
        <v>2.2999999999999998</v>
      </c>
      <c r="B21" s="716" t="s">
        <v>4</v>
      </c>
      <c r="C21" s="805">
        <f>+'MT-A'!I26</f>
        <v>5.87</v>
      </c>
      <c r="D21" s="713" t="s">
        <v>2</v>
      </c>
      <c r="E21" s="1207">
        <v>1108.8900000000001</v>
      </c>
      <c r="F21" s="1332">
        <f t="shared" si="0"/>
        <v>6509.18</v>
      </c>
      <c r="G21" s="1362"/>
    </row>
    <row r="22" spans="1:9" s="655" customFormat="1" ht="27.75" customHeight="1">
      <c r="A22" s="715">
        <v>2.4</v>
      </c>
      <c r="B22" s="747" t="s">
        <v>1185</v>
      </c>
      <c r="C22" s="805">
        <f>+C19*1.25</f>
        <v>28.73</v>
      </c>
      <c r="D22" s="713" t="s">
        <v>2</v>
      </c>
      <c r="E22" s="1207">
        <v>668.95</v>
      </c>
      <c r="F22" s="1332">
        <f t="shared" si="0"/>
        <v>19218.93</v>
      </c>
      <c r="G22" s="1362"/>
    </row>
    <row r="23" spans="1:9" s="655" customFormat="1" ht="25.5">
      <c r="A23" s="12">
        <v>2.5</v>
      </c>
      <c r="B23" s="1205" t="s">
        <v>1184</v>
      </c>
      <c r="C23" s="805">
        <f>+'MT-A'!I28</f>
        <v>62.4</v>
      </c>
      <c r="D23" s="713" t="s">
        <v>2</v>
      </c>
      <c r="E23" s="1207">
        <v>183.5</v>
      </c>
      <c r="F23" s="1332">
        <f t="shared" si="0"/>
        <v>11450.4</v>
      </c>
      <c r="G23" s="1362"/>
    </row>
    <row r="24" spans="1:9" s="655" customFormat="1">
      <c r="A24" s="715">
        <v>2.6</v>
      </c>
      <c r="B24" s="716" t="s">
        <v>35</v>
      </c>
      <c r="C24" s="805">
        <f>+C19*1.4+C21*1.25+'MT-A'!I30</f>
        <v>57.25</v>
      </c>
      <c r="D24" s="713" t="s">
        <v>2</v>
      </c>
      <c r="E24" s="1207">
        <v>165</v>
      </c>
      <c r="F24" s="1332">
        <f t="shared" si="0"/>
        <v>9446.25</v>
      </c>
      <c r="G24" s="1362"/>
    </row>
    <row r="25" spans="1:9" s="655" customFormat="1">
      <c r="A25" s="12"/>
      <c r="B25" s="28"/>
      <c r="C25" s="803"/>
      <c r="D25" s="9"/>
      <c r="E25" s="803"/>
      <c r="F25" s="1332">
        <f t="shared" si="0"/>
        <v>0</v>
      </c>
      <c r="G25" s="1362"/>
    </row>
    <row r="26" spans="1:9" s="655" customFormat="1">
      <c r="A26" s="718">
        <v>3</v>
      </c>
      <c r="B26" s="711" t="s">
        <v>25</v>
      </c>
      <c r="C26" s="804"/>
      <c r="D26" s="10"/>
      <c r="E26" s="1039"/>
      <c r="F26" s="1332">
        <f t="shared" si="0"/>
        <v>0</v>
      </c>
      <c r="G26" s="1362"/>
    </row>
    <row r="27" spans="1:9" s="1365" customFormat="1" ht="25.5">
      <c r="A27" s="14">
        <v>3.1</v>
      </c>
      <c r="B27" s="853" t="s">
        <v>981</v>
      </c>
      <c r="C27" s="803">
        <f>+C15*1.04</f>
        <v>746.72</v>
      </c>
      <c r="D27" s="9" t="s">
        <v>1</v>
      </c>
      <c r="E27" s="1062">
        <v>5605</v>
      </c>
      <c r="F27" s="1332">
        <f t="shared" si="0"/>
        <v>4185365.6</v>
      </c>
      <c r="G27" s="1221"/>
    </row>
    <row r="28" spans="1:9" s="655" customFormat="1">
      <c r="A28" s="719"/>
      <c r="B28" s="51"/>
      <c r="C28" s="803"/>
      <c r="D28" s="9"/>
      <c r="E28" s="803"/>
      <c r="F28" s="1332">
        <f t="shared" si="0"/>
        <v>0</v>
      </c>
      <c r="G28" s="1362"/>
    </row>
    <row r="29" spans="1:9" s="655" customFormat="1">
      <c r="A29" s="720">
        <v>4</v>
      </c>
      <c r="B29" s="51" t="s">
        <v>26</v>
      </c>
      <c r="C29" s="803"/>
      <c r="D29" s="9"/>
      <c r="E29" s="803"/>
      <c r="F29" s="1332">
        <f t="shared" si="0"/>
        <v>0</v>
      </c>
      <c r="G29" s="1362"/>
    </row>
    <row r="30" spans="1:9" s="1365" customFormat="1" ht="25.5">
      <c r="A30" s="14">
        <v>4.0999999999999996</v>
      </c>
      <c r="B30" s="853" t="s">
        <v>981</v>
      </c>
      <c r="C30" s="803">
        <f>+C27</f>
        <v>746.72</v>
      </c>
      <c r="D30" s="9" t="s">
        <v>1</v>
      </c>
      <c r="E30" s="1062">
        <v>481.64</v>
      </c>
      <c r="F30" s="1332">
        <f t="shared" si="0"/>
        <v>359650.22</v>
      </c>
      <c r="G30" s="1221"/>
    </row>
    <row r="31" spans="1:9" s="655" customFormat="1" ht="15" customHeight="1">
      <c r="A31" s="17"/>
      <c r="B31" s="28"/>
      <c r="C31" s="806"/>
      <c r="D31" s="15"/>
      <c r="E31" s="1047"/>
      <c r="F31" s="1332">
        <f t="shared" si="0"/>
        <v>0</v>
      </c>
      <c r="G31" s="1362"/>
    </row>
    <row r="32" spans="1:9" s="1365" customFormat="1" ht="30" customHeight="1">
      <c r="A32" s="1239">
        <v>5</v>
      </c>
      <c r="B32" s="1240" t="s">
        <v>980</v>
      </c>
      <c r="C32" s="1040"/>
      <c r="D32" s="1220"/>
      <c r="E32" s="1040"/>
      <c r="F32" s="1333"/>
      <c r="G32" s="1221"/>
    </row>
    <row r="33" spans="1:7" s="1365" customFormat="1" ht="25.5" customHeight="1">
      <c r="A33" s="1218">
        <v>5.0999999999999996</v>
      </c>
      <c r="B33" s="1219" t="s">
        <v>1189</v>
      </c>
      <c r="C33" s="1040">
        <v>1</v>
      </c>
      <c r="D33" s="1220" t="s">
        <v>3</v>
      </c>
      <c r="E33" s="1221">
        <v>135474.66</v>
      </c>
      <c r="F33" s="1331">
        <f>ROUND(C33*E33,2)</f>
        <v>135474.66</v>
      </c>
      <c r="G33" s="1221"/>
    </row>
    <row r="34" spans="1:7" s="655" customFormat="1" ht="25.5" customHeight="1">
      <c r="A34" s="1222">
        <v>5.2</v>
      </c>
      <c r="B34" s="1217" t="s">
        <v>1190</v>
      </c>
      <c r="C34" s="1216">
        <v>3</v>
      </c>
      <c r="D34" s="1223" t="s">
        <v>3</v>
      </c>
      <c r="E34" s="1224">
        <v>11305.07</v>
      </c>
      <c r="F34" s="1334">
        <f>ROUND(C34*E34,2)</f>
        <v>33915.21</v>
      </c>
      <c r="G34" s="1362"/>
    </row>
    <row r="35" spans="1:7" s="655" customFormat="1" ht="25.5" customHeight="1">
      <c r="A35" s="1222">
        <v>5.3</v>
      </c>
      <c r="B35" s="1217" t="s">
        <v>1191</v>
      </c>
      <c r="C35" s="1216">
        <v>2</v>
      </c>
      <c r="D35" s="1223" t="s">
        <v>3</v>
      </c>
      <c r="E35" s="1224">
        <v>14160.67</v>
      </c>
      <c r="F35" s="1334">
        <f>ROUND(C35*E35,2)</f>
        <v>28321.34</v>
      </c>
      <c r="G35" s="1362"/>
    </row>
    <row r="36" spans="1:7" s="655" customFormat="1" ht="25.5">
      <c r="A36" s="17">
        <v>5.4</v>
      </c>
      <c r="B36" s="28" t="s">
        <v>413</v>
      </c>
      <c r="C36" s="806">
        <v>6</v>
      </c>
      <c r="D36" s="15" t="s">
        <v>3</v>
      </c>
      <c r="E36" s="1047">
        <v>2500</v>
      </c>
      <c r="F36" s="1330">
        <f>+ROUND(C36*E36,2)</f>
        <v>15000</v>
      </c>
      <c r="G36" s="1362"/>
    </row>
    <row r="37" spans="1:7" s="655" customFormat="1" ht="12.75" customHeight="1">
      <c r="A37" s="743">
        <v>5.5</v>
      </c>
      <c r="B37" s="745" t="s">
        <v>487</v>
      </c>
      <c r="C37" s="1216">
        <v>6</v>
      </c>
      <c r="D37" s="727" t="s">
        <v>3</v>
      </c>
      <c r="E37" s="1216">
        <f>0.15*I37</f>
        <v>0</v>
      </c>
      <c r="F37" s="1335">
        <f>ROUND(C37*E37,2)</f>
        <v>0</v>
      </c>
      <c r="G37" s="1362"/>
    </row>
    <row r="38" spans="1:7" s="655" customFormat="1" ht="15" customHeight="1">
      <c r="A38" s="17"/>
      <c r="B38" s="28"/>
      <c r="C38" s="806"/>
      <c r="D38" s="1046"/>
      <c r="E38" s="1047"/>
      <c r="F38" s="1332"/>
      <c r="G38" s="1362"/>
    </row>
    <row r="39" spans="1:7" s="655" customFormat="1" ht="25.5">
      <c r="A39" s="25">
        <v>6</v>
      </c>
      <c r="B39" s="51" t="s">
        <v>1228</v>
      </c>
      <c r="C39" s="806"/>
      <c r="D39" s="1046"/>
      <c r="E39" s="1047"/>
      <c r="F39" s="1330"/>
      <c r="G39" s="1362"/>
    </row>
    <row r="40" spans="1:7" s="656" customFormat="1">
      <c r="A40" s="8"/>
      <c r="B40" s="40"/>
      <c r="C40" s="1236"/>
      <c r="D40" s="662"/>
      <c r="E40" s="40"/>
      <c r="F40" s="1336"/>
    </row>
    <row r="41" spans="1:7" s="1365" customFormat="1" ht="25.5">
      <c r="A41" s="14">
        <v>6.1</v>
      </c>
      <c r="B41" s="1053" t="s">
        <v>1193</v>
      </c>
      <c r="C41" s="1040">
        <f>1+108</f>
        <v>109</v>
      </c>
      <c r="D41" s="814" t="s">
        <v>3</v>
      </c>
      <c r="E41" s="1040">
        <f>+'ANALISIS General'!F566</f>
        <v>16415.560000000001</v>
      </c>
      <c r="F41" s="1337">
        <f>ROUND(C41*E41,2)</f>
        <v>1789296.04</v>
      </c>
      <c r="G41" s="1221"/>
    </row>
    <row r="42" spans="1:7" s="1365" customFormat="1" ht="15" customHeight="1">
      <c r="A42" s="14">
        <v>6.2</v>
      </c>
      <c r="B42" s="1201" t="s">
        <v>62</v>
      </c>
      <c r="C42" s="1237">
        <f>4*C41</f>
        <v>436</v>
      </c>
      <c r="D42" s="713" t="s">
        <v>47</v>
      </c>
      <c r="E42" s="1207">
        <v>397.75</v>
      </c>
      <c r="F42" s="1332">
        <f>+ROUND(C42*E42,2)</f>
        <v>173419</v>
      </c>
      <c r="G42" s="1221"/>
    </row>
    <row r="43" spans="1:7" s="655" customFormat="1" ht="9.75" customHeight="1">
      <c r="A43" s="17"/>
      <c r="B43" s="18"/>
      <c r="C43" s="804"/>
      <c r="D43" s="10"/>
      <c r="E43" s="1039"/>
      <c r="F43" s="1338"/>
      <c r="G43" s="1362"/>
    </row>
    <row r="44" spans="1:7" s="655" customFormat="1">
      <c r="A44" s="721">
        <v>7</v>
      </c>
      <c r="B44" s="722" t="s">
        <v>39</v>
      </c>
      <c r="C44" s="804"/>
      <c r="D44" s="10"/>
      <c r="E44" s="1039"/>
      <c r="F44" s="1330">
        <f>+ROUND(C44*E44,2)</f>
        <v>0</v>
      </c>
      <c r="G44" s="1362"/>
    </row>
    <row r="45" spans="1:7" s="655" customFormat="1">
      <c r="A45" s="1238">
        <v>7.1</v>
      </c>
      <c r="B45" s="1217" t="s">
        <v>1198</v>
      </c>
      <c r="C45" s="804">
        <v>2</v>
      </c>
      <c r="D45" s="1049" t="s">
        <v>3</v>
      </c>
      <c r="E45" s="1039">
        <v>38964.559999999998</v>
      </c>
      <c r="F45" s="1339">
        <f>+ROUND(C45*E45,2)</f>
        <v>77929.119999999995</v>
      </c>
      <c r="G45" s="1362"/>
    </row>
    <row r="46" spans="1:7" s="655" customFormat="1">
      <c r="A46" s="1238">
        <v>7.2</v>
      </c>
      <c r="B46" s="1217" t="s">
        <v>1197</v>
      </c>
      <c r="C46" s="804">
        <v>2</v>
      </c>
      <c r="D46" s="1049" t="s">
        <v>3</v>
      </c>
      <c r="E46" s="1039">
        <v>14652.98</v>
      </c>
      <c r="F46" s="1339">
        <f>+ROUND(C46*E46,2)</f>
        <v>29305.96</v>
      </c>
      <c r="G46" s="1362"/>
    </row>
    <row r="47" spans="1:7" s="655" customFormat="1">
      <c r="A47" s="1238">
        <v>7.3</v>
      </c>
      <c r="B47" s="1217" t="s">
        <v>983</v>
      </c>
      <c r="C47" s="804">
        <v>2</v>
      </c>
      <c r="D47" s="1049" t="s">
        <v>3</v>
      </c>
      <c r="E47" s="1039">
        <v>50772.81</v>
      </c>
      <c r="F47" s="1339">
        <f>+ROUND(C47*E47,2)</f>
        <v>101545.62</v>
      </c>
      <c r="G47" s="1362"/>
    </row>
    <row r="48" spans="1:7" s="655" customFormat="1" ht="14.25" customHeight="1">
      <c r="A48" s="1303">
        <v>7.4</v>
      </c>
      <c r="B48" s="1304" t="s">
        <v>414</v>
      </c>
      <c r="C48" s="804">
        <v>2</v>
      </c>
      <c r="D48" s="1049" t="s">
        <v>3</v>
      </c>
      <c r="E48" s="1039">
        <v>3500</v>
      </c>
      <c r="F48" s="1339">
        <f>+ROUND(C48*E48,2)</f>
        <v>7000</v>
      </c>
      <c r="G48" s="1362"/>
    </row>
    <row r="49" spans="1:10" s="655" customFormat="1" ht="14.25" customHeight="1">
      <c r="A49" s="1303"/>
      <c r="B49" s="1304"/>
      <c r="C49" s="804"/>
      <c r="D49" s="1049"/>
      <c r="E49" s="1039"/>
      <c r="F49" s="1339"/>
      <c r="G49" s="1362"/>
    </row>
    <row r="50" spans="1:10" s="655" customFormat="1" ht="10.5" customHeight="1">
      <c r="A50" s="17"/>
      <c r="B50" s="28"/>
      <c r="C50" s="806"/>
      <c r="D50" s="15"/>
      <c r="E50" s="1047"/>
      <c r="F50" s="1330"/>
      <c r="G50" s="1362"/>
    </row>
    <row r="51" spans="1:10" s="655" customFormat="1">
      <c r="A51" s="721">
        <v>8</v>
      </c>
      <c r="B51" s="722" t="s">
        <v>59</v>
      </c>
      <c r="C51" s="855"/>
      <c r="D51" s="730"/>
      <c r="E51" s="1051"/>
      <c r="F51" s="1330">
        <f>+ROUND(C51*E51,2)</f>
        <v>0</v>
      </c>
      <c r="G51" s="1362"/>
    </row>
    <row r="52" spans="1:10" s="1365" customFormat="1" ht="25.5">
      <c r="A52" s="1054">
        <v>8.1</v>
      </c>
      <c r="B52" s="853" t="s">
        <v>981</v>
      </c>
      <c r="C52" s="1055">
        <f>+C15</f>
        <v>718</v>
      </c>
      <c r="D52" s="713" t="s">
        <v>1</v>
      </c>
      <c r="E52" s="1056">
        <v>53.28</v>
      </c>
      <c r="F52" s="1332">
        <f>+ROUND(C52*E52,2)</f>
        <v>38255.040000000001</v>
      </c>
      <c r="G52" s="1221"/>
    </row>
    <row r="53" spans="1:10" s="1365" customFormat="1" ht="11.25" customHeight="1">
      <c r="A53" s="1057"/>
      <c r="B53" s="1052"/>
      <c r="C53" s="1055"/>
      <c r="D53" s="713"/>
      <c r="E53" s="1056"/>
      <c r="F53" s="1332">
        <f>+ROUND(C53*E53,2)</f>
        <v>0</v>
      </c>
      <c r="G53" s="1221"/>
    </row>
    <row r="54" spans="1:10" s="1365" customFormat="1" ht="38.25">
      <c r="A54" s="1058">
        <v>9</v>
      </c>
      <c r="B54" s="1053" t="s">
        <v>520</v>
      </c>
      <c r="C54" s="1059">
        <f>+C15</f>
        <v>718</v>
      </c>
      <c r="D54" s="814" t="s">
        <v>1</v>
      </c>
      <c r="E54" s="1059">
        <v>23.11</v>
      </c>
      <c r="F54" s="1340">
        <f>ROUND(C54*E54,2)</f>
        <v>16592.98</v>
      </c>
      <c r="G54" s="1221"/>
      <c r="J54" s="1366"/>
    </row>
    <row r="55" spans="1:10" s="1365" customFormat="1" ht="12.75" customHeight="1">
      <c r="A55" s="1060"/>
      <c r="B55" s="1052"/>
      <c r="C55" s="1061"/>
      <c r="D55" s="814"/>
      <c r="E55" s="1061"/>
      <c r="F55" s="1340"/>
      <c r="G55" s="1221"/>
    </row>
    <row r="56" spans="1:10" s="1365" customFormat="1" ht="12.75" customHeight="1">
      <c r="A56" s="1060">
        <v>10</v>
      </c>
      <c r="B56" s="1052" t="s">
        <v>462</v>
      </c>
      <c r="C56" s="1061">
        <f>+C54</f>
        <v>718</v>
      </c>
      <c r="D56" s="814" t="s">
        <v>1</v>
      </c>
      <c r="E56" s="1061">
        <v>15</v>
      </c>
      <c r="F56" s="1340">
        <f>ROUND(C56*E56,2)</f>
        <v>10770</v>
      </c>
      <c r="G56" s="1221"/>
      <c r="J56" s="1366"/>
    </row>
    <row r="57" spans="1:10" s="655" customFormat="1" ht="16.5" customHeight="1">
      <c r="A57" s="663"/>
      <c r="B57" s="693" t="s">
        <v>456</v>
      </c>
      <c r="C57" s="665"/>
      <c r="D57" s="666"/>
      <c r="E57" s="665"/>
      <c r="F57" s="1341">
        <f>SUM(F12:F56)</f>
        <v>7132324.3300000001</v>
      </c>
      <c r="G57" s="1362"/>
    </row>
    <row r="58" spans="1:10" s="655" customFormat="1" ht="12.75" customHeight="1">
      <c r="A58" s="856"/>
      <c r="B58" s="857"/>
      <c r="C58" s="858"/>
      <c r="D58" s="859"/>
      <c r="E58" s="858"/>
      <c r="F58" s="1342"/>
      <c r="G58" s="1362"/>
    </row>
    <row r="59" spans="1:10" s="50" customFormat="1" ht="25.5" customHeight="1">
      <c r="A59" s="857" t="s">
        <v>9</v>
      </c>
      <c r="B59" s="860" t="s">
        <v>1178</v>
      </c>
      <c r="C59" s="861"/>
      <c r="D59" s="862"/>
      <c r="E59" s="863"/>
      <c r="F59" s="1343"/>
      <c r="G59" s="328"/>
      <c r="H59" s="328"/>
      <c r="I59" s="328"/>
      <c r="J59" s="328"/>
    </row>
    <row r="60" spans="1:10" s="50" customFormat="1" ht="12.75" customHeight="1">
      <c r="A60" s="857"/>
      <c r="B60" s="860"/>
      <c r="C60" s="861"/>
      <c r="D60" s="862"/>
      <c r="E60" s="863"/>
      <c r="F60" s="1343"/>
      <c r="G60" s="328"/>
      <c r="H60" s="328"/>
      <c r="I60" s="328"/>
      <c r="J60" s="328"/>
    </row>
    <row r="61" spans="1:10" s="50" customFormat="1" ht="15" customHeight="1">
      <c r="A61" s="864" t="s">
        <v>482</v>
      </c>
      <c r="B61" s="860" t="s">
        <v>576</v>
      </c>
      <c r="C61" s="865"/>
      <c r="D61" s="866"/>
      <c r="E61" s="867"/>
      <c r="F61" s="1344">
        <f>+C61*E61</f>
        <v>0</v>
      </c>
      <c r="G61" s="251"/>
      <c r="H61" s="251"/>
      <c r="I61" s="251"/>
      <c r="J61" s="251"/>
    </row>
    <row r="62" spans="1:10" s="50" customFormat="1" ht="12.75" customHeight="1">
      <c r="A62" s="868"/>
      <c r="B62" s="864"/>
      <c r="C62" s="865"/>
      <c r="D62" s="866"/>
      <c r="E62" s="867"/>
      <c r="F62" s="1344"/>
      <c r="G62" s="251"/>
      <c r="H62" s="251"/>
      <c r="I62" s="251"/>
      <c r="J62" s="251"/>
    </row>
    <row r="63" spans="1:10" s="50" customFormat="1" ht="12.75" customHeight="1">
      <c r="A63" s="868">
        <v>1</v>
      </c>
      <c r="B63" s="869" t="s">
        <v>577</v>
      </c>
      <c r="C63" s="865">
        <v>9</v>
      </c>
      <c r="D63" s="866" t="s">
        <v>578</v>
      </c>
      <c r="E63" s="867">
        <v>35000</v>
      </c>
      <c r="F63" s="1345">
        <f t="shared" ref="F63:F150" si="1">+ROUND((E63*C63),2)</f>
        <v>315000</v>
      </c>
      <c r="G63" s="251"/>
      <c r="H63" s="251"/>
      <c r="I63" s="251"/>
      <c r="J63" s="251"/>
    </row>
    <row r="64" spans="1:10" s="50" customFormat="1" ht="12.75" customHeight="1">
      <c r="A64" s="868"/>
      <c r="B64" s="869"/>
      <c r="C64" s="865"/>
      <c r="D64" s="866"/>
      <c r="E64" s="867"/>
      <c r="F64" s="1345">
        <f t="shared" si="1"/>
        <v>0</v>
      </c>
      <c r="G64" s="251"/>
      <c r="H64" s="251"/>
      <c r="I64" s="251"/>
      <c r="J64" s="251"/>
    </row>
    <row r="65" spans="1:10" s="50" customFormat="1" ht="12.75" customHeight="1">
      <c r="A65" s="1405">
        <v>2</v>
      </c>
      <c r="B65" s="870" t="s">
        <v>579</v>
      </c>
      <c r="C65" s="871"/>
      <c r="D65" s="872"/>
      <c r="E65" s="873"/>
      <c r="F65" s="1345">
        <f t="shared" si="1"/>
        <v>0</v>
      </c>
      <c r="G65" s="840"/>
      <c r="H65" s="840"/>
      <c r="I65" s="840"/>
      <c r="J65" s="840"/>
    </row>
    <row r="66" spans="1:10" s="50" customFormat="1" ht="26.25" customHeight="1">
      <c r="A66" s="874">
        <f>A65+0.1</f>
        <v>2.1</v>
      </c>
      <c r="B66" s="875" t="s">
        <v>580</v>
      </c>
      <c r="C66" s="876">
        <v>3434.3</v>
      </c>
      <c r="D66" s="877" t="s">
        <v>2</v>
      </c>
      <c r="E66" s="878">
        <v>58.92</v>
      </c>
      <c r="F66" s="1345">
        <f t="shared" si="1"/>
        <v>202348.96</v>
      </c>
      <c r="G66" s="840"/>
      <c r="H66" s="840"/>
      <c r="I66" s="840"/>
      <c r="J66" s="840"/>
    </row>
    <row r="67" spans="1:10" s="50" customFormat="1" ht="12.75" customHeight="1">
      <c r="A67" s="874">
        <f>A66+0.1</f>
        <v>2.2000000000000002</v>
      </c>
      <c r="B67" s="879" t="s">
        <v>581</v>
      </c>
      <c r="C67" s="876">
        <v>1467.08</v>
      </c>
      <c r="D67" s="877" t="s">
        <v>2</v>
      </c>
      <c r="E67" s="878">
        <v>134.19</v>
      </c>
      <c r="F67" s="1345">
        <f t="shared" si="1"/>
        <v>196867.47</v>
      </c>
      <c r="G67" s="840"/>
      <c r="H67" s="840"/>
      <c r="I67" s="840"/>
      <c r="J67" s="840"/>
    </row>
    <row r="68" spans="1:10" s="657" customFormat="1" ht="12.75" customHeight="1">
      <c r="A68" s="874">
        <f>A67+0.1</f>
        <v>2.2999999999999998</v>
      </c>
      <c r="B68" s="880" t="s">
        <v>550</v>
      </c>
      <c r="C68" s="876">
        <v>2484</v>
      </c>
      <c r="D68" s="877" t="s">
        <v>2</v>
      </c>
      <c r="E68" s="878">
        <v>126.55</v>
      </c>
      <c r="F68" s="1345">
        <f t="shared" si="1"/>
        <v>314350.2</v>
      </c>
      <c r="G68" s="840"/>
      <c r="H68" s="840"/>
      <c r="I68" s="840"/>
      <c r="J68" s="840"/>
    </row>
    <row r="69" spans="1:10" s="656" customFormat="1" ht="12.75" customHeight="1">
      <c r="A69" s="874">
        <f>A68+0.1</f>
        <v>2.4</v>
      </c>
      <c r="B69" s="869" t="s">
        <v>551</v>
      </c>
      <c r="C69" s="876">
        <v>2900.86</v>
      </c>
      <c r="D69" s="877" t="s">
        <v>2</v>
      </c>
      <c r="E69" s="878">
        <v>150</v>
      </c>
      <c r="F69" s="1345">
        <f t="shared" si="1"/>
        <v>435129</v>
      </c>
      <c r="G69" s="840"/>
      <c r="H69" s="840"/>
      <c r="I69" s="840"/>
      <c r="J69" s="840"/>
    </row>
    <row r="70" spans="1:10" s="656" customFormat="1" ht="12.75" customHeight="1">
      <c r="A70" s="874"/>
      <c r="B70" s="875"/>
      <c r="C70" s="876"/>
      <c r="D70" s="877"/>
      <c r="E70" s="878"/>
      <c r="F70" s="1345">
        <f t="shared" si="1"/>
        <v>0</v>
      </c>
      <c r="G70" s="840"/>
      <c r="H70" s="840"/>
      <c r="I70" s="840"/>
      <c r="J70" s="840"/>
    </row>
    <row r="71" spans="1:10" s="656" customFormat="1" ht="12.75" customHeight="1">
      <c r="A71" s="874">
        <v>3</v>
      </c>
      <c r="B71" s="875" t="s">
        <v>1514</v>
      </c>
      <c r="C71" s="876"/>
      <c r="D71" s="877"/>
      <c r="E71" s="878"/>
      <c r="F71" s="1345"/>
      <c r="G71" s="840"/>
      <c r="H71" s="840"/>
      <c r="I71" s="840"/>
      <c r="J71" s="840"/>
    </row>
    <row r="72" spans="1:10" s="656" customFormat="1" ht="12.75" customHeight="1">
      <c r="A72" s="874"/>
      <c r="B72" s="882" t="s">
        <v>1515</v>
      </c>
      <c r="C72" s="876"/>
      <c r="D72" s="877"/>
      <c r="E72" s="878"/>
      <c r="F72" s="1345"/>
      <c r="G72" s="840"/>
      <c r="H72" s="840"/>
      <c r="I72" s="840"/>
      <c r="J72" s="840"/>
    </row>
    <row r="73" spans="1:10" s="656" customFormat="1" ht="12.75" customHeight="1">
      <c r="A73" s="874" t="s">
        <v>488</v>
      </c>
      <c r="B73" s="1388" t="s">
        <v>1534</v>
      </c>
      <c r="C73" s="1588">
        <v>2.2999999999999998</v>
      </c>
      <c r="D73" s="866" t="s">
        <v>2</v>
      </c>
      <c r="E73" s="867">
        <f>+'ANALISIS PTAP'!F101</f>
        <v>7195.11</v>
      </c>
      <c r="F73" s="1345">
        <f t="shared" ref="F73:F94" si="2">+ROUND((E73*C73),2)</f>
        <v>16548.75</v>
      </c>
      <c r="G73" s="840"/>
      <c r="H73" s="840"/>
      <c r="I73" s="840"/>
      <c r="J73" s="840"/>
    </row>
    <row r="74" spans="1:10" s="656" customFormat="1" ht="25.5">
      <c r="A74" s="874"/>
      <c r="B74" s="1589" t="s">
        <v>1532</v>
      </c>
      <c r="C74" s="1588">
        <f>3.69+0.49</f>
        <v>4.18</v>
      </c>
      <c r="D74" s="866" t="s">
        <v>2</v>
      </c>
      <c r="E74" s="867">
        <f>+'ANALISIS PTAP'!F233</f>
        <v>14.85</v>
      </c>
      <c r="F74" s="1345">
        <f t="shared" si="2"/>
        <v>62.07</v>
      </c>
      <c r="G74" s="840"/>
      <c r="H74" s="840"/>
      <c r="I74" s="840"/>
      <c r="J74" s="840"/>
    </row>
    <row r="75" spans="1:10" s="656" customFormat="1" ht="12.75" customHeight="1">
      <c r="A75" s="868" t="s">
        <v>489</v>
      </c>
      <c r="B75" s="1389" t="s">
        <v>1522</v>
      </c>
      <c r="C75" s="1588">
        <v>224.41</v>
      </c>
      <c r="D75" s="866" t="s">
        <v>2</v>
      </c>
      <c r="E75" s="867">
        <f>+'ANALISIS PTAP'!F234</f>
        <v>10</v>
      </c>
      <c r="F75" s="1345">
        <f t="shared" si="2"/>
        <v>2244.1</v>
      </c>
      <c r="G75" s="251"/>
      <c r="H75" s="251"/>
      <c r="I75" s="251"/>
      <c r="J75" s="251"/>
    </row>
    <row r="76" spans="1:10" s="656" customFormat="1" ht="12.75" customHeight="1">
      <c r="A76" s="874" t="s">
        <v>490</v>
      </c>
      <c r="B76" s="1389" t="s">
        <v>1523</v>
      </c>
      <c r="C76" s="1588">
        <v>1.79</v>
      </c>
      <c r="D76" s="866" t="s">
        <v>2</v>
      </c>
      <c r="E76" s="867">
        <f>+'ANALISIS PTAP'!F235</f>
        <v>10</v>
      </c>
      <c r="F76" s="1345">
        <f t="shared" si="2"/>
        <v>17.899999999999999</v>
      </c>
      <c r="G76" s="251"/>
      <c r="H76" s="251"/>
      <c r="I76" s="251"/>
      <c r="J76" s="251"/>
    </row>
    <row r="77" spans="1:10" s="656" customFormat="1" ht="12.75" customHeight="1">
      <c r="A77" s="868" t="s">
        <v>1516</v>
      </c>
      <c r="B77" s="1389" t="s">
        <v>1524</v>
      </c>
      <c r="C77" s="1588">
        <v>15.46</v>
      </c>
      <c r="D77" s="866" t="s">
        <v>2</v>
      </c>
      <c r="E77" s="867">
        <f>+'ANALISIS PTAP'!F236</f>
        <v>120</v>
      </c>
      <c r="F77" s="1345">
        <f t="shared" si="2"/>
        <v>1855.2</v>
      </c>
      <c r="G77" s="251"/>
      <c r="H77" s="251"/>
      <c r="I77" s="251"/>
      <c r="J77" s="251"/>
    </row>
    <row r="78" spans="1:10" s="656" customFormat="1" ht="12.75" customHeight="1">
      <c r="A78" s="874" t="s">
        <v>1517</v>
      </c>
      <c r="B78" s="1388" t="s">
        <v>1525</v>
      </c>
      <c r="C78" s="1588">
        <f>1.55+3.35</f>
        <v>4.9000000000000004</v>
      </c>
      <c r="D78" s="866" t="s">
        <v>2</v>
      </c>
      <c r="E78" s="867">
        <f>+'ANALISIS PTAP'!F250</f>
        <v>10</v>
      </c>
      <c r="F78" s="1345">
        <f t="shared" si="2"/>
        <v>49</v>
      </c>
      <c r="G78" s="840">
        <f>4.82/3.35</f>
        <v>1.44</v>
      </c>
      <c r="H78" s="840"/>
      <c r="I78" s="840"/>
      <c r="J78" s="840"/>
    </row>
    <row r="79" spans="1:10" s="656" customFormat="1" ht="12.75" customHeight="1">
      <c r="A79" s="868" t="s">
        <v>1518</v>
      </c>
      <c r="B79" s="1388" t="s">
        <v>1526</v>
      </c>
      <c r="C79" s="1588">
        <v>7.32</v>
      </c>
      <c r="D79" s="866" t="s">
        <v>2</v>
      </c>
      <c r="E79" s="867">
        <f>+'ANALISIS PTAP'!F251</f>
        <v>17.23</v>
      </c>
      <c r="F79" s="1345">
        <f t="shared" si="2"/>
        <v>126.12</v>
      </c>
      <c r="G79" s="840">
        <f>(18.98/1.05)/7.32*1.05</f>
        <v>2.59</v>
      </c>
      <c r="H79" s="840"/>
      <c r="I79" s="840"/>
      <c r="J79" s="840"/>
    </row>
    <row r="80" spans="1:10" s="656" customFormat="1" ht="12.75" customHeight="1">
      <c r="A80" s="874" t="s">
        <v>1519</v>
      </c>
      <c r="B80" s="1389" t="s">
        <v>1527</v>
      </c>
      <c r="C80" s="1588">
        <v>7.4</v>
      </c>
      <c r="D80" s="866" t="s">
        <v>2</v>
      </c>
      <c r="E80" s="867" t="e">
        <f>+'ANALISIS PTAP'!#REF!</f>
        <v>#REF!</v>
      </c>
      <c r="F80" s="1345" t="e">
        <f t="shared" si="2"/>
        <v>#REF!</v>
      </c>
      <c r="G80" s="251">
        <f>31.39/7.4</f>
        <v>4.24189189189189</v>
      </c>
      <c r="H80" s="251"/>
      <c r="I80" s="251"/>
      <c r="J80" s="251"/>
    </row>
    <row r="81" spans="1:10" s="656" customFormat="1" ht="12.75" customHeight="1">
      <c r="A81" s="874" t="s">
        <v>1519</v>
      </c>
      <c r="B81" s="1389" t="s">
        <v>1528</v>
      </c>
      <c r="C81" s="1588">
        <v>2.93</v>
      </c>
      <c r="D81" s="866" t="s">
        <v>2</v>
      </c>
      <c r="E81" s="867">
        <f>+'ANALISIS PTAP'!F248</f>
        <v>146.99</v>
      </c>
      <c r="F81" s="1345">
        <f t="shared" si="2"/>
        <v>430.68</v>
      </c>
      <c r="G81" s="251">
        <f>6.19/2.93</f>
        <v>2.1126279863481199</v>
      </c>
      <c r="H81" s="251"/>
      <c r="I81" s="251"/>
      <c r="J81" s="251"/>
    </row>
    <row r="82" spans="1:10" s="656" customFormat="1" ht="12.75" customHeight="1">
      <c r="A82" s="868" t="s">
        <v>1520</v>
      </c>
      <c r="B82" s="1389" t="s">
        <v>1529</v>
      </c>
      <c r="C82" s="1588">
        <v>13.72</v>
      </c>
      <c r="D82" s="866" t="s">
        <v>2</v>
      </c>
      <c r="E82" s="867">
        <f>+'ANALISIS PTAP'!F248</f>
        <v>146.99</v>
      </c>
      <c r="F82" s="1345">
        <f t="shared" si="2"/>
        <v>2016.7</v>
      </c>
      <c r="G82" s="251">
        <f>17.44/13.72</f>
        <v>1.27113702623907</v>
      </c>
      <c r="H82" s="251"/>
      <c r="I82" s="251"/>
      <c r="J82" s="251"/>
    </row>
    <row r="83" spans="1:10" s="656" customFormat="1" ht="12.75" customHeight="1">
      <c r="A83" s="874" t="s">
        <v>1521</v>
      </c>
      <c r="B83" s="1388" t="s">
        <v>1530</v>
      </c>
      <c r="C83" s="1588">
        <f>0.62+0.62+1.68</f>
        <v>2.92</v>
      </c>
      <c r="D83" s="866" t="s">
        <v>2</v>
      </c>
      <c r="E83" s="867">
        <f>+'ANALISIS PTAP'!F251</f>
        <v>17.23</v>
      </c>
      <c r="F83" s="1345">
        <f t="shared" si="2"/>
        <v>50.31</v>
      </c>
      <c r="G83" s="251"/>
      <c r="H83" s="251"/>
      <c r="I83" s="251"/>
      <c r="J83" s="251"/>
    </row>
    <row r="84" spans="1:10" s="656" customFormat="1" ht="12.75" customHeight="1">
      <c r="A84" s="874" t="s">
        <v>1521</v>
      </c>
      <c r="B84" s="1388" t="s">
        <v>1531</v>
      </c>
      <c r="C84" s="1588">
        <v>0.04</v>
      </c>
      <c r="D84" s="866" t="s">
        <v>2</v>
      </c>
      <c r="E84" s="867">
        <f>+'ANALISIS PTAP'!F252</f>
        <v>137</v>
      </c>
      <c r="F84" s="1345">
        <f t="shared" si="2"/>
        <v>5.48</v>
      </c>
      <c r="G84" s="251">
        <f>10.96/4.473</f>
        <v>2.4502570981444198</v>
      </c>
      <c r="H84" s="251"/>
      <c r="I84" s="251"/>
      <c r="J84" s="251"/>
    </row>
    <row r="85" spans="1:10" s="656" customFormat="1" ht="12.75" customHeight="1">
      <c r="A85" s="874" t="s">
        <v>1521</v>
      </c>
      <c r="B85" s="1388" t="s">
        <v>1539</v>
      </c>
      <c r="C85" s="1588">
        <v>87.63</v>
      </c>
      <c r="D85" s="866" t="s">
        <v>2</v>
      </c>
      <c r="E85" s="867">
        <f>+'ANALISIS PTAP'!F252</f>
        <v>137</v>
      </c>
      <c r="F85" s="1345">
        <f t="shared" si="2"/>
        <v>12005.31</v>
      </c>
      <c r="G85" s="251">
        <f>120.03/87.63</f>
        <v>1.3697363916467</v>
      </c>
      <c r="H85" s="251"/>
      <c r="I85" s="251"/>
      <c r="J85" s="251"/>
    </row>
    <row r="86" spans="1:10" s="656" customFormat="1" ht="12.75" customHeight="1">
      <c r="A86" s="874" t="s">
        <v>1521</v>
      </c>
      <c r="B86" s="1388" t="s">
        <v>1533</v>
      </c>
      <c r="C86" s="1588">
        <v>4.47</v>
      </c>
      <c r="D86" s="866" t="s">
        <v>2</v>
      </c>
      <c r="E86" s="867">
        <f>+'ANALISIS PTAP'!F253</f>
        <v>312.7</v>
      </c>
      <c r="F86" s="1345">
        <f t="shared" si="2"/>
        <v>1397.77</v>
      </c>
      <c r="G86" s="251">
        <f>0.09/0.04</f>
        <v>2.25</v>
      </c>
      <c r="H86" s="251"/>
      <c r="I86" s="251"/>
      <c r="J86" s="251"/>
    </row>
    <row r="87" spans="1:10" s="656" customFormat="1" ht="12.75" customHeight="1">
      <c r="A87" s="874" t="s">
        <v>1521</v>
      </c>
      <c r="B87" s="1388" t="s">
        <v>1535</v>
      </c>
      <c r="C87" s="1588">
        <v>1.1299999999999999</v>
      </c>
      <c r="D87" s="866" t="s">
        <v>2</v>
      </c>
      <c r="E87" s="867">
        <f>+'ANALISIS PTAP'!F254</f>
        <v>295.47000000000003</v>
      </c>
      <c r="F87" s="1345">
        <f t="shared" si="2"/>
        <v>333.88</v>
      </c>
      <c r="G87" s="251">
        <f>10.08/1.13</f>
        <v>8.9203539823008899</v>
      </c>
      <c r="H87" s="251"/>
      <c r="I87" s="251"/>
      <c r="J87" s="251"/>
    </row>
    <row r="88" spans="1:10" s="656" customFormat="1" ht="12.75" customHeight="1">
      <c r="A88" s="874" t="s">
        <v>1521</v>
      </c>
      <c r="B88" s="1388" t="s">
        <v>1536</v>
      </c>
      <c r="C88" s="1588">
        <v>0.86</v>
      </c>
      <c r="D88" s="866" t="s">
        <v>2</v>
      </c>
      <c r="E88" s="867">
        <f>+'ANALISIS PTAP'!F255</f>
        <v>0</v>
      </c>
      <c r="F88" s="1345">
        <f t="shared" si="2"/>
        <v>0</v>
      </c>
      <c r="G88" s="251">
        <f>0.99/0.86</f>
        <v>1.15116279069767</v>
      </c>
      <c r="H88" s="251"/>
      <c r="I88" s="251"/>
      <c r="J88" s="251"/>
    </row>
    <row r="89" spans="1:10" s="656" customFormat="1" ht="12.75" customHeight="1">
      <c r="A89" s="874" t="s">
        <v>1521</v>
      </c>
      <c r="B89" s="1388" t="s">
        <v>1537</v>
      </c>
      <c r="C89" s="1588">
        <v>6.6</v>
      </c>
      <c r="D89" s="866" t="s">
        <v>2</v>
      </c>
      <c r="E89" s="867">
        <f>+'ANALISIS PTAP'!F256</f>
        <v>0</v>
      </c>
      <c r="F89" s="1345">
        <f t="shared" si="2"/>
        <v>0</v>
      </c>
      <c r="G89" s="251">
        <f>9.09/6.6</f>
        <v>1.3772727272727301</v>
      </c>
      <c r="H89" s="251"/>
      <c r="I89" s="251"/>
      <c r="J89" s="251"/>
    </row>
    <row r="90" spans="1:10" s="656" customFormat="1" ht="12.75" customHeight="1">
      <c r="A90" s="874" t="s">
        <v>1521</v>
      </c>
      <c r="B90" s="1388" t="s">
        <v>1538</v>
      </c>
      <c r="C90" s="1588">
        <v>0.75</v>
      </c>
      <c r="D90" s="866" t="s">
        <v>2</v>
      </c>
      <c r="E90" s="867">
        <f>+'ANALISIS PTAP'!F257</f>
        <v>146.99</v>
      </c>
      <c r="F90" s="1345">
        <f t="shared" si="2"/>
        <v>110.24</v>
      </c>
      <c r="G90" s="251">
        <f>1.2/0.75</f>
        <v>1.6</v>
      </c>
      <c r="H90" s="251"/>
      <c r="I90" s="251"/>
      <c r="J90" s="251"/>
    </row>
    <row r="91" spans="1:10" s="656" customFormat="1" ht="12.75" customHeight="1">
      <c r="A91" s="874" t="s">
        <v>1521</v>
      </c>
      <c r="B91" s="1388" t="s">
        <v>1540</v>
      </c>
      <c r="C91" s="1588">
        <v>0.54</v>
      </c>
      <c r="D91" s="866" t="s">
        <v>2</v>
      </c>
      <c r="E91" s="867">
        <f>+'ANALISIS PTAP'!F258</f>
        <v>1.49</v>
      </c>
      <c r="F91" s="1345">
        <f t="shared" si="2"/>
        <v>0.8</v>
      </c>
      <c r="G91" s="251">
        <f>0.47/0.54</f>
        <v>0.87037037037037002</v>
      </c>
      <c r="H91" s="251"/>
      <c r="I91" s="251"/>
      <c r="J91" s="251"/>
    </row>
    <row r="92" spans="1:10" s="656" customFormat="1" ht="12.75" customHeight="1">
      <c r="A92" s="874" t="s">
        <v>1521</v>
      </c>
      <c r="B92" s="1388" t="s">
        <v>1542</v>
      </c>
      <c r="C92" s="1588">
        <v>0.66</v>
      </c>
      <c r="D92" s="866" t="s">
        <v>2</v>
      </c>
      <c r="E92" s="867">
        <f>+'ANALISIS PTAP'!F259</f>
        <v>10</v>
      </c>
      <c r="F92" s="1345">
        <f t="shared" si="2"/>
        <v>6.6</v>
      </c>
      <c r="G92" s="251">
        <f>0.4/0.66</f>
        <v>0.60606060606060597</v>
      </c>
      <c r="H92" s="251"/>
      <c r="I92" s="251"/>
      <c r="J92" s="251"/>
    </row>
    <row r="93" spans="1:10" s="656" customFormat="1" ht="12.75" customHeight="1">
      <c r="A93" s="874" t="s">
        <v>1521</v>
      </c>
      <c r="B93" s="1388" t="s">
        <v>1541</v>
      </c>
      <c r="C93" s="1588">
        <v>7.16</v>
      </c>
      <c r="D93" s="866" t="s">
        <v>2</v>
      </c>
      <c r="E93" s="867">
        <f>+'ANALISIS PTAP'!F260</f>
        <v>173</v>
      </c>
      <c r="F93" s="1345">
        <f t="shared" si="2"/>
        <v>1238.68</v>
      </c>
      <c r="G93" s="251">
        <f>7.21/7.16</f>
        <v>1.00698324022346</v>
      </c>
      <c r="H93" s="251"/>
      <c r="I93" s="251"/>
      <c r="J93" s="251"/>
    </row>
    <row r="94" spans="1:10" s="656" customFormat="1" ht="12.75" customHeight="1">
      <c r="A94" s="874" t="s">
        <v>1521</v>
      </c>
      <c r="B94" s="1388" t="s">
        <v>1543</v>
      </c>
      <c r="C94" s="1588">
        <v>0.56999999999999995</v>
      </c>
      <c r="D94" s="866" t="s">
        <v>2</v>
      </c>
      <c r="E94" s="867">
        <f>+'ANALISIS PTAP'!F261</f>
        <v>331.47</v>
      </c>
      <c r="F94" s="1345">
        <f t="shared" si="2"/>
        <v>188.94</v>
      </c>
      <c r="G94" s="251">
        <f>1.08/0.57</f>
        <v>1.8947368421052599</v>
      </c>
      <c r="H94" s="251"/>
      <c r="I94" s="251"/>
      <c r="J94" s="251"/>
    </row>
    <row r="95" spans="1:10" s="656" customFormat="1" ht="12.75" customHeight="1">
      <c r="A95" s="874"/>
      <c r="B95" s="875"/>
      <c r="C95" s="876"/>
      <c r="D95" s="877"/>
      <c r="E95" s="878"/>
      <c r="F95" s="1345"/>
      <c r="G95" s="840"/>
      <c r="H95" s="840"/>
      <c r="I95" s="840"/>
      <c r="J95" s="840"/>
    </row>
    <row r="96" spans="1:10" s="656" customFormat="1" ht="12.75" customHeight="1">
      <c r="A96" s="881">
        <v>4.2</v>
      </c>
      <c r="B96" s="882" t="s">
        <v>600</v>
      </c>
      <c r="C96" s="865"/>
      <c r="D96" s="866"/>
      <c r="E96" s="867"/>
      <c r="F96" s="1345">
        <f>+ROUND((E96*C96),2)</f>
        <v>0</v>
      </c>
      <c r="G96" s="251"/>
      <c r="H96" s="251"/>
      <c r="I96" s="251"/>
      <c r="J96" s="251"/>
    </row>
    <row r="97" spans="1:10" s="656" customFormat="1" ht="12.75" customHeight="1">
      <c r="A97" s="868" t="s">
        <v>601</v>
      </c>
      <c r="B97" s="1389" t="s">
        <v>587</v>
      </c>
      <c r="C97" s="865">
        <v>2.72</v>
      </c>
      <c r="D97" s="866" t="s">
        <v>11</v>
      </c>
      <c r="E97" s="867">
        <f>+E62</f>
        <v>0</v>
      </c>
      <c r="F97" s="1345">
        <f>+ROUND((E97*C97),2)</f>
        <v>0</v>
      </c>
      <c r="G97" s="251"/>
      <c r="H97" s="251"/>
      <c r="I97" s="251"/>
      <c r="J97" s="251"/>
    </row>
    <row r="98" spans="1:10" s="659" customFormat="1" ht="12.75" customHeight="1">
      <c r="A98" s="868" t="s">
        <v>602</v>
      </c>
      <c r="B98" s="1389" t="s">
        <v>165</v>
      </c>
      <c r="C98" s="865">
        <v>10.38</v>
      </c>
      <c r="D98" s="866" t="s">
        <v>11</v>
      </c>
      <c r="E98" s="867">
        <f>+E63</f>
        <v>35000</v>
      </c>
      <c r="F98" s="1345">
        <f>+ROUND((E98*C98),2)</f>
        <v>363300</v>
      </c>
      <c r="G98" s="251"/>
      <c r="H98" s="251"/>
      <c r="I98" s="251"/>
      <c r="J98" s="251"/>
    </row>
    <row r="99" spans="1:10" s="659" customFormat="1" ht="12.75" customHeight="1">
      <c r="A99" s="868" t="s">
        <v>602</v>
      </c>
      <c r="B99" s="1389" t="s">
        <v>152</v>
      </c>
      <c r="C99" s="865">
        <f>13.49+1.33</f>
        <v>14.82</v>
      </c>
      <c r="D99" s="866" t="s">
        <v>11</v>
      </c>
      <c r="E99" s="867">
        <f>+E64</f>
        <v>0</v>
      </c>
      <c r="F99" s="1345">
        <f>+ROUND((E99*C99),2)</f>
        <v>0</v>
      </c>
      <c r="G99" s="251"/>
      <c r="H99" s="251"/>
      <c r="I99" s="251"/>
      <c r="J99" s="251"/>
    </row>
    <row r="100" spans="1:10" s="656" customFormat="1" ht="12.75" customHeight="1">
      <c r="A100" s="868" t="s">
        <v>603</v>
      </c>
      <c r="B100" s="1389" t="s">
        <v>177</v>
      </c>
      <c r="C100" s="865">
        <f>0.07+18.92</f>
        <v>18.989999999999998</v>
      </c>
      <c r="D100" s="866" t="s">
        <v>13</v>
      </c>
      <c r="E100" s="867">
        <f>+E65</f>
        <v>0</v>
      </c>
      <c r="F100" s="1345">
        <f>+ROUND((E100*C100),2)</f>
        <v>0</v>
      </c>
      <c r="G100" s="251"/>
      <c r="H100" s="251"/>
      <c r="I100" s="251"/>
      <c r="J100" s="251"/>
    </row>
    <row r="101" spans="1:10" s="656" customFormat="1" ht="12.75" customHeight="1">
      <c r="A101" s="874"/>
      <c r="B101" s="875"/>
      <c r="C101" s="876"/>
      <c r="D101" s="877"/>
      <c r="E101" s="878"/>
      <c r="F101" s="1345"/>
      <c r="G101" s="840"/>
      <c r="H101" s="840"/>
      <c r="I101" s="840"/>
      <c r="J101" s="840"/>
    </row>
    <row r="102" spans="1:10" s="656" customFormat="1" ht="12.75" customHeight="1">
      <c r="A102" s="868">
        <v>4.3</v>
      </c>
      <c r="B102" s="1389" t="s">
        <v>604</v>
      </c>
      <c r="C102" s="865">
        <v>0.4</v>
      </c>
      <c r="D102" s="866" t="s">
        <v>2</v>
      </c>
      <c r="E102" s="867">
        <f>+'ANALISIS PTAP'!F14</f>
        <v>1100</v>
      </c>
      <c r="F102" s="1345">
        <f>+ROUND((E102*C102),2)</f>
        <v>440</v>
      </c>
      <c r="G102" s="251"/>
      <c r="H102" s="251"/>
      <c r="I102" s="251"/>
      <c r="J102" s="251"/>
    </row>
    <row r="103" spans="1:10" s="656" customFormat="1" ht="12.75" customHeight="1">
      <c r="A103" s="874"/>
      <c r="B103" s="875"/>
      <c r="C103" s="876"/>
      <c r="D103" s="877"/>
      <c r="E103" s="878"/>
      <c r="F103" s="1345"/>
      <c r="G103" s="840"/>
      <c r="H103" s="840"/>
      <c r="I103" s="840"/>
      <c r="J103" s="840"/>
    </row>
    <row r="104" spans="1:10" s="656" customFormat="1" ht="10.5" customHeight="1">
      <c r="A104" s="1406">
        <v>3</v>
      </c>
      <c r="B104" s="882" t="s">
        <v>582</v>
      </c>
      <c r="C104" s="865"/>
      <c r="D104" s="866"/>
      <c r="E104" s="867"/>
      <c r="F104" s="1345">
        <f t="shared" si="1"/>
        <v>0</v>
      </c>
      <c r="G104" s="251"/>
      <c r="H104" s="251"/>
      <c r="I104" s="251"/>
      <c r="J104" s="251"/>
    </row>
    <row r="105" spans="1:10" s="49" customFormat="1" ht="12.75" customHeight="1">
      <c r="A105" s="868"/>
      <c r="B105" s="869"/>
      <c r="C105" s="865"/>
      <c r="D105" s="866"/>
      <c r="E105" s="867"/>
      <c r="F105" s="1345">
        <f t="shared" si="1"/>
        <v>0</v>
      </c>
      <c r="G105" s="251"/>
      <c r="H105" s="251"/>
      <c r="I105" s="251"/>
      <c r="J105" s="251"/>
    </row>
    <row r="106" spans="1:10" s="49" customFormat="1" ht="12.75" customHeight="1">
      <c r="A106" s="868">
        <v>3.3</v>
      </c>
      <c r="B106" s="869" t="s">
        <v>589</v>
      </c>
      <c r="C106" s="865">
        <v>1</v>
      </c>
      <c r="D106" s="866" t="s">
        <v>3</v>
      </c>
      <c r="E106" s="867">
        <v>2100</v>
      </c>
      <c r="F106" s="1345">
        <f t="shared" si="1"/>
        <v>2100</v>
      </c>
      <c r="G106" s="251"/>
      <c r="H106" s="251"/>
      <c r="I106" s="251"/>
      <c r="J106" s="251"/>
    </row>
    <row r="107" spans="1:10" s="49" customFormat="1" ht="12.75" customHeight="1">
      <c r="A107" s="868"/>
      <c r="B107" s="869"/>
      <c r="C107" s="865"/>
      <c r="D107" s="866"/>
      <c r="E107" s="867"/>
      <c r="F107" s="1345">
        <f t="shared" si="1"/>
        <v>0</v>
      </c>
      <c r="G107" s="251"/>
      <c r="H107" s="251"/>
      <c r="I107" s="251"/>
      <c r="J107" s="251"/>
    </row>
    <row r="108" spans="1:10" s="50" customFormat="1" ht="12.75" customHeight="1">
      <c r="A108" s="1406">
        <v>4</v>
      </c>
      <c r="B108" s="887" t="s">
        <v>590</v>
      </c>
      <c r="C108" s="865"/>
      <c r="D108" s="866"/>
      <c r="E108" s="867"/>
      <c r="F108" s="1345">
        <f t="shared" si="1"/>
        <v>0</v>
      </c>
      <c r="G108" s="251"/>
      <c r="H108" s="251"/>
      <c r="I108" s="251"/>
      <c r="J108" s="251"/>
    </row>
    <row r="109" spans="1:10" s="656" customFormat="1" ht="12.75" customHeight="1">
      <c r="A109" s="888">
        <v>4.0999999999999996</v>
      </c>
      <c r="B109" s="882" t="s">
        <v>591</v>
      </c>
      <c r="C109" s="865"/>
      <c r="D109" s="866"/>
      <c r="E109" s="867"/>
      <c r="F109" s="1345">
        <f t="shared" si="1"/>
        <v>0</v>
      </c>
      <c r="G109" s="251"/>
      <c r="H109" s="251"/>
      <c r="I109" s="251"/>
      <c r="J109" s="251"/>
    </row>
    <row r="110" spans="1:10" s="655" customFormat="1" ht="14.25" customHeight="1">
      <c r="A110" s="868" t="s">
        <v>592</v>
      </c>
      <c r="B110" s="869" t="s">
        <v>593</v>
      </c>
      <c r="C110" s="865">
        <v>1.33</v>
      </c>
      <c r="D110" s="866" t="s">
        <v>2</v>
      </c>
      <c r="E110" s="867">
        <v>8196.24</v>
      </c>
      <c r="F110" s="1345">
        <f t="shared" si="1"/>
        <v>10901</v>
      </c>
      <c r="G110" s="251"/>
      <c r="H110" s="251"/>
      <c r="I110" s="251"/>
      <c r="J110" s="251"/>
    </row>
    <row r="111" spans="1:10" s="659" customFormat="1" ht="27" customHeight="1">
      <c r="A111" s="868" t="s">
        <v>594</v>
      </c>
      <c r="B111" s="869" t="s">
        <v>595</v>
      </c>
      <c r="C111" s="865">
        <v>7.0000000000000007E-2</v>
      </c>
      <c r="D111" s="866" t="s">
        <v>2</v>
      </c>
      <c r="E111" s="867">
        <v>15058.36</v>
      </c>
      <c r="F111" s="1345">
        <f t="shared" si="1"/>
        <v>1054.0899999999999</v>
      </c>
      <c r="G111" s="251"/>
      <c r="H111" s="251"/>
      <c r="I111" s="251"/>
      <c r="J111" s="251"/>
    </row>
    <row r="112" spans="1:10" s="656" customFormat="1" ht="12.75" customHeight="1">
      <c r="A112" s="868" t="s">
        <v>596</v>
      </c>
      <c r="B112" s="1389" t="s">
        <v>597</v>
      </c>
      <c r="C112" s="865">
        <v>0.64</v>
      </c>
      <c r="D112" s="866" t="s">
        <v>2</v>
      </c>
      <c r="E112" s="867" t="e">
        <f>+'ANALISIS PTAP'!F293</f>
        <v>#REF!</v>
      </c>
      <c r="F112" s="1345" t="e">
        <f t="shared" si="1"/>
        <v>#REF!</v>
      </c>
      <c r="G112" s="251"/>
      <c r="H112" s="251"/>
      <c r="I112" s="251"/>
      <c r="J112" s="251"/>
    </row>
    <row r="113" spans="1:10" s="656" customFormat="1" ht="12.75" customHeight="1">
      <c r="A113" s="868" t="s">
        <v>598</v>
      </c>
      <c r="B113" s="1389" t="s">
        <v>599</v>
      </c>
      <c r="C113" s="865">
        <v>1.26</v>
      </c>
      <c r="D113" s="866" t="s">
        <v>2</v>
      </c>
      <c r="E113" s="867" t="e">
        <f>+'ANALISIS PTAP'!F299</f>
        <v>#REF!</v>
      </c>
      <c r="F113" s="1345" t="e">
        <f t="shared" si="1"/>
        <v>#REF!</v>
      </c>
      <c r="G113" s="251"/>
      <c r="H113" s="251"/>
      <c r="I113" s="251"/>
      <c r="J113" s="251"/>
    </row>
    <row r="114" spans="1:10" s="656" customFormat="1" ht="12.75" customHeight="1">
      <c r="A114" s="868"/>
      <c r="B114" s="869"/>
      <c r="C114" s="865"/>
      <c r="D114" s="866"/>
      <c r="E114" s="867"/>
      <c r="F114" s="1345">
        <f t="shared" si="1"/>
        <v>0</v>
      </c>
      <c r="G114" s="251"/>
      <c r="H114" s="251"/>
      <c r="I114" s="251"/>
      <c r="J114" s="251"/>
    </row>
    <row r="115" spans="1:10" s="656" customFormat="1" ht="12.75" customHeight="1">
      <c r="A115" s="881">
        <v>4.2</v>
      </c>
      <c r="B115" s="882" t="s">
        <v>600</v>
      </c>
      <c r="C115" s="865"/>
      <c r="D115" s="866"/>
      <c r="E115" s="867"/>
      <c r="F115" s="1345">
        <f t="shared" si="1"/>
        <v>0</v>
      </c>
      <c r="G115" s="251"/>
      <c r="H115" s="251"/>
      <c r="I115" s="251"/>
      <c r="J115" s="251"/>
    </row>
    <row r="116" spans="1:10" s="656" customFormat="1" ht="12.75" customHeight="1">
      <c r="A116" s="868" t="s">
        <v>601</v>
      </c>
      <c r="B116" s="1389" t="s">
        <v>587</v>
      </c>
      <c r="C116" s="865">
        <v>2.72</v>
      </c>
      <c r="D116" s="866" t="s">
        <v>11</v>
      </c>
      <c r="E116" s="867" t="e">
        <f>+#REF!</f>
        <v>#REF!</v>
      </c>
      <c r="F116" s="1345" t="e">
        <f t="shared" si="1"/>
        <v>#REF!</v>
      </c>
      <c r="G116" s="251"/>
      <c r="H116" s="251"/>
      <c r="I116" s="251"/>
      <c r="J116" s="251"/>
    </row>
    <row r="117" spans="1:10" s="659" customFormat="1" ht="12.75" customHeight="1">
      <c r="A117" s="868" t="s">
        <v>602</v>
      </c>
      <c r="B117" s="1389" t="s">
        <v>165</v>
      </c>
      <c r="C117" s="865">
        <v>10.38</v>
      </c>
      <c r="D117" s="866" t="s">
        <v>11</v>
      </c>
      <c r="E117" s="867" t="e">
        <f>+#REF!</f>
        <v>#REF!</v>
      </c>
      <c r="F117" s="1345" t="e">
        <f t="shared" si="1"/>
        <v>#REF!</v>
      </c>
      <c r="G117" s="251"/>
      <c r="H117" s="251"/>
      <c r="I117" s="251"/>
      <c r="J117" s="251"/>
    </row>
    <row r="118" spans="1:10" s="659" customFormat="1" ht="12.75" customHeight="1">
      <c r="A118" s="868" t="s">
        <v>602</v>
      </c>
      <c r="B118" s="1389" t="s">
        <v>152</v>
      </c>
      <c r="C118" s="865">
        <f>13.49+1.33</f>
        <v>14.82</v>
      </c>
      <c r="D118" s="866" t="s">
        <v>11</v>
      </c>
      <c r="E118" s="867" t="e">
        <f>+#REF!</f>
        <v>#REF!</v>
      </c>
      <c r="F118" s="1345" t="e">
        <f t="shared" si="1"/>
        <v>#REF!</v>
      </c>
      <c r="G118" s="251"/>
      <c r="H118" s="251"/>
      <c r="I118" s="251"/>
      <c r="J118" s="251"/>
    </row>
    <row r="119" spans="1:10" s="656" customFormat="1" ht="12.75" customHeight="1">
      <c r="A119" s="868" t="s">
        <v>603</v>
      </c>
      <c r="B119" s="1389" t="s">
        <v>177</v>
      </c>
      <c r="C119" s="865">
        <f>0.07+18.92</f>
        <v>18.989999999999998</v>
      </c>
      <c r="D119" s="866" t="s">
        <v>13</v>
      </c>
      <c r="E119" s="867" t="e">
        <f>+#REF!</f>
        <v>#REF!</v>
      </c>
      <c r="F119" s="1345" t="e">
        <f t="shared" si="1"/>
        <v>#REF!</v>
      </c>
      <c r="G119" s="251"/>
      <c r="H119" s="251"/>
      <c r="I119" s="251"/>
      <c r="J119" s="251"/>
    </row>
    <row r="120" spans="1:10" s="656" customFormat="1" ht="12.75" customHeight="1">
      <c r="A120" s="868"/>
      <c r="B120" s="869"/>
      <c r="C120" s="865"/>
      <c r="D120" s="866"/>
      <c r="E120" s="867"/>
      <c r="F120" s="1345">
        <f t="shared" si="1"/>
        <v>0</v>
      </c>
      <c r="G120" s="251"/>
      <c r="H120" s="251"/>
      <c r="I120" s="251"/>
      <c r="J120" s="251"/>
    </row>
    <row r="121" spans="1:10" s="656" customFormat="1" ht="12.75" customHeight="1">
      <c r="A121" s="868">
        <v>4.3</v>
      </c>
      <c r="B121" s="1389" t="s">
        <v>604</v>
      </c>
      <c r="C121" s="865">
        <v>0.4</v>
      </c>
      <c r="D121" s="866" t="s">
        <v>2</v>
      </c>
      <c r="E121" s="867" t="e">
        <f>+'ANALISIS PTAP'!#REF!</f>
        <v>#REF!</v>
      </c>
      <c r="F121" s="1345" t="e">
        <f t="shared" si="1"/>
        <v>#REF!</v>
      </c>
      <c r="G121" s="251"/>
      <c r="H121" s="251"/>
      <c r="I121" s="251"/>
      <c r="J121" s="251"/>
    </row>
    <row r="122" spans="1:10" s="656" customFormat="1" ht="12.75" customHeight="1">
      <c r="A122" s="889"/>
      <c r="B122" s="869"/>
      <c r="C122" s="865"/>
      <c r="D122" s="866"/>
      <c r="E122" s="867"/>
      <c r="F122" s="1345">
        <f t="shared" si="1"/>
        <v>0</v>
      </c>
      <c r="G122" s="251"/>
      <c r="H122" s="251"/>
      <c r="I122" s="251"/>
      <c r="J122" s="251"/>
    </row>
    <row r="123" spans="1:10" s="656" customFormat="1" ht="25.5" customHeight="1">
      <c r="A123" s="890">
        <v>4.4000000000000004</v>
      </c>
      <c r="B123" s="891" t="s">
        <v>605</v>
      </c>
      <c r="C123" s="865">
        <v>1</v>
      </c>
      <c r="D123" s="866" t="s">
        <v>3</v>
      </c>
      <c r="E123" s="867">
        <v>188000</v>
      </c>
      <c r="F123" s="1345">
        <f t="shared" si="1"/>
        <v>188000</v>
      </c>
      <c r="G123" s="251"/>
      <c r="H123" s="251"/>
      <c r="I123" s="251"/>
      <c r="J123" s="251"/>
    </row>
    <row r="124" spans="1:10" s="656" customFormat="1" ht="12.75" customHeight="1">
      <c r="A124" s="889">
        <v>4.5</v>
      </c>
      <c r="B124" s="869" t="s">
        <v>606</v>
      </c>
      <c r="C124" s="865">
        <v>1</v>
      </c>
      <c r="D124" s="866" t="s">
        <v>3</v>
      </c>
      <c r="E124" s="867">
        <v>1500</v>
      </c>
      <c r="F124" s="1345">
        <f t="shared" si="1"/>
        <v>1500</v>
      </c>
      <c r="G124" s="251"/>
      <c r="H124" s="251"/>
      <c r="I124" s="251"/>
      <c r="J124" s="251"/>
    </row>
    <row r="125" spans="1:10" s="656" customFormat="1" ht="12.75" customHeight="1">
      <c r="A125" s="889"/>
      <c r="B125" s="869"/>
      <c r="C125" s="865"/>
      <c r="D125" s="866"/>
      <c r="E125" s="867"/>
      <c r="F125" s="1345">
        <f t="shared" si="1"/>
        <v>0</v>
      </c>
      <c r="G125" s="251"/>
      <c r="H125" s="251"/>
      <c r="I125" s="251"/>
      <c r="J125" s="251"/>
    </row>
    <row r="126" spans="1:10" s="656" customFormat="1" ht="12.75" customHeight="1">
      <c r="A126" s="1406">
        <v>5</v>
      </c>
      <c r="B126" s="882" t="s">
        <v>607</v>
      </c>
      <c r="C126" s="865"/>
      <c r="D126" s="866"/>
      <c r="E126" s="867"/>
      <c r="F126" s="1345">
        <f t="shared" si="1"/>
        <v>0</v>
      </c>
      <c r="G126" s="251"/>
      <c r="H126" s="251"/>
      <c r="I126" s="251"/>
      <c r="J126" s="251"/>
    </row>
    <row r="127" spans="1:10" s="656" customFormat="1" ht="12.75" customHeight="1">
      <c r="A127" s="881">
        <v>5.0999999999999996</v>
      </c>
      <c r="B127" s="882" t="s">
        <v>591</v>
      </c>
      <c r="C127" s="865"/>
      <c r="D127" s="866"/>
      <c r="E127" s="867"/>
      <c r="F127" s="1345">
        <f t="shared" si="1"/>
        <v>0</v>
      </c>
      <c r="G127" s="251"/>
      <c r="H127" s="251"/>
      <c r="I127" s="251"/>
      <c r="J127" s="251"/>
    </row>
    <row r="128" spans="1:10" s="656" customFormat="1" ht="12.75" customHeight="1">
      <c r="A128" s="868" t="s">
        <v>608</v>
      </c>
      <c r="B128" s="1389" t="s">
        <v>609</v>
      </c>
      <c r="C128" s="865">
        <v>4.6399999999999997</v>
      </c>
      <c r="D128" s="866" t="s">
        <v>2</v>
      </c>
      <c r="E128" s="867" t="e">
        <f>+'ANALISIS PTAP'!F311</f>
        <v>#REF!</v>
      </c>
      <c r="F128" s="1345" t="e">
        <f t="shared" si="1"/>
        <v>#REF!</v>
      </c>
      <c r="G128" s="251"/>
      <c r="H128" s="251"/>
      <c r="I128" s="251"/>
      <c r="J128" s="251"/>
    </row>
    <row r="129" spans="1:10" s="656" customFormat="1" ht="12.75" customHeight="1">
      <c r="A129" s="868" t="s">
        <v>610</v>
      </c>
      <c r="B129" s="1389" t="s">
        <v>611</v>
      </c>
      <c r="C129" s="865">
        <v>28.7</v>
      </c>
      <c r="D129" s="866" t="s">
        <v>2</v>
      </c>
      <c r="E129" s="867" t="e">
        <f>+'ANALISIS PTAP'!F317</f>
        <v>#REF!</v>
      </c>
      <c r="F129" s="1345" t="e">
        <f t="shared" si="1"/>
        <v>#REF!</v>
      </c>
      <c r="G129" s="251"/>
      <c r="H129" s="251"/>
      <c r="I129" s="251"/>
      <c r="J129" s="251"/>
    </row>
    <row r="130" spans="1:10" s="660" customFormat="1" ht="12.75" customHeight="1">
      <c r="A130" s="868" t="s">
        <v>612</v>
      </c>
      <c r="B130" s="1389" t="s">
        <v>613</v>
      </c>
      <c r="C130" s="865">
        <v>4.3099999999999996</v>
      </c>
      <c r="D130" s="866" t="s">
        <v>2</v>
      </c>
      <c r="E130" s="867" t="e">
        <f>+'ANALISIS PTAP'!F323</f>
        <v>#REF!</v>
      </c>
      <c r="F130" s="1345" t="e">
        <f t="shared" si="1"/>
        <v>#REF!</v>
      </c>
      <c r="G130" s="251"/>
      <c r="H130" s="251"/>
      <c r="I130" s="251"/>
      <c r="J130" s="251"/>
    </row>
    <row r="131" spans="1:10" s="660" customFormat="1" ht="12.75" customHeight="1">
      <c r="A131" s="868"/>
      <c r="B131" s="869"/>
      <c r="C131" s="865"/>
      <c r="D131" s="866"/>
      <c r="E131" s="867"/>
      <c r="F131" s="1345">
        <f t="shared" si="1"/>
        <v>0</v>
      </c>
      <c r="G131" s="251"/>
      <c r="H131" s="251"/>
      <c r="I131" s="251"/>
      <c r="J131" s="251"/>
    </row>
    <row r="132" spans="1:10" s="660" customFormat="1" ht="14.25" customHeight="1">
      <c r="A132" s="881">
        <v>5.2</v>
      </c>
      <c r="B132" s="882" t="s">
        <v>600</v>
      </c>
      <c r="C132" s="865"/>
      <c r="D132" s="866"/>
      <c r="E132" s="867"/>
      <c r="F132" s="1345">
        <f t="shared" si="1"/>
        <v>0</v>
      </c>
      <c r="G132" s="251"/>
      <c r="H132" s="251"/>
      <c r="I132" s="251"/>
      <c r="J132" s="251"/>
    </row>
    <row r="133" spans="1:10" s="660" customFormat="1" ht="14.25" customHeight="1">
      <c r="A133" s="868" t="s">
        <v>614</v>
      </c>
      <c r="B133" s="1389" t="s">
        <v>152</v>
      </c>
      <c r="C133" s="865">
        <v>83.57</v>
      </c>
      <c r="D133" s="866" t="s">
        <v>11</v>
      </c>
      <c r="E133" s="867" t="e">
        <f>+E118</f>
        <v>#REF!</v>
      </c>
      <c r="F133" s="1345" t="e">
        <f t="shared" si="1"/>
        <v>#REF!</v>
      </c>
      <c r="G133" s="251"/>
      <c r="H133" s="251"/>
      <c r="I133" s="251"/>
      <c r="J133" s="251"/>
    </row>
    <row r="134" spans="1:10" s="660" customFormat="1" ht="14.25" customHeight="1">
      <c r="A134" s="868" t="s">
        <v>614</v>
      </c>
      <c r="B134" s="1389" t="s">
        <v>165</v>
      </c>
      <c r="C134" s="865">
        <v>209.71</v>
      </c>
      <c r="D134" s="866" t="s">
        <v>11</v>
      </c>
      <c r="E134" s="867" t="e">
        <f>+E117</f>
        <v>#REF!</v>
      </c>
      <c r="F134" s="1345" t="e">
        <f t="shared" si="1"/>
        <v>#REF!</v>
      </c>
      <c r="G134" s="251"/>
      <c r="H134" s="251"/>
      <c r="I134" s="251"/>
      <c r="J134" s="251"/>
    </row>
    <row r="135" spans="1:10" s="660" customFormat="1" ht="14.25" customHeight="1">
      <c r="A135" s="868" t="s">
        <v>615</v>
      </c>
      <c r="B135" s="1389" t="s">
        <v>616</v>
      </c>
      <c r="C135" s="865">
        <v>22.5</v>
      </c>
      <c r="D135" s="866" t="s">
        <v>11</v>
      </c>
      <c r="E135" s="867" t="e">
        <f>+E116</f>
        <v>#REF!</v>
      </c>
      <c r="F135" s="1345" t="e">
        <f t="shared" si="1"/>
        <v>#REF!</v>
      </c>
      <c r="G135" s="251"/>
      <c r="H135" s="251"/>
      <c r="I135" s="251"/>
      <c r="J135" s="251"/>
    </row>
    <row r="136" spans="1:10" s="660" customFormat="1" ht="14.25" customHeight="1">
      <c r="A136" s="868" t="s">
        <v>617</v>
      </c>
      <c r="B136" s="1389" t="s">
        <v>618</v>
      </c>
      <c r="C136" s="865">
        <v>61</v>
      </c>
      <c r="D136" s="866" t="s">
        <v>1</v>
      </c>
      <c r="E136" s="867" t="e">
        <f>+E119</f>
        <v>#REF!</v>
      </c>
      <c r="F136" s="1345" t="e">
        <f t="shared" si="1"/>
        <v>#REF!</v>
      </c>
      <c r="G136" s="251"/>
      <c r="H136" s="251"/>
      <c r="I136" s="251"/>
      <c r="J136" s="251"/>
    </row>
    <row r="137" spans="1:10" s="660" customFormat="1" ht="14.25" customHeight="1">
      <c r="A137" s="868"/>
      <c r="B137" s="869"/>
      <c r="C137" s="865"/>
      <c r="D137" s="866"/>
      <c r="E137" s="867"/>
      <c r="F137" s="1345">
        <f t="shared" si="1"/>
        <v>0</v>
      </c>
      <c r="G137" s="251"/>
      <c r="H137" s="251"/>
      <c r="I137" s="251"/>
      <c r="J137" s="251"/>
    </row>
    <row r="138" spans="1:10" s="660" customFormat="1" ht="14.25" customHeight="1">
      <c r="A138" s="892">
        <v>5.3</v>
      </c>
      <c r="B138" s="891" t="s">
        <v>619</v>
      </c>
      <c r="C138" s="865">
        <v>2742.07</v>
      </c>
      <c r="D138" s="866" t="s">
        <v>155</v>
      </c>
      <c r="E138" s="867">
        <v>1450</v>
      </c>
      <c r="F138" s="1345">
        <f t="shared" si="1"/>
        <v>3976001.5</v>
      </c>
      <c r="G138" s="251"/>
      <c r="H138" s="251"/>
      <c r="I138" s="251"/>
      <c r="J138" s="251"/>
    </row>
    <row r="139" spans="1:10" s="660" customFormat="1" ht="14.25" customHeight="1">
      <c r="A139" s="892"/>
      <c r="B139" s="891"/>
      <c r="C139" s="865"/>
      <c r="D139" s="866"/>
      <c r="E139" s="867"/>
      <c r="F139" s="1345">
        <f t="shared" si="1"/>
        <v>0</v>
      </c>
      <c r="G139" s="251"/>
      <c r="H139" s="251"/>
      <c r="I139" s="251"/>
      <c r="J139" s="251"/>
    </row>
    <row r="140" spans="1:10" s="660" customFormat="1" ht="14.25" customHeight="1">
      <c r="A140" s="868">
        <v>5.4</v>
      </c>
      <c r="B140" s="1388" t="s">
        <v>620</v>
      </c>
      <c r="C140" s="865">
        <v>11.03</v>
      </c>
      <c r="D140" s="866" t="s">
        <v>2</v>
      </c>
      <c r="E140" s="867" t="e">
        <f>+E121</f>
        <v>#REF!</v>
      </c>
      <c r="F140" s="1345" t="e">
        <f t="shared" si="1"/>
        <v>#REF!</v>
      </c>
      <c r="G140" s="251"/>
      <c r="H140" s="251"/>
      <c r="I140" s="251"/>
      <c r="J140" s="251"/>
    </row>
    <row r="141" spans="1:10" s="660" customFormat="1" ht="14.25" customHeight="1">
      <c r="A141" s="868"/>
      <c r="B141" s="869"/>
      <c r="C141" s="865"/>
      <c r="D141" s="866"/>
      <c r="E141" s="867"/>
      <c r="F141" s="1345">
        <f t="shared" si="1"/>
        <v>0</v>
      </c>
      <c r="G141" s="251"/>
      <c r="H141" s="251"/>
      <c r="I141" s="251"/>
      <c r="J141" s="251"/>
    </row>
    <row r="142" spans="1:10" s="660" customFormat="1" ht="14.25" customHeight="1">
      <c r="A142" s="881">
        <v>5.5</v>
      </c>
      <c r="B142" s="882" t="s">
        <v>621</v>
      </c>
      <c r="C142" s="865"/>
      <c r="D142" s="866"/>
      <c r="E142" s="867"/>
      <c r="F142" s="1345">
        <f t="shared" si="1"/>
        <v>0</v>
      </c>
      <c r="G142" s="251"/>
      <c r="H142" s="251"/>
      <c r="I142" s="251"/>
      <c r="J142" s="251"/>
    </row>
    <row r="143" spans="1:10" s="660" customFormat="1" ht="14.25" customHeight="1">
      <c r="A143" s="893" t="s">
        <v>622</v>
      </c>
      <c r="B143" s="891" t="s">
        <v>623</v>
      </c>
      <c r="C143" s="865">
        <v>1</v>
      </c>
      <c r="D143" s="866" t="s">
        <v>3</v>
      </c>
      <c r="E143" s="867">
        <v>186200</v>
      </c>
      <c r="F143" s="1345">
        <f t="shared" si="1"/>
        <v>186200</v>
      </c>
      <c r="G143" s="251"/>
      <c r="H143" s="251"/>
      <c r="I143" s="251"/>
      <c r="J143" s="251"/>
    </row>
    <row r="144" spans="1:10" s="660" customFormat="1" ht="14.25" customHeight="1">
      <c r="A144" s="893" t="s">
        <v>624</v>
      </c>
      <c r="B144" s="891" t="s">
        <v>625</v>
      </c>
      <c r="C144" s="865">
        <v>1</v>
      </c>
      <c r="D144" s="866" t="s">
        <v>3</v>
      </c>
      <c r="E144" s="867">
        <v>2100</v>
      </c>
      <c r="F144" s="1345">
        <f t="shared" si="1"/>
        <v>2100</v>
      </c>
      <c r="G144" s="251"/>
      <c r="H144" s="251"/>
      <c r="I144" s="251"/>
      <c r="J144" s="251"/>
    </row>
    <row r="145" spans="1:10" s="660" customFormat="1" ht="14.25" customHeight="1">
      <c r="A145" s="893"/>
      <c r="B145" s="891"/>
      <c r="C145" s="865"/>
      <c r="D145" s="866"/>
      <c r="E145" s="867"/>
      <c r="F145" s="1345">
        <f t="shared" si="1"/>
        <v>0</v>
      </c>
      <c r="G145" s="251"/>
      <c r="H145" s="251"/>
      <c r="I145" s="251"/>
      <c r="J145" s="251"/>
    </row>
    <row r="146" spans="1:10" s="660" customFormat="1" ht="14.25" customHeight="1">
      <c r="A146" s="1407">
        <v>6</v>
      </c>
      <c r="B146" s="895" t="s">
        <v>626</v>
      </c>
      <c r="C146" s="865"/>
      <c r="D146" s="866"/>
      <c r="E146" s="867"/>
      <c r="F146" s="1345">
        <f t="shared" si="1"/>
        <v>0</v>
      </c>
      <c r="G146" s="251"/>
      <c r="H146" s="251"/>
      <c r="I146" s="251"/>
      <c r="J146" s="251"/>
    </row>
    <row r="147" spans="1:10" s="660" customFormat="1" ht="14.25" customHeight="1">
      <c r="A147" s="894">
        <v>6.1</v>
      </c>
      <c r="B147" s="896" t="s">
        <v>627</v>
      </c>
      <c r="C147" s="865"/>
      <c r="D147" s="866"/>
      <c r="E147" s="867"/>
      <c r="F147" s="1345">
        <f t="shared" si="1"/>
        <v>0</v>
      </c>
      <c r="G147" s="251"/>
      <c r="H147" s="251"/>
      <c r="I147" s="251"/>
      <c r="J147" s="251"/>
    </row>
    <row r="148" spans="1:10" s="660" customFormat="1" ht="14.25" customHeight="1">
      <c r="A148" s="893" t="s">
        <v>628</v>
      </c>
      <c r="B148" s="1393" t="s">
        <v>629</v>
      </c>
      <c r="C148" s="865">
        <v>0.6</v>
      </c>
      <c r="D148" s="866" t="s">
        <v>2</v>
      </c>
      <c r="E148" s="867" t="e">
        <f>+'ANALISIS PTAP'!F330</f>
        <v>#REF!</v>
      </c>
      <c r="F148" s="1345" t="e">
        <f t="shared" si="1"/>
        <v>#REF!</v>
      </c>
      <c r="G148" s="251"/>
      <c r="H148" s="251"/>
      <c r="I148" s="251"/>
      <c r="J148" s="251"/>
    </row>
    <row r="149" spans="1:10" s="656" customFormat="1" ht="12.75" customHeight="1">
      <c r="A149" s="893"/>
      <c r="B149" s="891"/>
      <c r="C149" s="865"/>
      <c r="D149" s="866"/>
      <c r="E149" s="867"/>
      <c r="F149" s="1345">
        <f t="shared" si="1"/>
        <v>0</v>
      </c>
      <c r="G149" s="251"/>
      <c r="H149" s="251"/>
      <c r="I149" s="251"/>
      <c r="J149" s="251"/>
    </row>
    <row r="150" spans="1:10" s="656" customFormat="1" ht="12.75" customHeight="1">
      <c r="A150" s="894">
        <v>6.2</v>
      </c>
      <c r="B150" s="897" t="s">
        <v>586</v>
      </c>
      <c r="C150" s="865"/>
      <c r="D150" s="866"/>
      <c r="E150" s="867"/>
      <c r="F150" s="1345">
        <f t="shared" si="1"/>
        <v>0</v>
      </c>
      <c r="G150" s="251"/>
      <c r="H150" s="251"/>
      <c r="I150" s="251"/>
      <c r="J150" s="251"/>
    </row>
    <row r="151" spans="1:10" s="656" customFormat="1" ht="12.75" customHeight="1">
      <c r="A151" s="893" t="s">
        <v>630</v>
      </c>
      <c r="B151" s="1393" t="s">
        <v>587</v>
      </c>
      <c r="C151" s="865">
        <v>4.0199999999999996</v>
      </c>
      <c r="D151" s="866" t="s">
        <v>11</v>
      </c>
      <c r="E151" s="867" t="e">
        <f>+E135</f>
        <v>#REF!</v>
      </c>
      <c r="F151" s="1345" t="e">
        <f t="shared" ref="F151:F214" si="3">+ROUND((E151*C151),2)</f>
        <v>#REF!</v>
      </c>
      <c r="G151" s="251"/>
      <c r="H151" s="251"/>
      <c r="I151" s="251"/>
      <c r="J151" s="251"/>
    </row>
    <row r="152" spans="1:10" s="656" customFormat="1" ht="12.75" customHeight="1">
      <c r="A152" s="893" t="s">
        <v>631</v>
      </c>
      <c r="B152" s="1393" t="s">
        <v>165</v>
      </c>
      <c r="C152" s="865">
        <v>15.06</v>
      </c>
      <c r="D152" s="866" t="s">
        <v>11</v>
      </c>
      <c r="E152" s="867" t="e">
        <f>+E134</f>
        <v>#REF!</v>
      </c>
      <c r="F152" s="1345" t="e">
        <f t="shared" si="3"/>
        <v>#REF!</v>
      </c>
      <c r="G152" s="251"/>
      <c r="H152" s="251"/>
      <c r="I152" s="251"/>
      <c r="J152" s="251"/>
    </row>
    <row r="153" spans="1:10" s="656" customFormat="1" ht="12.75" customHeight="1">
      <c r="A153" s="868" t="s">
        <v>632</v>
      </c>
      <c r="B153" s="1389" t="s">
        <v>177</v>
      </c>
      <c r="C153" s="865">
        <v>3.46</v>
      </c>
      <c r="D153" s="866" t="s">
        <v>1</v>
      </c>
      <c r="E153" s="867" t="e">
        <f>+E136</f>
        <v>#REF!</v>
      </c>
      <c r="F153" s="1345" t="e">
        <f t="shared" si="3"/>
        <v>#REF!</v>
      </c>
      <c r="G153" s="251"/>
      <c r="H153" s="251"/>
      <c r="I153" s="251"/>
      <c r="J153" s="251"/>
    </row>
    <row r="154" spans="1:10" s="656" customFormat="1" ht="12.75" customHeight="1">
      <c r="A154" s="898"/>
      <c r="B154" s="899"/>
      <c r="C154" s="900"/>
      <c r="D154" s="901"/>
      <c r="E154" s="902"/>
      <c r="F154" s="1345">
        <f t="shared" si="3"/>
        <v>0</v>
      </c>
      <c r="G154" s="251"/>
      <c r="H154" s="251"/>
      <c r="I154" s="251"/>
      <c r="J154" s="251"/>
    </row>
    <row r="155" spans="1:10" s="656" customFormat="1" ht="12.75" customHeight="1">
      <c r="A155" s="1408">
        <v>7</v>
      </c>
      <c r="B155" s="882" t="s">
        <v>633</v>
      </c>
      <c r="C155" s="865"/>
      <c r="D155" s="866"/>
      <c r="E155" s="867"/>
      <c r="F155" s="1345">
        <f t="shared" si="3"/>
        <v>0</v>
      </c>
      <c r="G155" s="251"/>
      <c r="H155" s="251"/>
      <c r="I155" s="251"/>
      <c r="J155" s="251"/>
    </row>
    <row r="156" spans="1:10" s="656" customFormat="1" ht="12.75" customHeight="1">
      <c r="A156" s="903">
        <v>7.1</v>
      </c>
      <c r="B156" s="904" t="s">
        <v>634</v>
      </c>
      <c r="C156" s="865"/>
      <c r="D156" s="866"/>
      <c r="E156" s="867"/>
      <c r="F156" s="1345">
        <f t="shared" si="3"/>
        <v>0</v>
      </c>
      <c r="G156" s="251"/>
      <c r="H156" s="251"/>
      <c r="I156" s="251"/>
      <c r="J156" s="251"/>
    </row>
    <row r="157" spans="1:10" s="656" customFormat="1" ht="12.75" customHeight="1">
      <c r="A157" s="898" t="s">
        <v>635</v>
      </c>
      <c r="B157" s="1389" t="s">
        <v>629</v>
      </c>
      <c r="C157" s="865">
        <v>0.34</v>
      </c>
      <c r="D157" s="866" t="s">
        <v>2</v>
      </c>
      <c r="E157" s="867" t="e">
        <f>+'ANALISIS PTAP'!F337</f>
        <v>#REF!</v>
      </c>
      <c r="F157" s="1345" t="e">
        <f t="shared" si="3"/>
        <v>#REF!</v>
      </c>
      <c r="G157" s="251"/>
      <c r="H157" s="251"/>
      <c r="I157" s="251"/>
      <c r="J157" s="251"/>
    </row>
    <row r="158" spans="1:10" s="656" customFormat="1" ht="12.75" customHeight="1">
      <c r="A158" s="898"/>
      <c r="B158" s="869"/>
      <c r="C158" s="865"/>
      <c r="D158" s="866"/>
      <c r="E158" s="867"/>
      <c r="F158" s="1345">
        <f t="shared" si="3"/>
        <v>0</v>
      </c>
      <c r="G158" s="251"/>
      <c r="H158" s="251"/>
      <c r="I158" s="251"/>
      <c r="J158" s="251"/>
    </row>
    <row r="159" spans="1:10" s="656" customFormat="1" ht="12.75" customHeight="1">
      <c r="A159" s="903">
        <v>7.2</v>
      </c>
      <c r="B159" s="882" t="s">
        <v>586</v>
      </c>
      <c r="C159" s="865"/>
      <c r="D159" s="866"/>
      <c r="E159" s="867"/>
      <c r="F159" s="1345">
        <f t="shared" si="3"/>
        <v>0</v>
      </c>
      <c r="G159" s="251"/>
      <c r="H159" s="251"/>
      <c r="I159" s="251"/>
      <c r="J159" s="251"/>
    </row>
    <row r="160" spans="1:10" s="656" customFormat="1" ht="42.75" customHeight="1">
      <c r="A160" s="898" t="s">
        <v>636</v>
      </c>
      <c r="B160" s="1389" t="s">
        <v>587</v>
      </c>
      <c r="C160" s="865">
        <v>4.5</v>
      </c>
      <c r="D160" s="866" t="s">
        <v>11</v>
      </c>
      <c r="E160" s="867" t="e">
        <f>+E151</f>
        <v>#REF!</v>
      </c>
      <c r="F160" s="1345" t="e">
        <f t="shared" si="3"/>
        <v>#REF!</v>
      </c>
      <c r="G160" s="251"/>
      <c r="H160" s="251"/>
      <c r="I160" s="251"/>
      <c r="J160" s="251"/>
    </row>
    <row r="161" spans="1:10" s="656" customFormat="1" ht="12.75" customHeight="1">
      <c r="A161" s="898" t="s">
        <v>637</v>
      </c>
      <c r="B161" s="1389" t="s">
        <v>1226</v>
      </c>
      <c r="C161" s="865">
        <v>33.21</v>
      </c>
      <c r="D161" s="866" t="s">
        <v>11</v>
      </c>
      <c r="E161" s="867" t="e">
        <f>+E152</f>
        <v>#REF!</v>
      </c>
      <c r="F161" s="1345" t="e">
        <f t="shared" si="3"/>
        <v>#REF!</v>
      </c>
      <c r="G161" s="251"/>
      <c r="H161" s="251"/>
      <c r="I161" s="251"/>
      <c r="J161" s="251"/>
    </row>
    <row r="162" spans="1:10" s="656" customFormat="1" ht="12.75" customHeight="1">
      <c r="A162" s="898" t="s">
        <v>638</v>
      </c>
      <c r="B162" s="1389" t="s">
        <v>177</v>
      </c>
      <c r="C162" s="865">
        <v>9.4600000000000009</v>
      </c>
      <c r="D162" s="866" t="s">
        <v>1</v>
      </c>
      <c r="E162" s="867" t="e">
        <f>+E153</f>
        <v>#REF!</v>
      </c>
      <c r="F162" s="1345" t="e">
        <f t="shared" si="3"/>
        <v>#REF!</v>
      </c>
      <c r="G162" s="251"/>
      <c r="H162" s="251"/>
      <c r="I162" s="251"/>
      <c r="J162" s="251"/>
    </row>
    <row r="163" spans="1:10" s="656" customFormat="1" ht="12.75" customHeight="1">
      <c r="A163" s="898"/>
      <c r="B163" s="869"/>
      <c r="C163" s="865"/>
      <c r="D163" s="866"/>
      <c r="E163" s="867"/>
      <c r="F163" s="1345">
        <f t="shared" si="3"/>
        <v>0</v>
      </c>
      <c r="G163" s="251"/>
      <c r="H163" s="251"/>
      <c r="I163" s="251"/>
      <c r="J163" s="251"/>
    </row>
    <row r="164" spans="1:10" s="656" customFormat="1" ht="12.75" customHeight="1">
      <c r="A164" s="903">
        <v>7.3</v>
      </c>
      <c r="B164" s="882" t="s">
        <v>639</v>
      </c>
      <c r="C164" s="865"/>
      <c r="D164" s="866"/>
      <c r="E164" s="867"/>
      <c r="F164" s="1345">
        <f t="shared" si="3"/>
        <v>0</v>
      </c>
      <c r="G164" s="251"/>
      <c r="H164" s="251"/>
      <c r="I164" s="251"/>
      <c r="J164" s="251"/>
    </row>
    <row r="165" spans="1:10" s="656" customFormat="1" ht="25.5" customHeight="1">
      <c r="A165" s="892" t="s">
        <v>640</v>
      </c>
      <c r="B165" s="879" t="s">
        <v>641</v>
      </c>
      <c r="C165" s="865">
        <v>1</v>
      </c>
      <c r="D165" s="866" t="s">
        <v>3</v>
      </c>
      <c r="E165" s="867">
        <v>180000</v>
      </c>
      <c r="F165" s="1345">
        <f t="shared" si="3"/>
        <v>180000</v>
      </c>
      <c r="G165" s="251"/>
      <c r="H165" s="251"/>
      <c r="I165" s="251"/>
      <c r="J165" s="251"/>
    </row>
    <row r="166" spans="1:10" s="656" customFormat="1" ht="12.75" customHeight="1">
      <c r="A166" s="868"/>
      <c r="B166" s="869"/>
      <c r="C166" s="865"/>
      <c r="D166" s="866"/>
      <c r="E166" s="867"/>
      <c r="F166" s="1345">
        <f t="shared" si="3"/>
        <v>0</v>
      </c>
      <c r="G166" s="251"/>
      <c r="H166" s="251"/>
      <c r="I166" s="251"/>
      <c r="J166" s="251"/>
    </row>
    <row r="167" spans="1:10" s="656" customFormat="1" ht="12.75" customHeight="1">
      <c r="A167" s="1408">
        <v>8</v>
      </c>
      <c r="B167" s="882" t="s">
        <v>642</v>
      </c>
      <c r="C167" s="865"/>
      <c r="D167" s="866"/>
      <c r="E167" s="867"/>
      <c r="F167" s="1345">
        <f t="shared" si="3"/>
        <v>0</v>
      </c>
      <c r="G167" s="251"/>
      <c r="H167" s="251"/>
      <c r="I167" s="251"/>
      <c r="J167" s="251"/>
    </row>
    <row r="168" spans="1:10" s="656" customFormat="1" ht="12.75" customHeight="1">
      <c r="A168" s="903">
        <v>8.1</v>
      </c>
      <c r="B168" s="904" t="s">
        <v>634</v>
      </c>
      <c r="C168" s="865"/>
      <c r="D168" s="866"/>
      <c r="E168" s="867"/>
      <c r="F168" s="1345">
        <f t="shared" si="3"/>
        <v>0</v>
      </c>
      <c r="G168" s="251"/>
      <c r="H168" s="251"/>
      <c r="I168" s="251"/>
      <c r="J168" s="251"/>
    </row>
    <row r="169" spans="1:10" s="656" customFormat="1" ht="12.75" customHeight="1">
      <c r="A169" s="898" t="s">
        <v>493</v>
      </c>
      <c r="B169" s="1388" t="s">
        <v>643</v>
      </c>
      <c r="C169" s="865">
        <v>10.69</v>
      </c>
      <c r="D169" s="866" t="s">
        <v>2</v>
      </c>
      <c r="E169" s="867" t="e">
        <f>+'ANALISIS PTAP'!F344</f>
        <v>#REF!</v>
      </c>
      <c r="F169" s="1345" t="e">
        <f t="shared" si="3"/>
        <v>#REF!</v>
      </c>
      <c r="G169" s="251"/>
      <c r="H169" s="251"/>
      <c r="I169" s="251"/>
      <c r="J169" s="251"/>
    </row>
    <row r="170" spans="1:10" s="656" customFormat="1" ht="12.75" customHeight="1">
      <c r="A170" s="898" t="s">
        <v>494</v>
      </c>
      <c r="B170" s="1389" t="s">
        <v>644</v>
      </c>
      <c r="C170" s="865">
        <v>13.15</v>
      </c>
      <c r="D170" s="866" t="s">
        <v>2</v>
      </c>
      <c r="E170" s="867" t="e">
        <f>+'ANALISIS PTAP'!F350</f>
        <v>#REF!</v>
      </c>
      <c r="F170" s="1345" t="e">
        <f t="shared" si="3"/>
        <v>#REF!</v>
      </c>
      <c r="G170" s="251"/>
      <c r="H170" s="251"/>
      <c r="I170" s="251"/>
      <c r="J170" s="251"/>
    </row>
    <row r="171" spans="1:10" s="656" customFormat="1" ht="12.75" customHeight="1">
      <c r="A171" s="898" t="s">
        <v>496</v>
      </c>
      <c r="B171" s="1388" t="s">
        <v>645</v>
      </c>
      <c r="C171" s="865">
        <v>21.77</v>
      </c>
      <c r="D171" s="866" t="s">
        <v>2</v>
      </c>
      <c r="E171" s="867" t="e">
        <f>+'ANALISIS PTAP'!F356</f>
        <v>#REF!</v>
      </c>
      <c r="F171" s="1345" t="e">
        <f t="shared" si="3"/>
        <v>#REF!</v>
      </c>
      <c r="G171" s="251"/>
      <c r="H171" s="251"/>
      <c r="I171" s="251"/>
      <c r="J171" s="251"/>
    </row>
    <row r="172" spans="1:10" s="44" customFormat="1" ht="12.75" customHeight="1">
      <c r="A172" s="898" t="s">
        <v>497</v>
      </c>
      <c r="B172" s="885" t="s">
        <v>646</v>
      </c>
      <c r="C172" s="865">
        <v>4</v>
      </c>
      <c r="D172" s="866" t="s">
        <v>3</v>
      </c>
      <c r="E172" s="867">
        <v>5000</v>
      </c>
      <c r="F172" s="1345">
        <f t="shared" si="3"/>
        <v>20000</v>
      </c>
      <c r="G172" s="251"/>
      <c r="H172" s="251"/>
      <c r="I172" s="251"/>
      <c r="J172" s="251"/>
    </row>
    <row r="173" spans="1:10" s="44" customFormat="1" ht="12.75" customHeight="1">
      <c r="A173" s="898"/>
      <c r="B173" s="869"/>
      <c r="C173" s="865"/>
      <c r="D173" s="866"/>
      <c r="E173" s="867"/>
      <c r="F173" s="1345">
        <f t="shared" si="3"/>
        <v>0</v>
      </c>
      <c r="G173" s="251"/>
      <c r="H173" s="251"/>
      <c r="I173" s="251"/>
      <c r="J173" s="251"/>
    </row>
    <row r="174" spans="1:10" s="44" customFormat="1" ht="12.75" customHeight="1">
      <c r="A174" s="881">
        <v>8.1999999999999993</v>
      </c>
      <c r="B174" s="882" t="s">
        <v>586</v>
      </c>
      <c r="C174" s="865"/>
      <c r="D174" s="905"/>
      <c r="E174" s="867"/>
      <c r="F174" s="1345">
        <f t="shared" si="3"/>
        <v>0</v>
      </c>
      <c r="G174" s="251"/>
      <c r="H174" s="251"/>
      <c r="I174" s="251"/>
      <c r="J174" s="251"/>
    </row>
    <row r="175" spans="1:10" s="44" customFormat="1" ht="12.75" customHeight="1">
      <c r="A175" s="868" t="s">
        <v>506</v>
      </c>
      <c r="B175" s="1389" t="s">
        <v>587</v>
      </c>
      <c r="C175" s="865">
        <v>28.69</v>
      </c>
      <c r="D175" s="866" t="s">
        <v>11</v>
      </c>
      <c r="E175" s="867" t="e">
        <f>+E160</f>
        <v>#REF!</v>
      </c>
      <c r="F175" s="1345" t="e">
        <f t="shared" si="3"/>
        <v>#REF!</v>
      </c>
      <c r="G175" s="251"/>
      <c r="H175" s="251"/>
      <c r="I175" s="251"/>
      <c r="J175" s="251"/>
    </row>
    <row r="176" spans="1:10" s="44" customFormat="1" ht="12.75" customHeight="1">
      <c r="A176" s="868" t="s">
        <v>507</v>
      </c>
      <c r="B176" s="1389" t="s">
        <v>165</v>
      </c>
      <c r="C176" s="865">
        <v>44.57</v>
      </c>
      <c r="D176" s="866" t="s">
        <v>11</v>
      </c>
      <c r="E176" s="867" t="e">
        <f>+E161</f>
        <v>#REF!</v>
      </c>
      <c r="F176" s="1345" t="e">
        <f t="shared" si="3"/>
        <v>#REF!</v>
      </c>
      <c r="G176" s="251"/>
      <c r="H176" s="251"/>
      <c r="I176" s="251"/>
      <c r="J176" s="251"/>
    </row>
    <row r="177" spans="1:10" s="44" customFormat="1" ht="12.75" customHeight="1">
      <c r="A177" s="868" t="s">
        <v>509</v>
      </c>
      <c r="B177" s="1389" t="s">
        <v>177</v>
      </c>
      <c r="C177" s="865">
        <v>28.16</v>
      </c>
      <c r="D177" s="866" t="s">
        <v>13</v>
      </c>
      <c r="E177" s="867" t="e">
        <f>+E162</f>
        <v>#REF!</v>
      </c>
      <c r="F177" s="1345" t="e">
        <f t="shared" si="3"/>
        <v>#REF!</v>
      </c>
      <c r="G177" s="251"/>
      <c r="H177" s="251"/>
      <c r="I177" s="251"/>
      <c r="J177" s="251"/>
    </row>
    <row r="178" spans="1:10" s="44" customFormat="1" ht="12.75" customHeight="1">
      <c r="A178" s="868"/>
      <c r="B178" s="869"/>
      <c r="C178" s="865"/>
      <c r="D178" s="905"/>
      <c r="E178" s="867"/>
      <c r="F178" s="1345">
        <f t="shared" si="3"/>
        <v>0</v>
      </c>
      <c r="G178" s="251"/>
      <c r="H178" s="251"/>
      <c r="I178" s="251"/>
      <c r="J178" s="251"/>
    </row>
    <row r="179" spans="1:10" s="44" customFormat="1" ht="12.75" customHeight="1">
      <c r="A179" s="868">
        <v>8.3000000000000007</v>
      </c>
      <c r="B179" s="869" t="s">
        <v>647</v>
      </c>
      <c r="C179" s="865">
        <v>35.479999999999997</v>
      </c>
      <c r="D179" s="866" t="s">
        <v>2</v>
      </c>
      <c r="E179" s="867">
        <v>6349.9</v>
      </c>
      <c r="F179" s="1345">
        <f t="shared" si="3"/>
        <v>225294.45</v>
      </c>
      <c r="G179" s="251"/>
      <c r="H179" s="251"/>
      <c r="I179" s="251"/>
      <c r="J179" s="251"/>
    </row>
    <row r="180" spans="1:10" s="44" customFormat="1" ht="12.75" customHeight="1">
      <c r="A180" s="868"/>
      <c r="B180" s="869"/>
      <c r="C180" s="865"/>
      <c r="D180" s="866"/>
      <c r="E180" s="867"/>
      <c r="F180" s="1345">
        <f t="shared" si="3"/>
        <v>0</v>
      </c>
      <c r="G180" s="251"/>
      <c r="H180" s="251"/>
      <c r="I180" s="251"/>
      <c r="J180" s="251"/>
    </row>
    <row r="181" spans="1:10" s="44" customFormat="1" ht="12.75" customHeight="1">
      <c r="A181" s="881">
        <v>8.4</v>
      </c>
      <c r="B181" s="882" t="s">
        <v>648</v>
      </c>
      <c r="C181" s="865"/>
      <c r="D181" s="905"/>
      <c r="E181" s="867"/>
      <c r="F181" s="1345">
        <f t="shared" si="3"/>
        <v>0</v>
      </c>
      <c r="G181" s="251"/>
      <c r="H181" s="251"/>
      <c r="I181" s="251"/>
      <c r="J181" s="251"/>
    </row>
    <row r="182" spans="1:10" s="44" customFormat="1" ht="12.75" customHeight="1">
      <c r="A182" s="868" t="s">
        <v>649</v>
      </c>
      <c r="B182" s="869" t="s">
        <v>650</v>
      </c>
      <c r="C182" s="865">
        <v>9.1999999999999993</v>
      </c>
      <c r="D182" s="866" t="s">
        <v>1</v>
      </c>
      <c r="E182" s="867">
        <v>5245.9</v>
      </c>
      <c r="F182" s="1345">
        <f t="shared" si="3"/>
        <v>48262.28</v>
      </c>
      <c r="G182" s="251"/>
      <c r="H182" s="251"/>
      <c r="I182" s="251"/>
      <c r="J182" s="251"/>
    </row>
    <row r="183" spans="1:10" s="44" customFormat="1" ht="12.75" customHeight="1">
      <c r="A183" s="868" t="s">
        <v>651</v>
      </c>
      <c r="B183" s="906" t="s">
        <v>652</v>
      </c>
      <c r="C183" s="907">
        <v>6</v>
      </c>
      <c r="D183" s="908" t="s">
        <v>3</v>
      </c>
      <c r="E183" s="909">
        <v>1000</v>
      </c>
      <c r="F183" s="1345">
        <f t="shared" si="3"/>
        <v>6000</v>
      </c>
      <c r="G183" s="1367"/>
      <c r="H183" s="1367"/>
      <c r="I183" s="1367"/>
      <c r="J183" s="1367"/>
    </row>
    <row r="184" spans="1:10" s="44" customFormat="1" ht="25.5" customHeight="1">
      <c r="A184" s="868" t="s">
        <v>653</v>
      </c>
      <c r="B184" s="891" t="s">
        <v>654</v>
      </c>
      <c r="C184" s="865">
        <v>2</v>
      </c>
      <c r="D184" s="866" t="s">
        <v>3</v>
      </c>
      <c r="E184" s="867">
        <v>272428</v>
      </c>
      <c r="F184" s="1345">
        <f t="shared" si="3"/>
        <v>544856</v>
      </c>
      <c r="G184" s="251"/>
      <c r="H184" s="251"/>
      <c r="I184" s="251"/>
      <c r="J184" s="251"/>
    </row>
    <row r="185" spans="1:10" s="44" customFormat="1" ht="12.75" customHeight="1">
      <c r="A185" s="868" t="s">
        <v>655</v>
      </c>
      <c r="B185" s="869" t="s">
        <v>656</v>
      </c>
      <c r="C185" s="865">
        <v>6</v>
      </c>
      <c r="D185" s="866" t="s">
        <v>3</v>
      </c>
      <c r="E185" s="867">
        <v>2724</v>
      </c>
      <c r="F185" s="1345">
        <f t="shared" si="3"/>
        <v>16344</v>
      </c>
      <c r="G185" s="251"/>
      <c r="H185" s="251"/>
      <c r="I185" s="251"/>
      <c r="J185" s="251"/>
    </row>
    <row r="186" spans="1:10" s="44" customFormat="1" ht="12.75" customHeight="1">
      <c r="A186" s="868" t="s">
        <v>657</v>
      </c>
      <c r="B186" s="869" t="s">
        <v>658</v>
      </c>
      <c r="C186" s="865">
        <v>14</v>
      </c>
      <c r="D186" s="866" t="s">
        <v>3</v>
      </c>
      <c r="E186" s="867">
        <v>250</v>
      </c>
      <c r="F186" s="1345">
        <f t="shared" si="3"/>
        <v>3500</v>
      </c>
      <c r="G186" s="251"/>
      <c r="H186" s="251"/>
      <c r="I186" s="251"/>
      <c r="J186" s="251"/>
    </row>
    <row r="187" spans="1:10" s="44" customFormat="1" ht="63.75" customHeight="1">
      <c r="A187" s="868" t="s">
        <v>659</v>
      </c>
      <c r="B187" s="891" t="s">
        <v>660</v>
      </c>
      <c r="C187" s="865">
        <v>895.25</v>
      </c>
      <c r="D187" s="910" t="s">
        <v>661</v>
      </c>
      <c r="E187" s="867">
        <v>1290</v>
      </c>
      <c r="F187" s="1345">
        <f t="shared" si="3"/>
        <v>1154872.5</v>
      </c>
      <c r="G187" s="251"/>
      <c r="H187" s="251"/>
      <c r="I187" s="251"/>
      <c r="J187" s="251"/>
    </row>
    <row r="188" spans="1:10" s="44" customFormat="1" ht="12.75" customHeight="1">
      <c r="A188" s="868"/>
      <c r="B188" s="869"/>
      <c r="C188" s="865"/>
      <c r="D188" s="866"/>
      <c r="E188" s="867"/>
      <c r="F188" s="1345">
        <f t="shared" si="3"/>
        <v>0</v>
      </c>
      <c r="G188" s="251"/>
      <c r="H188" s="251"/>
      <c r="I188" s="251"/>
      <c r="J188" s="251"/>
    </row>
    <row r="189" spans="1:10" s="44" customFormat="1" ht="12.75" customHeight="1">
      <c r="A189" s="1407">
        <v>9</v>
      </c>
      <c r="B189" s="895" t="s">
        <v>662</v>
      </c>
      <c r="C189" s="865"/>
      <c r="D189" s="866"/>
      <c r="E189" s="867"/>
      <c r="F189" s="1345">
        <f t="shared" si="3"/>
        <v>0</v>
      </c>
      <c r="G189" s="251"/>
      <c r="H189" s="251"/>
      <c r="I189" s="251"/>
      <c r="J189" s="251"/>
    </row>
    <row r="190" spans="1:10" s="44" customFormat="1" ht="12.75" customHeight="1">
      <c r="A190" s="881">
        <v>9.1</v>
      </c>
      <c r="B190" s="904" t="s">
        <v>663</v>
      </c>
      <c r="C190" s="865"/>
      <c r="D190" s="866"/>
      <c r="E190" s="867"/>
      <c r="F190" s="1345">
        <f t="shared" si="3"/>
        <v>0</v>
      </c>
      <c r="G190" s="251"/>
      <c r="H190" s="251"/>
      <c r="I190" s="251"/>
      <c r="J190" s="251"/>
    </row>
    <row r="191" spans="1:10" s="656" customFormat="1" ht="12.75" customHeight="1">
      <c r="A191" s="868" t="s">
        <v>541</v>
      </c>
      <c r="B191" s="1389" t="s">
        <v>664</v>
      </c>
      <c r="C191" s="865">
        <v>0.61</v>
      </c>
      <c r="D191" s="866" t="s">
        <v>2</v>
      </c>
      <c r="E191" s="867" t="e">
        <f>+'ANALISIS PTAP'!F368</f>
        <v>#REF!</v>
      </c>
      <c r="F191" s="1345" t="e">
        <f t="shared" si="3"/>
        <v>#REF!</v>
      </c>
      <c r="G191" s="251"/>
      <c r="H191" s="251"/>
      <c r="I191" s="251"/>
      <c r="J191" s="251"/>
    </row>
    <row r="192" spans="1:10" s="656" customFormat="1" ht="12.75" customHeight="1">
      <c r="A192" s="868" t="s">
        <v>542</v>
      </c>
      <c r="B192" s="1389" t="s">
        <v>613</v>
      </c>
      <c r="C192" s="865">
        <v>0.19</v>
      </c>
      <c r="D192" s="866" t="s">
        <v>2</v>
      </c>
      <c r="E192" s="867" t="e">
        <f>+'ANALISIS PTAP'!F374</f>
        <v>#REF!</v>
      </c>
      <c r="F192" s="1345" t="e">
        <f t="shared" si="3"/>
        <v>#REF!</v>
      </c>
      <c r="G192" s="251"/>
      <c r="H192" s="251"/>
      <c r="I192" s="251"/>
      <c r="J192" s="251"/>
    </row>
    <row r="193" spans="1:10" s="656" customFormat="1" ht="12.75" customHeight="1">
      <c r="A193" s="881"/>
      <c r="B193" s="882"/>
      <c r="C193" s="865"/>
      <c r="D193" s="866"/>
      <c r="E193" s="867"/>
      <c r="F193" s="1345">
        <f t="shared" si="3"/>
        <v>0</v>
      </c>
      <c r="G193" s="251"/>
      <c r="H193" s="251"/>
      <c r="I193" s="251"/>
      <c r="J193" s="251"/>
    </row>
    <row r="194" spans="1:10" s="656" customFormat="1" ht="12.75" customHeight="1">
      <c r="A194" s="881">
        <v>9.1999999999999993</v>
      </c>
      <c r="B194" s="882" t="s">
        <v>665</v>
      </c>
      <c r="C194" s="865"/>
      <c r="D194" s="866"/>
      <c r="E194" s="867"/>
      <c r="F194" s="1345">
        <f t="shared" si="3"/>
        <v>0</v>
      </c>
      <c r="G194" s="251"/>
      <c r="H194" s="251"/>
      <c r="I194" s="251"/>
      <c r="J194" s="251"/>
    </row>
    <row r="195" spans="1:10" s="656" customFormat="1" ht="12.75" customHeight="1">
      <c r="A195" s="868" t="s">
        <v>543</v>
      </c>
      <c r="B195" s="1389" t="s">
        <v>260</v>
      </c>
      <c r="C195" s="865">
        <v>4.25</v>
      </c>
      <c r="D195" s="905" t="s">
        <v>11</v>
      </c>
      <c r="E195" s="867" t="e">
        <f>+E175</f>
        <v>#REF!</v>
      </c>
      <c r="F195" s="1345" t="e">
        <f t="shared" si="3"/>
        <v>#REF!</v>
      </c>
      <c r="G195" s="251"/>
      <c r="H195" s="251"/>
      <c r="I195" s="251"/>
      <c r="J195" s="251"/>
    </row>
    <row r="196" spans="1:10" s="656" customFormat="1" ht="12.75" customHeight="1">
      <c r="A196" s="868" t="s">
        <v>544</v>
      </c>
      <c r="B196" s="1389" t="s">
        <v>165</v>
      </c>
      <c r="C196" s="865">
        <v>15.12</v>
      </c>
      <c r="D196" s="905" t="s">
        <v>11</v>
      </c>
      <c r="E196" s="867" t="e">
        <f>+E176</f>
        <v>#REF!</v>
      </c>
      <c r="F196" s="1345" t="e">
        <f t="shared" si="3"/>
        <v>#REF!</v>
      </c>
      <c r="G196" s="251"/>
      <c r="H196" s="251"/>
      <c r="I196" s="251"/>
      <c r="J196" s="251"/>
    </row>
    <row r="197" spans="1:10" s="656" customFormat="1" ht="12.75" customHeight="1">
      <c r="A197" s="868" t="s">
        <v>545</v>
      </c>
      <c r="B197" s="1389" t="s">
        <v>177</v>
      </c>
      <c r="C197" s="865">
        <v>13.64</v>
      </c>
      <c r="D197" s="905" t="s">
        <v>1</v>
      </c>
      <c r="E197" s="867" t="e">
        <f>+E177</f>
        <v>#REF!</v>
      </c>
      <c r="F197" s="1345" t="e">
        <f t="shared" si="3"/>
        <v>#REF!</v>
      </c>
      <c r="G197" s="251"/>
      <c r="H197" s="251"/>
      <c r="I197" s="251"/>
      <c r="J197" s="251"/>
    </row>
    <row r="198" spans="1:10" s="656" customFormat="1" ht="12.75" customHeight="1">
      <c r="A198" s="868"/>
      <c r="B198" s="869"/>
      <c r="C198" s="865"/>
      <c r="D198" s="866"/>
      <c r="E198" s="867"/>
      <c r="F198" s="1345">
        <f t="shared" si="3"/>
        <v>0</v>
      </c>
      <c r="G198" s="251"/>
      <c r="H198" s="251"/>
      <c r="I198" s="251"/>
      <c r="J198" s="251"/>
    </row>
    <row r="199" spans="1:10" s="656" customFormat="1" ht="12.75" customHeight="1">
      <c r="A199" s="1406">
        <v>10</v>
      </c>
      <c r="B199" s="882" t="s">
        <v>666</v>
      </c>
      <c r="C199" s="865"/>
      <c r="D199" s="866"/>
      <c r="E199" s="867"/>
      <c r="F199" s="1345">
        <f t="shared" si="3"/>
        <v>0</v>
      </c>
      <c r="G199" s="251"/>
      <c r="H199" s="251"/>
      <c r="I199" s="251"/>
      <c r="J199" s="251"/>
    </row>
    <row r="200" spans="1:10" s="656" customFormat="1" ht="12.75" customHeight="1">
      <c r="A200" s="881">
        <v>10.1</v>
      </c>
      <c r="B200" s="882" t="s">
        <v>663</v>
      </c>
      <c r="C200" s="865"/>
      <c r="D200" s="866"/>
      <c r="E200" s="867"/>
      <c r="F200" s="1345">
        <f t="shared" si="3"/>
        <v>0</v>
      </c>
      <c r="G200" s="251"/>
      <c r="H200" s="251"/>
      <c r="I200" s="251"/>
      <c r="J200" s="251"/>
    </row>
    <row r="201" spans="1:10" s="656" customFormat="1" ht="12.75" customHeight="1">
      <c r="A201" s="868" t="s">
        <v>667</v>
      </c>
      <c r="B201" s="1389" t="s">
        <v>668</v>
      </c>
      <c r="C201" s="865">
        <v>1.49</v>
      </c>
      <c r="D201" s="866" t="s">
        <v>2</v>
      </c>
      <c r="E201" s="867" t="e">
        <f>+'ANALISIS PTAP'!F381</f>
        <v>#REF!</v>
      </c>
      <c r="F201" s="1345" t="e">
        <f t="shared" si="3"/>
        <v>#REF!</v>
      </c>
      <c r="G201" s="251"/>
      <c r="H201" s="251"/>
      <c r="I201" s="251"/>
      <c r="J201" s="251"/>
    </row>
    <row r="202" spans="1:10" s="656" customFormat="1" ht="12.75" customHeight="1">
      <c r="A202" s="868"/>
      <c r="B202" s="911"/>
      <c r="C202" s="865"/>
      <c r="D202" s="866"/>
      <c r="E202" s="902"/>
      <c r="F202" s="1345">
        <f t="shared" si="3"/>
        <v>0</v>
      </c>
      <c r="G202" s="251"/>
      <c r="H202" s="251"/>
      <c r="I202" s="251"/>
      <c r="J202" s="251"/>
    </row>
    <row r="203" spans="1:10" s="656" customFormat="1" ht="12.75" customHeight="1">
      <c r="A203" s="881">
        <v>10.199999999999999</v>
      </c>
      <c r="B203" s="882" t="s">
        <v>586</v>
      </c>
      <c r="C203" s="865"/>
      <c r="D203" s="866"/>
      <c r="E203" s="867"/>
      <c r="F203" s="1345">
        <f t="shared" si="3"/>
        <v>0</v>
      </c>
      <c r="G203" s="251"/>
      <c r="H203" s="251"/>
      <c r="I203" s="251"/>
      <c r="J203" s="251"/>
    </row>
    <row r="204" spans="1:10" s="656" customFormat="1" ht="12.75" customHeight="1">
      <c r="A204" s="868" t="s">
        <v>669</v>
      </c>
      <c r="B204" s="1389" t="s">
        <v>587</v>
      </c>
      <c r="C204" s="865">
        <v>4.5</v>
      </c>
      <c r="D204" s="866" t="s">
        <v>11</v>
      </c>
      <c r="E204" s="867" t="e">
        <f>+E195</f>
        <v>#REF!</v>
      </c>
      <c r="F204" s="1345" t="e">
        <f t="shared" si="3"/>
        <v>#REF!</v>
      </c>
      <c r="G204" s="251"/>
      <c r="H204" s="251"/>
      <c r="I204" s="251"/>
      <c r="J204" s="251"/>
    </row>
    <row r="205" spans="1:10" s="656" customFormat="1" ht="12.75" customHeight="1">
      <c r="A205" s="868" t="s">
        <v>670</v>
      </c>
      <c r="B205" s="1389" t="s">
        <v>165</v>
      </c>
      <c r="C205" s="865">
        <v>18.71</v>
      </c>
      <c r="D205" s="866" t="s">
        <v>11</v>
      </c>
      <c r="E205" s="867" t="e">
        <f>+E196</f>
        <v>#REF!</v>
      </c>
      <c r="F205" s="1345" t="e">
        <f t="shared" si="3"/>
        <v>#REF!</v>
      </c>
      <c r="G205" s="251"/>
      <c r="H205" s="251"/>
      <c r="I205" s="251"/>
      <c r="J205" s="251"/>
    </row>
    <row r="206" spans="1:10" s="656" customFormat="1" ht="12.75" customHeight="1">
      <c r="A206" s="892"/>
      <c r="B206" s="891"/>
      <c r="C206" s="865"/>
      <c r="D206" s="866"/>
      <c r="E206" s="867"/>
      <c r="F206" s="1345">
        <f t="shared" si="3"/>
        <v>0</v>
      </c>
      <c r="G206" s="251"/>
      <c r="H206" s="251"/>
      <c r="I206" s="251"/>
      <c r="J206" s="251"/>
    </row>
    <row r="207" spans="1:10" s="656" customFormat="1" ht="12.75" customHeight="1">
      <c r="A207" s="1406">
        <v>11</v>
      </c>
      <c r="B207" s="882" t="s">
        <v>671</v>
      </c>
      <c r="C207" s="865"/>
      <c r="D207" s="866"/>
      <c r="E207" s="867"/>
      <c r="F207" s="1345">
        <f t="shared" si="3"/>
        <v>0</v>
      </c>
      <c r="G207" s="251"/>
      <c r="H207" s="251"/>
      <c r="I207" s="251"/>
      <c r="J207" s="251"/>
    </row>
    <row r="208" spans="1:10" s="656" customFormat="1" ht="12.75" customHeight="1">
      <c r="A208" s="868">
        <v>11.1</v>
      </c>
      <c r="B208" s="1389" t="s">
        <v>629</v>
      </c>
      <c r="C208" s="865">
        <v>2.2999999999999998</v>
      </c>
      <c r="D208" s="866" t="s">
        <v>2</v>
      </c>
      <c r="E208" s="867" t="e">
        <f>+'ANALISIS PTAP'!F388</f>
        <v>#REF!</v>
      </c>
      <c r="F208" s="1345" t="e">
        <f t="shared" si="3"/>
        <v>#REF!</v>
      </c>
      <c r="G208" s="251"/>
      <c r="H208" s="251"/>
      <c r="I208" s="251"/>
      <c r="J208" s="251"/>
    </row>
    <row r="209" spans="1:10" s="656" customFormat="1" ht="12.75" customHeight="1">
      <c r="A209" s="881"/>
      <c r="B209" s="882"/>
      <c r="C209" s="865"/>
      <c r="D209" s="866"/>
      <c r="E209" s="867"/>
      <c r="F209" s="1345">
        <f t="shared" si="3"/>
        <v>0</v>
      </c>
      <c r="G209" s="251"/>
      <c r="H209" s="251"/>
      <c r="I209" s="251"/>
      <c r="J209" s="251"/>
    </row>
    <row r="210" spans="1:10" s="656" customFormat="1" ht="12.75" customHeight="1">
      <c r="A210" s="881">
        <v>11.2</v>
      </c>
      <c r="B210" s="882" t="s">
        <v>586</v>
      </c>
      <c r="C210" s="865"/>
      <c r="D210" s="866"/>
      <c r="E210" s="867"/>
      <c r="F210" s="1345">
        <f t="shared" si="3"/>
        <v>0</v>
      </c>
      <c r="G210" s="251"/>
      <c r="H210" s="251"/>
      <c r="I210" s="251"/>
      <c r="J210" s="251"/>
    </row>
    <row r="211" spans="1:10" s="656" customFormat="1" ht="12.75" customHeight="1">
      <c r="A211" s="868" t="s">
        <v>491</v>
      </c>
      <c r="B211" s="1389" t="s">
        <v>260</v>
      </c>
      <c r="C211" s="865">
        <v>15.36</v>
      </c>
      <c r="D211" s="866" t="s">
        <v>11</v>
      </c>
      <c r="E211" s="867" t="e">
        <f>+E195</f>
        <v>#REF!</v>
      </c>
      <c r="F211" s="1345" t="e">
        <f t="shared" si="3"/>
        <v>#REF!</v>
      </c>
      <c r="G211" s="251"/>
      <c r="H211" s="251"/>
      <c r="I211" s="251"/>
      <c r="J211" s="251"/>
    </row>
    <row r="212" spans="1:10" s="656" customFormat="1" ht="12.75" customHeight="1">
      <c r="A212" s="868" t="s">
        <v>492</v>
      </c>
      <c r="B212" s="1389" t="s">
        <v>165</v>
      </c>
      <c r="C212" s="865">
        <v>73.44</v>
      </c>
      <c r="D212" s="866" t="s">
        <v>11</v>
      </c>
      <c r="E212" s="867" t="e">
        <f>+E196</f>
        <v>#REF!</v>
      </c>
      <c r="F212" s="1345" t="e">
        <f t="shared" si="3"/>
        <v>#REF!</v>
      </c>
      <c r="G212" s="251"/>
      <c r="H212" s="251"/>
      <c r="I212" s="251"/>
      <c r="J212" s="251"/>
    </row>
    <row r="213" spans="1:10" s="656" customFormat="1" ht="12.75" customHeight="1">
      <c r="A213" s="868" t="s">
        <v>672</v>
      </c>
      <c r="B213" s="1389" t="s">
        <v>177</v>
      </c>
      <c r="C213" s="865">
        <v>7.46</v>
      </c>
      <c r="D213" s="905" t="s">
        <v>1</v>
      </c>
      <c r="E213" s="867" t="e">
        <f>+E197</f>
        <v>#REF!</v>
      </c>
      <c r="F213" s="1345" t="e">
        <f t="shared" si="3"/>
        <v>#REF!</v>
      </c>
      <c r="G213" s="251"/>
      <c r="H213" s="251"/>
      <c r="I213" s="251"/>
      <c r="J213" s="251"/>
    </row>
    <row r="214" spans="1:10" s="656" customFormat="1" ht="12.75" customHeight="1">
      <c r="A214" s="881"/>
      <c r="B214" s="882"/>
      <c r="C214" s="865"/>
      <c r="D214" s="866"/>
      <c r="E214" s="867"/>
      <c r="F214" s="1345">
        <f t="shared" si="3"/>
        <v>0</v>
      </c>
      <c r="G214" s="251"/>
      <c r="H214" s="251"/>
      <c r="I214" s="251"/>
      <c r="J214" s="251"/>
    </row>
    <row r="215" spans="1:10" s="656" customFormat="1" ht="12.75" customHeight="1">
      <c r="A215" s="1406">
        <v>12</v>
      </c>
      <c r="B215" s="882" t="s">
        <v>673</v>
      </c>
      <c r="C215" s="865"/>
      <c r="D215" s="866"/>
      <c r="E215" s="867"/>
      <c r="F215" s="1345">
        <f t="shared" ref="F215:F278" si="4">+ROUND((E215*C215),2)</f>
        <v>0</v>
      </c>
      <c r="G215" s="251"/>
      <c r="H215" s="251"/>
      <c r="I215" s="251"/>
      <c r="J215" s="251"/>
    </row>
    <row r="216" spans="1:10" s="656" customFormat="1" ht="12.75" customHeight="1">
      <c r="A216" s="881">
        <v>11.1</v>
      </c>
      <c r="B216" s="882" t="s">
        <v>583</v>
      </c>
      <c r="C216" s="865"/>
      <c r="D216" s="866"/>
      <c r="E216" s="867"/>
      <c r="F216" s="1345">
        <f t="shared" si="4"/>
        <v>0</v>
      </c>
      <c r="G216" s="251"/>
      <c r="H216" s="251"/>
      <c r="I216" s="251"/>
      <c r="J216" s="251"/>
    </row>
    <row r="217" spans="1:10" s="656" customFormat="1" ht="12.75" customHeight="1">
      <c r="A217" s="868" t="s">
        <v>488</v>
      </c>
      <c r="B217" s="1388" t="s">
        <v>674</v>
      </c>
      <c r="C217" s="865">
        <v>14.26</v>
      </c>
      <c r="D217" s="866" t="s">
        <v>2</v>
      </c>
      <c r="E217" s="867" t="e">
        <f>+'ANALISIS PTAP'!F395</f>
        <v>#REF!</v>
      </c>
      <c r="F217" s="1345" t="e">
        <f t="shared" si="4"/>
        <v>#REF!</v>
      </c>
      <c r="G217" s="251"/>
      <c r="H217" s="251"/>
      <c r="I217" s="251"/>
      <c r="J217" s="251"/>
    </row>
    <row r="218" spans="1:10" s="656" customFormat="1" ht="12.75" customHeight="1">
      <c r="A218" s="868" t="s">
        <v>489</v>
      </c>
      <c r="B218" s="1389" t="s">
        <v>675</v>
      </c>
      <c r="C218" s="865">
        <v>36.79</v>
      </c>
      <c r="D218" s="866" t="s">
        <v>2</v>
      </c>
      <c r="E218" s="867" t="e">
        <f>+'ANALISIS PTAP'!F401</f>
        <v>#REF!</v>
      </c>
      <c r="F218" s="1345" t="e">
        <f t="shared" si="4"/>
        <v>#REF!</v>
      </c>
      <c r="G218" s="251"/>
      <c r="H218" s="251"/>
      <c r="I218" s="251"/>
      <c r="J218" s="251"/>
    </row>
    <row r="219" spans="1:10" s="656" customFormat="1" ht="12.75" customHeight="1">
      <c r="A219" s="868" t="s">
        <v>612</v>
      </c>
      <c r="B219" s="1389" t="s">
        <v>613</v>
      </c>
      <c r="C219" s="865">
        <v>48.19</v>
      </c>
      <c r="D219" s="866" t="s">
        <v>2</v>
      </c>
      <c r="E219" s="867" t="e">
        <f>+'ANALISIS PTAP'!F407</f>
        <v>#REF!</v>
      </c>
      <c r="F219" s="1345" t="e">
        <f t="shared" si="4"/>
        <v>#REF!</v>
      </c>
      <c r="G219" s="251"/>
      <c r="H219" s="251"/>
      <c r="I219" s="251"/>
      <c r="J219" s="251"/>
    </row>
    <row r="220" spans="1:10" s="656" customFormat="1" ht="12.75" customHeight="1">
      <c r="A220" s="868" t="s">
        <v>490</v>
      </c>
      <c r="B220" s="1388" t="s">
        <v>676</v>
      </c>
      <c r="C220" s="865">
        <v>2.34</v>
      </c>
      <c r="D220" s="866" t="s">
        <v>2</v>
      </c>
      <c r="E220" s="867" t="e">
        <f>+'ANALISIS PTAP'!F413</f>
        <v>#REF!</v>
      </c>
      <c r="F220" s="1345" t="e">
        <f t="shared" si="4"/>
        <v>#REF!</v>
      </c>
      <c r="G220" s="251"/>
      <c r="H220" s="251"/>
      <c r="I220" s="251"/>
      <c r="J220" s="251"/>
    </row>
    <row r="221" spans="1:10" s="656" customFormat="1" ht="12.75" customHeight="1">
      <c r="A221" s="868"/>
      <c r="B221" s="869"/>
      <c r="C221" s="865"/>
      <c r="D221" s="866"/>
      <c r="E221" s="867"/>
      <c r="F221" s="1345">
        <f t="shared" si="4"/>
        <v>0</v>
      </c>
      <c r="G221" s="251"/>
      <c r="H221" s="251"/>
      <c r="I221" s="251"/>
      <c r="J221" s="251"/>
    </row>
    <row r="222" spans="1:10" s="656" customFormat="1" ht="12.75" customHeight="1">
      <c r="A222" s="881">
        <v>11.2</v>
      </c>
      <c r="B222" s="882" t="s">
        <v>586</v>
      </c>
      <c r="C222" s="865"/>
      <c r="D222" s="866"/>
      <c r="E222" s="867"/>
      <c r="F222" s="1345">
        <f t="shared" si="4"/>
        <v>0</v>
      </c>
      <c r="G222" s="251"/>
      <c r="H222" s="251"/>
      <c r="I222" s="251"/>
      <c r="J222" s="251"/>
    </row>
    <row r="223" spans="1:10" s="656" customFormat="1" ht="12.75" customHeight="1">
      <c r="A223" s="868" t="s">
        <v>491</v>
      </c>
      <c r="B223" s="1389" t="s">
        <v>587</v>
      </c>
      <c r="C223" s="865">
        <v>21.06</v>
      </c>
      <c r="D223" s="866" t="s">
        <v>11</v>
      </c>
      <c r="E223" s="867" t="e">
        <f>+E211</f>
        <v>#REF!</v>
      </c>
      <c r="F223" s="1345" t="e">
        <f t="shared" si="4"/>
        <v>#REF!</v>
      </c>
      <c r="G223" s="251"/>
      <c r="H223" s="251"/>
      <c r="I223" s="251"/>
      <c r="J223" s="251"/>
    </row>
    <row r="224" spans="1:10" s="656" customFormat="1" ht="12.75" customHeight="1">
      <c r="A224" s="868" t="s">
        <v>492</v>
      </c>
      <c r="B224" s="1390" t="s">
        <v>165</v>
      </c>
      <c r="C224" s="865">
        <v>181.86</v>
      </c>
      <c r="D224" s="866" t="s">
        <v>11</v>
      </c>
      <c r="E224" s="867" t="e">
        <f>+E212</f>
        <v>#REF!</v>
      </c>
      <c r="F224" s="1345" t="e">
        <f t="shared" si="4"/>
        <v>#REF!</v>
      </c>
      <c r="G224" s="251"/>
      <c r="H224" s="251"/>
      <c r="I224" s="251"/>
      <c r="J224" s="251"/>
    </row>
    <row r="225" spans="1:10" s="656" customFormat="1" ht="12.75" customHeight="1">
      <c r="A225" s="868" t="s">
        <v>672</v>
      </c>
      <c r="B225" s="1390" t="s">
        <v>177</v>
      </c>
      <c r="C225" s="865">
        <v>116.41</v>
      </c>
      <c r="D225" s="866" t="s">
        <v>13</v>
      </c>
      <c r="E225" s="867" t="e">
        <f>+E213</f>
        <v>#REF!</v>
      </c>
      <c r="F225" s="1345" t="e">
        <f t="shared" si="4"/>
        <v>#REF!</v>
      </c>
      <c r="G225" s="251"/>
      <c r="H225" s="251"/>
      <c r="I225" s="251"/>
      <c r="J225" s="251"/>
    </row>
    <row r="226" spans="1:10" s="656" customFormat="1" ht="12.75" customHeight="1">
      <c r="A226" s="881"/>
      <c r="B226" s="882"/>
      <c r="C226" s="865"/>
      <c r="D226" s="866"/>
      <c r="E226" s="867"/>
      <c r="F226" s="1345">
        <f t="shared" si="4"/>
        <v>0</v>
      </c>
      <c r="G226" s="251"/>
      <c r="H226" s="251"/>
      <c r="I226" s="251"/>
      <c r="J226" s="251"/>
    </row>
    <row r="227" spans="1:10" s="656" customFormat="1" ht="12.75" customHeight="1">
      <c r="A227" s="868">
        <v>11.4</v>
      </c>
      <c r="B227" s="1389" t="s">
        <v>677</v>
      </c>
      <c r="C227" s="865">
        <v>0.45</v>
      </c>
      <c r="D227" s="866" t="s">
        <v>2</v>
      </c>
      <c r="E227" s="867" t="e">
        <f>+E140</f>
        <v>#REF!</v>
      </c>
      <c r="F227" s="1345" t="e">
        <f t="shared" si="4"/>
        <v>#REF!</v>
      </c>
      <c r="G227" s="251"/>
      <c r="H227" s="251"/>
      <c r="I227" s="251"/>
      <c r="J227" s="251"/>
    </row>
    <row r="228" spans="1:10" s="656" customFormat="1" ht="12.75" customHeight="1">
      <c r="A228" s="868"/>
      <c r="B228" s="869"/>
      <c r="C228" s="865"/>
      <c r="D228" s="866"/>
      <c r="E228" s="867"/>
      <c r="F228" s="1345">
        <f t="shared" si="4"/>
        <v>0</v>
      </c>
      <c r="G228" s="251"/>
      <c r="H228" s="251"/>
      <c r="I228" s="251"/>
      <c r="J228" s="251"/>
    </row>
    <row r="229" spans="1:10" s="656" customFormat="1" ht="12.75" customHeight="1">
      <c r="A229" s="881">
        <v>11.5</v>
      </c>
      <c r="B229" s="883" t="s">
        <v>678</v>
      </c>
      <c r="C229" s="865"/>
      <c r="D229" s="866"/>
      <c r="E229" s="867"/>
      <c r="F229" s="1345">
        <f t="shared" si="4"/>
        <v>0</v>
      </c>
      <c r="G229" s="251"/>
      <c r="H229" s="251"/>
      <c r="I229" s="251"/>
      <c r="J229" s="251"/>
    </row>
    <row r="230" spans="1:10" s="656" customFormat="1" ht="12.75" customHeight="1">
      <c r="A230" s="881" t="s">
        <v>679</v>
      </c>
      <c r="B230" s="883" t="s">
        <v>583</v>
      </c>
      <c r="C230" s="865"/>
      <c r="D230" s="866"/>
      <c r="E230" s="867"/>
      <c r="F230" s="1345">
        <f t="shared" si="4"/>
        <v>0</v>
      </c>
      <c r="G230" s="251"/>
      <c r="H230" s="251"/>
      <c r="I230" s="251"/>
      <c r="J230" s="251"/>
    </row>
    <row r="231" spans="1:10" s="656" customFormat="1" ht="12.75" customHeight="1">
      <c r="A231" s="868" t="s">
        <v>680</v>
      </c>
      <c r="B231" s="1389" t="s">
        <v>681</v>
      </c>
      <c r="C231" s="865">
        <v>0.65</v>
      </c>
      <c r="D231" s="866" t="s">
        <v>2</v>
      </c>
      <c r="E231" s="867" t="e">
        <f>+'ANALISIS PTAP'!F420</f>
        <v>#REF!</v>
      </c>
      <c r="F231" s="1345" t="e">
        <f t="shared" si="4"/>
        <v>#REF!</v>
      </c>
      <c r="G231" s="251"/>
      <c r="H231" s="251"/>
      <c r="I231" s="251"/>
      <c r="J231" s="251"/>
    </row>
    <row r="232" spans="1:10" s="656" customFormat="1" ht="12.75" customHeight="1">
      <c r="A232" s="868" t="s">
        <v>682</v>
      </c>
      <c r="B232" s="1389" t="s">
        <v>683</v>
      </c>
      <c r="C232" s="865">
        <v>0.86</v>
      </c>
      <c r="D232" s="866" t="s">
        <v>2</v>
      </c>
      <c r="E232" s="867" t="e">
        <f>+'ANALISIS PTAP'!F426</f>
        <v>#REF!</v>
      </c>
      <c r="F232" s="1345" t="e">
        <f t="shared" si="4"/>
        <v>#REF!</v>
      </c>
      <c r="G232" s="251"/>
      <c r="H232" s="251"/>
      <c r="I232" s="251"/>
      <c r="J232" s="251"/>
    </row>
    <row r="233" spans="1:10" s="656" customFormat="1" ht="12.75" customHeight="1">
      <c r="A233" s="868"/>
      <c r="B233" s="869"/>
      <c r="C233" s="865"/>
      <c r="D233" s="866"/>
      <c r="E233" s="867"/>
      <c r="F233" s="1345">
        <f t="shared" si="4"/>
        <v>0</v>
      </c>
      <c r="G233" s="251"/>
      <c r="H233" s="251"/>
      <c r="I233" s="251"/>
      <c r="J233" s="251"/>
    </row>
    <row r="234" spans="1:10" s="656" customFormat="1" ht="12.75" customHeight="1">
      <c r="A234" s="881" t="s">
        <v>684</v>
      </c>
      <c r="B234" s="882" t="s">
        <v>586</v>
      </c>
      <c r="C234" s="865"/>
      <c r="D234" s="866"/>
      <c r="E234" s="867"/>
      <c r="F234" s="1345">
        <f t="shared" si="4"/>
        <v>0</v>
      </c>
      <c r="G234" s="251"/>
      <c r="H234" s="251"/>
      <c r="I234" s="251"/>
      <c r="J234" s="251"/>
    </row>
    <row r="235" spans="1:10" s="656" customFormat="1" ht="12.75" customHeight="1">
      <c r="A235" s="868" t="s">
        <v>685</v>
      </c>
      <c r="B235" s="1389" t="s">
        <v>587</v>
      </c>
      <c r="C235" s="865">
        <v>4.3600000000000003</v>
      </c>
      <c r="D235" s="866" t="s">
        <v>11</v>
      </c>
      <c r="E235" s="867" t="e">
        <f>+E223</f>
        <v>#REF!</v>
      </c>
      <c r="F235" s="1345" t="e">
        <f t="shared" si="4"/>
        <v>#REF!</v>
      </c>
      <c r="G235" s="251"/>
      <c r="H235" s="251"/>
      <c r="I235" s="251"/>
      <c r="J235" s="251"/>
    </row>
    <row r="236" spans="1:10" s="656" customFormat="1" ht="12.75" customHeight="1">
      <c r="A236" s="868" t="s">
        <v>686</v>
      </c>
      <c r="B236" s="1389" t="s">
        <v>165</v>
      </c>
      <c r="C236" s="865">
        <v>23.76</v>
      </c>
      <c r="D236" s="866" t="s">
        <v>11</v>
      </c>
      <c r="E236" s="867" t="e">
        <f>+E224</f>
        <v>#REF!</v>
      </c>
      <c r="F236" s="1345" t="e">
        <f t="shared" si="4"/>
        <v>#REF!</v>
      </c>
      <c r="G236" s="251"/>
      <c r="H236" s="251"/>
      <c r="I236" s="251"/>
      <c r="J236" s="251"/>
    </row>
    <row r="237" spans="1:10" s="656" customFormat="1" ht="12.75" customHeight="1">
      <c r="A237" s="868" t="s">
        <v>687</v>
      </c>
      <c r="B237" s="1389" t="s">
        <v>177</v>
      </c>
      <c r="C237" s="865">
        <v>11.4</v>
      </c>
      <c r="D237" s="866" t="s">
        <v>1</v>
      </c>
      <c r="E237" s="867" t="e">
        <f>+E225</f>
        <v>#REF!</v>
      </c>
      <c r="F237" s="1345" t="e">
        <f t="shared" si="4"/>
        <v>#REF!</v>
      </c>
      <c r="G237" s="251"/>
      <c r="H237" s="251"/>
      <c r="I237" s="251"/>
      <c r="J237" s="251"/>
    </row>
    <row r="238" spans="1:10" s="656" customFormat="1" ht="12.75" customHeight="1">
      <c r="A238" s="868"/>
      <c r="B238" s="869"/>
      <c r="C238" s="865"/>
      <c r="D238" s="866"/>
      <c r="E238" s="867"/>
      <c r="F238" s="1345">
        <f t="shared" si="4"/>
        <v>0</v>
      </c>
      <c r="G238" s="251"/>
      <c r="H238" s="251"/>
      <c r="I238" s="251"/>
      <c r="J238" s="251"/>
    </row>
    <row r="239" spans="1:10" s="656" customFormat="1" ht="25.5" customHeight="1">
      <c r="A239" s="893">
        <v>11.6</v>
      </c>
      <c r="B239" s="891" t="s">
        <v>688</v>
      </c>
      <c r="C239" s="865">
        <v>1</v>
      </c>
      <c r="D239" s="866" t="s">
        <v>689</v>
      </c>
      <c r="E239" s="867">
        <v>950000</v>
      </c>
      <c r="F239" s="1345">
        <f t="shared" si="4"/>
        <v>950000</v>
      </c>
      <c r="G239" s="251"/>
      <c r="H239" s="251"/>
      <c r="I239" s="251"/>
      <c r="J239" s="251"/>
    </row>
    <row r="240" spans="1:10" s="656" customFormat="1" ht="12.75" customHeight="1">
      <c r="A240" s="881"/>
      <c r="B240" s="882"/>
      <c r="C240" s="865"/>
      <c r="D240" s="866"/>
      <c r="E240" s="867"/>
      <c r="F240" s="1345">
        <f t="shared" si="4"/>
        <v>0</v>
      </c>
      <c r="G240" s="251"/>
      <c r="H240" s="251"/>
      <c r="I240" s="251"/>
      <c r="J240" s="251"/>
    </row>
    <row r="241" spans="1:10" s="656" customFormat="1" ht="12.75" customHeight="1">
      <c r="A241" s="881">
        <v>11.7</v>
      </c>
      <c r="B241" s="882" t="s">
        <v>690</v>
      </c>
      <c r="C241" s="865"/>
      <c r="D241" s="866"/>
      <c r="E241" s="867"/>
      <c r="F241" s="1345">
        <f t="shared" si="4"/>
        <v>0</v>
      </c>
      <c r="G241" s="251"/>
      <c r="H241" s="251"/>
      <c r="I241" s="251"/>
      <c r="J241" s="251"/>
    </row>
    <row r="242" spans="1:10" s="656" customFormat="1" ht="12.75" customHeight="1">
      <c r="A242" s="868" t="s">
        <v>691</v>
      </c>
      <c r="B242" s="869" t="s">
        <v>692</v>
      </c>
      <c r="C242" s="865">
        <v>12</v>
      </c>
      <c r="D242" s="866" t="s">
        <v>2</v>
      </c>
      <c r="E242" s="867">
        <v>8964.48</v>
      </c>
      <c r="F242" s="1345">
        <f t="shared" si="4"/>
        <v>107573.75999999999</v>
      </c>
      <c r="G242" s="251"/>
      <c r="H242" s="251"/>
      <c r="I242" s="251"/>
      <c r="J242" s="251"/>
    </row>
    <row r="243" spans="1:10" s="656" customFormat="1" ht="12.75" customHeight="1">
      <c r="A243" s="868" t="s">
        <v>693</v>
      </c>
      <c r="B243" s="869" t="s">
        <v>694</v>
      </c>
      <c r="C243" s="865">
        <f>+C242</f>
        <v>12</v>
      </c>
      <c r="D243" s="866" t="s">
        <v>2</v>
      </c>
      <c r="E243" s="867">
        <v>605</v>
      </c>
      <c r="F243" s="1345">
        <f t="shared" si="4"/>
        <v>7260</v>
      </c>
      <c r="G243" s="251"/>
      <c r="H243" s="251"/>
      <c r="I243" s="251"/>
      <c r="J243" s="251"/>
    </row>
    <row r="244" spans="1:10" s="656" customFormat="1" ht="12.75" customHeight="1">
      <c r="A244" s="868" t="s">
        <v>695</v>
      </c>
      <c r="B244" s="869" t="s">
        <v>696</v>
      </c>
      <c r="C244" s="865">
        <f>+C243</f>
        <v>12</v>
      </c>
      <c r="D244" s="866" t="s">
        <v>2</v>
      </c>
      <c r="E244" s="867">
        <v>550</v>
      </c>
      <c r="F244" s="1345">
        <f t="shared" si="4"/>
        <v>6600</v>
      </c>
      <c r="G244" s="251"/>
      <c r="H244" s="251"/>
      <c r="I244" s="251"/>
      <c r="J244" s="251"/>
    </row>
    <row r="245" spans="1:10" s="656" customFormat="1" ht="12.75" customHeight="1">
      <c r="A245" s="868"/>
      <c r="B245" s="869"/>
      <c r="C245" s="865"/>
      <c r="D245" s="866"/>
      <c r="E245" s="867"/>
      <c r="F245" s="1345">
        <f t="shared" si="4"/>
        <v>0</v>
      </c>
      <c r="G245" s="251"/>
      <c r="H245" s="251"/>
      <c r="I245" s="251"/>
      <c r="J245" s="251"/>
    </row>
    <row r="246" spans="1:10" s="656" customFormat="1" ht="12.75" customHeight="1">
      <c r="A246" s="881">
        <v>11.8</v>
      </c>
      <c r="B246" s="882" t="s">
        <v>697</v>
      </c>
      <c r="C246" s="865"/>
      <c r="D246" s="866"/>
      <c r="E246" s="867"/>
      <c r="F246" s="1345">
        <f t="shared" si="4"/>
        <v>0</v>
      </c>
      <c r="G246" s="251"/>
      <c r="H246" s="251"/>
      <c r="I246" s="251"/>
      <c r="J246" s="251"/>
    </row>
    <row r="247" spans="1:10" s="656" customFormat="1" ht="25.5" customHeight="1">
      <c r="A247" s="892" t="s">
        <v>698</v>
      </c>
      <c r="B247" s="891" t="s">
        <v>699</v>
      </c>
      <c r="C247" s="865">
        <v>6</v>
      </c>
      <c r="D247" s="866" t="s">
        <v>3</v>
      </c>
      <c r="E247" s="867">
        <v>27888.89</v>
      </c>
      <c r="F247" s="1345">
        <f t="shared" si="4"/>
        <v>167333.34</v>
      </c>
      <c r="G247" s="251"/>
      <c r="H247" s="251"/>
      <c r="I247" s="251"/>
      <c r="J247" s="251"/>
    </row>
    <row r="248" spans="1:10" s="656" customFormat="1" ht="25.5" customHeight="1">
      <c r="A248" s="892" t="s">
        <v>700</v>
      </c>
      <c r="B248" s="891" t="s">
        <v>701</v>
      </c>
      <c r="C248" s="865">
        <v>6</v>
      </c>
      <c r="D248" s="866" t="s">
        <v>3</v>
      </c>
      <c r="E248" s="867">
        <v>27888.89</v>
      </c>
      <c r="F248" s="1345">
        <f t="shared" si="4"/>
        <v>167333.34</v>
      </c>
      <c r="G248" s="251"/>
      <c r="H248" s="251"/>
      <c r="I248" s="251"/>
      <c r="J248" s="251"/>
    </row>
    <row r="249" spans="1:10" s="656" customFormat="1" ht="12.75" customHeight="1">
      <c r="A249" s="892" t="s">
        <v>702</v>
      </c>
      <c r="B249" s="891" t="s">
        <v>703</v>
      </c>
      <c r="C249" s="865">
        <v>6</v>
      </c>
      <c r="D249" s="866" t="s">
        <v>3</v>
      </c>
      <c r="E249" s="867">
        <v>27888.89</v>
      </c>
      <c r="F249" s="1345">
        <f t="shared" si="4"/>
        <v>167333.34</v>
      </c>
      <c r="G249" s="251"/>
      <c r="H249" s="251"/>
      <c r="I249" s="251"/>
      <c r="J249" s="251"/>
    </row>
    <row r="250" spans="1:10" s="656" customFormat="1" ht="25.5" customHeight="1">
      <c r="A250" s="892" t="s">
        <v>704</v>
      </c>
      <c r="B250" s="891" t="s">
        <v>705</v>
      </c>
      <c r="C250" s="865">
        <v>1</v>
      </c>
      <c r="D250" s="866" t="s">
        <v>3</v>
      </c>
      <c r="E250" s="867">
        <v>27888.89</v>
      </c>
      <c r="F250" s="1345">
        <f t="shared" si="4"/>
        <v>27888.89</v>
      </c>
      <c r="G250" s="251"/>
      <c r="H250" s="251"/>
      <c r="I250" s="251"/>
      <c r="J250" s="251"/>
    </row>
    <row r="251" spans="1:10" s="656" customFormat="1" ht="12.75" customHeight="1">
      <c r="A251" s="892" t="s">
        <v>706</v>
      </c>
      <c r="B251" s="899" t="s">
        <v>707</v>
      </c>
      <c r="C251" s="900">
        <v>6</v>
      </c>
      <c r="D251" s="901" t="s">
        <v>3</v>
      </c>
      <c r="E251" s="902">
        <v>62701.49</v>
      </c>
      <c r="F251" s="1345">
        <f t="shared" si="4"/>
        <v>376208.94</v>
      </c>
      <c r="G251" s="1368"/>
      <c r="H251" s="1368"/>
      <c r="I251" s="1368"/>
      <c r="J251" s="1368"/>
    </row>
    <row r="252" spans="1:10" s="656" customFormat="1" ht="12.75" customHeight="1">
      <c r="A252" s="868" t="s">
        <v>708</v>
      </c>
      <c r="B252" s="869" t="s">
        <v>709</v>
      </c>
      <c r="C252" s="865">
        <v>6</v>
      </c>
      <c r="D252" s="866" t="s">
        <v>3</v>
      </c>
      <c r="E252" s="867">
        <v>700</v>
      </c>
      <c r="F252" s="1345">
        <f t="shared" si="4"/>
        <v>4200</v>
      </c>
      <c r="G252" s="251"/>
      <c r="H252" s="251"/>
      <c r="I252" s="251"/>
      <c r="J252" s="251"/>
    </row>
    <row r="253" spans="1:10" s="656" customFormat="1" ht="12.75" customHeight="1">
      <c r="A253" s="868"/>
      <c r="B253" s="869"/>
      <c r="C253" s="865"/>
      <c r="D253" s="866"/>
      <c r="E253" s="867"/>
      <c r="F253" s="1345">
        <f t="shared" si="4"/>
        <v>0</v>
      </c>
      <c r="G253" s="251"/>
      <c r="H253" s="251"/>
      <c r="I253" s="251"/>
      <c r="J253" s="251"/>
    </row>
    <row r="254" spans="1:10" s="656" customFormat="1" ht="12.75" customHeight="1">
      <c r="A254" s="881">
        <v>12</v>
      </c>
      <c r="B254" s="887" t="s">
        <v>710</v>
      </c>
      <c r="C254" s="865"/>
      <c r="D254" s="866"/>
      <c r="E254" s="867"/>
      <c r="F254" s="1345">
        <f t="shared" si="4"/>
        <v>0</v>
      </c>
      <c r="G254" s="251"/>
      <c r="H254" s="251"/>
      <c r="I254" s="251"/>
      <c r="J254" s="251"/>
    </row>
    <row r="255" spans="1:10" s="656" customFormat="1" ht="12.75" customHeight="1">
      <c r="A255" s="868">
        <v>12.1</v>
      </c>
      <c r="B255" s="869" t="s">
        <v>711</v>
      </c>
      <c r="C255" s="865">
        <v>20</v>
      </c>
      <c r="D255" s="866" t="s">
        <v>712</v>
      </c>
      <c r="E255" s="867">
        <v>2454.27</v>
      </c>
      <c r="F255" s="1345">
        <f t="shared" si="4"/>
        <v>49085.4</v>
      </c>
      <c r="G255" s="251"/>
      <c r="H255" s="251"/>
      <c r="I255" s="251"/>
      <c r="J255" s="251"/>
    </row>
    <row r="256" spans="1:10" s="656" customFormat="1" ht="12.75" customHeight="1">
      <c r="A256" s="868">
        <v>12.2</v>
      </c>
      <c r="B256" s="869" t="s">
        <v>713</v>
      </c>
      <c r="C256" s="865">
        <v>1</v>
      </c>
      <c r="D256" s="866" t="s">
        <v>3</v>
      </c>
      <c r="E256" s="912">
        <v>8677.2999999999993</v>
      </c>
      <c r="F256" s="1345">
        <f t="shared" si="4"/>
        <v>8677.2999999999993</v>
      </c>
      <c r="G256" s="251"/>
      <c r="H256" s="251"/>
      <c r="I256" s="251"/>
      <c r="J256" s="251"/>
    </row>
    <row r="257" spans="1:10" s="656" customFormat="1" ht="12.75" customHeight="1">
      <c r="A257" s="868">
        <v>12.3</v>
      </c>
      <c r="B257" s="869" t="s">
        <v>714</v>
      </c>
      <c r="C257" s="865">
        <v>1</v>
      </c>
      <c r="D257" s="866" t="s">
        <v>3</v>
      </c>
      <c r="E257" s="867">
        <v>8700.5</v>
      </c>
      <c r="F257" s="1345">
        <f t="shared" si="4"/>
        <v>8700.5</v>
      </c>
      <c r="G257" s="251"/>
      <c r="H257" s="251"/>
      <c r="I257" s="251"/>
      <c r="J257" s="251"/>
    </row>
    <row r="258" spans="1:10" s="656" customFormat="1" ht="12.75" customHeight="1">
      <c r="A258" s="868"/>
      <c r="B258" s="911"/>
      <c r="C258" s="865"/>
      <c r="D258" s="866"/>
      <c r="E258" s="902"/>
      <c r="F258" s="1345">
        <f t="shared" si="4"/>
        <v>0</v>
      </c>
      <c r="G258" s="251"/>
      <c r="H258" s="251"/>
      <c r="I258" s="251"/>
      <c r="J258" s="251"/>
    </row>
    <row r="259" spans="1:10" s="656" customFormat="1" ht="12.75" customHeight="1">
      <c r="A259" s="1406">
        <v>13</v>
      </c>
      <c r="B259" s="887" t="s">
        <v>715</v>
      </c>
      <c r="C259" s="865"/>
      <c r="D259" s="866"/>
      <c r="E259" s="867"/>
      <c r="F259" s="1345">
        <f t="shared" si="4"/>
        <v>0</v>
      </c>
      <c r="G259" s="251"/>
      <c r="H259" s="251"/>
      <c r="I259" s="251"/>
      <c r="J259" s="251"/>
    </row>
    <row r="260" spans="1:10" s="656" customFormat="1" ht="12.75" customHeight="1">
      <c r="A260" s="881">
        <v>13.1</v>
      </c>
      <c r="B260" s="882" t="s">
        <v>663</v>
      </c>
      <c r="C260" s="865"/>
      <c r="D260" s="866"/>
      <c r="E260" s="867"/>
      <c r="F260" s="1345">
        <f t="shared" si="4"/>
        <v>0</v>
      </c>
      <c r="G260" s="251"/>
      <c r="H260" s="251"/>
      <c r="I260" s="251"/>
      <c r="J260" s="251"/>
    </row>
    <row r="261" spans="1:10" s="656" customFormat="1" ht="12.75" customHeight="1">
      <c r="A261" s="868" t="s">
        <v>716</v>
      </c>
      <c r="B261" s="1389" t="s">
        <v>629</v>
      </c>
      <c r="C261" s="865">
        <v>0.88</v>
      </c>
      <c r="D261" s="866" t="s">
        <v>2</v>
      </c>
      <c r="E261" s="867" t="e">
        <f>+'ANALISIS PTAP'!F433</f>
        <v>#REF!</v>
      </c>
      <c r="F261" s="1345" t="e">
        <f t="shared" si="4"/>
        <v>#REF!</v>
      </c>
      <c r="G261" s="251"/>
      <c r="H261" s="251"/>
      <c r="I261" s="251"/>
      <c r="J261" s="251"/>
    </row>
    <row r="262" spans="1:10" s="656" customFormat="1" ht="12.75" customHeight="1">
      <c r="A262" s="868"/>
      <c r="B262" s="911"/>
      <c r="C262" s="865"/>
      <c r="D262" s="866"/>
      <c r="E262" s="902"/>
      <c r="F262" s="1345">
        <f t="shared" si="4"/>
        <v>0</v>
      </c>
      <c r="G262" s="251"/>
      <c r="H262" s="251"/>
      <c r="I262" s="251"/>
      <c r="J262" s="251"/>
    </row>
    <row r="263" spans="1:10" s="656" customFormat="1" ht="12.75" customHeight="1">
      <c r="A263" s="881">
        <v>13.2</v>
      </c>
      <c r="B263" s="882" t="s">
        <v>586</v>
      </c>
      <c r="C263" s="865"/>
      <c r="D263" s="866"/>
      <c r="E263" s="867"/>
      <c r="F263" s="1345">
        <f t="shared" si="4"/>
        <v>0</v>
      </c>
      <c r="G263" s="251"/>
      <c r="H263" s="251"/>
      <c r="I263" s="251"/>
      <c r="J263" s="251"/>
    </row>
    <row r="264" spans="1:10" s="656" customFormat="1" ht="12.75" customHeight="1">
      <c r="A264" s="868" t="s">
        <v>717</v>
      </c>
      <c r="B264" s="1389" t="s">
        <v>587</v>
      </c>
      <c r="C264" s="865">
        <v>5.85</v>
      </c>
      <c r="D264" s="866" t="s">
        <v>11</v>
      </c>
      <c r="E264" s="867" t="e">
        <f>+E235</f>
        <v>#REF!</v>
      </c>
      <c r="F264" s="1345" t="e">
        <f t="shared" si="4"/>
        <v>#REF!</v>
      </c>
      <c r="G264" s="251"/>
      <c r="H264" s="251"/>
      <c r="I264" s="251"/>
      <c r="J264" s="251"/>
    </row>
    <row r="265" spans="1:10" s="656" customFormat="1" ht="12.75" customHeight="1">
      <c r="A265" s="868" t="s">
        <v>718</v>
      </c>
      <c r="B265" s="1389" t="s">
        <v>165</v>
      </c>
      <c r="C265" s="865">
        <v>5.75</v>
      </c>
      <c r="D265" s="866" t="s">
        <v>11</v>
      </c>
      <c r="E265" s="867" t="e">
        <f>+E236</f>
        <v>#REF!</v>
      </c>
      <c r="F265" s="1345" t="e">
        <f t="shared" si="4"/>
        <v>#REF!</v>
      </c>
      <c r="G265" s="251"/>
      <c r="H265" s="251"/>
      <c r="I265" s="251"/>
      <c r="J265" s="251"/>
    </row>
    <row r="266" spans="1:10" s="656" customFormat="1" ht="12.75" customHeight="1">
      <c r="A266" s="868"/>
      <c r="B266" s="869"/>
      <c r="C266" s="865"/>
      <c r="D266" s="866"/>
      <c r="E266" s="867"/>
      <c r="F266" s="1345">
        <f t="shared" si="4"/>
        <v>0</v>
      </c>
      <c r="G266" s="251"/>
      <c r="H266" s="251"/>
      <c r="I266" s="251"/>
      <c r="J266" s="251"/>
    </row>
    <row r="267" spans="1:10" s="656" customFormat="1" ht="12.75" customHeight="1">
      <c r="A267" s="1406">
        <v>14</v>
      </c>
      <c r="B267" s="883" t="s">
        <v>719</v>
      </c>
      <c r="C267" s="865"/>
      <c r="D267" s="866"/>
      <c r="E267" s="867"/>
      <c r="F267" s="1345">
        <f t="shared" si="4"/>
        <v>0</v>
      </c>
      <c r="G267" s="251"/>
      <c r="H267" s="251"/>
      <c r="I267" s="251"/>
      <c r="J267" s="251"/>
    </row>
    <row r="268" spans="1:10" s="656" customFormat="1" ht="12.75" customHeight="1">
      <c r="A268" s="881">
        <v>14.1</v>
      </c>
      <c r="B268" s="883" t="s">
        <v>583</v>
      </c>
      <c r="C268" s="865"/>
      <c r="D268" s="866"/>
      <c r="E268" s="867"/>
      <c r="F268" s="1345">
        <f t="shared" si="4"/>
        <v>0</v>
      </c>
      <c r="G268" s="251"/>
      <c r="H268" s="251"/>
      <c r="I268" s="251"/>
      <c r="J268" s="251"/>
    </row>
    <row r="269" spans="1:10" s="656" customFormat="1" ht="12.75" customHeight="1">
      <c r="A269" s="868" t="s">
        <v>720</v>
      </c>
      <c r="B269" s="1388" t="s">
        <v>629</v>
      </c>
      <c r="C269" s="865">
        <v>1.45</v>
      </c>
      <c r="D269" s="866" t="s">
        <v>2</v>
      </c>
      <c r="E269" s="867" t="e">
        <f>+'ANALISIS PTAP'!F440</f>
        <v>#REF!</v>
      </c>
      <c r="F269" s="1345" t="e">
        <f t="shared" si="4"/>
        <v>#REF!</v>
      </c>
      <c r="G269" s="251"/>
      <c r="H269" s="251"/>
      <c r="I269" s="251"/>
      <c r="J269" s="251"/>
    </row>
    <row r="270" spans="1:10" s="656" customFormat="1" ht="12.75" customHeight="1">
      <c r="A270" s="868"/>
      <c r="B270" s="869"/>
      <c r="C270" s="865"/>
      <c r="D270" s="866"/>
      <c r="E270" s="867"/>
      <c r="F270" s="1345">
        <f t="shared" si="4"/>
        <v>0</v>
      </c>
      <c r="G270" s="251"/>
      <c r="H270" s="251"/>
      <c r="I270" s="251"/>
      <c r="J270" s="251"/>
    </row>
    <row r="271" spans="1:10" s="656" customFormat="1" ht="12.75" customHeight="1">
      <c r="A271" s="881">
        <v>14.2</v>
      </c>
      <c r="B271" s="882" t="s">
        <v>586</v>
      </c>
      <c r="C271" s="865"/>
      <c r="D271" s="866"/>
      <c r="E271" s="867"/>
      <c r="F271" s="1345">
        <f t="shared" si="4"/>
        <v>0</v>
      </c>
      <c r="G271" s="251"/>
      <c r="H271" s="251"/>
      <c r="I271" s="251"/>
      <c r="J271" s="251"/>
    </row>
    <row r="272" spans="1:10" s="656" customFormat="1" ht="12.75" customHeight="1">
      <c r="A272" s="868" t="s">
        <v>721</v>
      </c>
      <c r="B272" s="1388" t="s">
        <v>587</v>
      </c>
      <c r="C272" s="865">
        <v>12.45</v>
      </c>
      <c r="D272" s="866" t="s">
        <v>11</v>
      </c>
      <c r="E272" s="867" t="e">
        <f>+E264</f>
        <v>#REF!</v>
      </c>
      <c r="F272" s="1345" t="e">
        <f t="shared" si="4"/>
        <v>#REF!</v>
      </c>
      <c r="G272" s="251"/>
      <c r="H272" s="251"/>
      <c r="I272" s="251"/>
      <c r="J272" s="251"/>
    </row>
    <row r="273" spans="1:10" s="656" customFormat="1" ht="12.75" customHeight="1">
      <c r="A273" s="868" t="s">
        <v>722</v>
      </c>
      <c r="B273" s="1389" t="s">
        <v>165</v>
      </c>
      <c r="C273" s="865">
        <v>54.62</v>
      </c>
      <c r="D273" s="866" t="s">
        <v>11</v>
      </c>
      <c r="E273" s="867" t="e">
        <f>+E265</f>
        <v>#REF!</v>
      </c>
      <c r="F273" s="1345" t="e">
        <f t="shared" si="4"/>
        <v>#REF!</v>
      </c>
      <c r="G273" s="251"/>
      <c r="H273" s="251"/>
      <c r="I273" s="251"/>
      <c r="J273" s="251"/>
    </row>
    <row r="274" spans="1:10" s="656" customFormat="1" ht="12.75" customHeight="1">
      <c r="A274" s="868"/>
      <c r="B274" s="869"/>
      <c r="C274" s="865"/>
      <c r="D274" s="866"/>
      <c r="E274" s="867"/>
      <c r="F274" s="1345">
        <f t="shared" si="4"/>
        <v>0</v>
      </c>
      <c r="G274" s="251"/>
      <c r="H274" s="251"/>
      <c r="I274" s="251"/>
      <c r="J274" s="251"/>
    </row>
    <row r="275" spans="1:10" s="656" customFormat="1" ht="12.75" customHeight="1">
      <c r="A275" s="1406">
        <v>15</v>
      </c>
      <c r="B275" s="883" t="s">
        <v>723</v>
      </c>
      <c r="C275" s="865"/>
      <c r="D275" s="866"/>
      <c r="E275" s="867"/>
      <c r="F275" s="1345">
        <f t="shared" si="4"/>
        <v>0</v>
      </c>
      <c r="G275" s="251"/>
      <c r="H275" s="251"/>
      <c r="I275" s="251"/>
      <c r="J275" s="251"/>
    </row>
    <row r="276" spans="1:10" s="656" customFormat="1" ht="12.75" customHeight="1">
      <c r="A276" s="881">
        <v>15.1</v>
      </c>
      <c r="B276" s="883" t="s">
        <v>583</v>
      </c>
      <c r="C276" s="865"/>
      <c r="D276" s="866"/>
      <c r="E276" s="867"/>
      <c r="F276" s="1345">
        <f t="shared" si="4"/>
        <v>0</v>
      </c>
      <c r="G276" s="251"/>
      <c r="H276" s="251"/>
      <c r="I276" s="251"/>
      <c r="J276" s="251"/>
    </row>
    <row r="277" spans="1:10" s="656" customFormat="1" ht="12.75" customHeight="1">
      <c r="A277" s="868" t="s">
        <v>724</v>
      </c>
      <c r="B277" s="1388" t="s">
        <v>674</v>
      </c>
      <c r="C277" s="865">
        <v>11.12</v>
      </c>
      <c r="D277" s="866" t="s">
        <v>2</v>
      </c>
      <c r="E277" s="867" t="e">
        <f>+'ANALISIS PTAP'!F448</f>
        <v>#REF!</v>
      </c>
      <c r="F277" s="1345" t="e">
        <f t="shared" si="4"/>
        <v>#REF!</v>
      </c>
      <c r="G277" s="251"/>
      <c r="H277" s="251"/>
      <c r="I277" s="251"/>
      <c r="J277" s="251"/>
    </row>
    <row r="278" spans="1:10" s="656" customFormat="1" ht="12.75" customHeight="1">
      <c r="A278" s="868"/>
      <c r="B278" s="869"/>
      <c r="C278" s="865"/>
      <c r="D278" s="866"/>
      <c r="E278" s="867"/>
      <c r="F278" s="1345">
        <f t="shared" si="4"/>
        <v>0</v>
      </c>
      <c r="G278" s="251"/>
      <c r="H278" s="251"/>
      <c r="I278" s="251"/>
      <c r="J278" s="251"/>
    </row>
    <row r="279" spans="1:10" s="656" customFormat="1" ht="12.75" customHeight="1">
      <c r="A279" s="881">
        <v>15.2</v>
      </c>
      <c r="B279" s="882" t="s">
        <v>586</v>
      </c>
      <c r="C279" s="865"/>
      <c r="D279" s="866"/>
      <c r="E279" s="867"/>
      <c r="F279" s="1345">
        <f t="shared" ref="F279:F342" si="5">+ROUND((E279*C279),2)</f>
        <v>0</v>
      </c>
      <c r="G279" s="251"/>
      <c r="H279" s="251"/>
      <c r="I279" s="251"/>
      <c r="J279" s="251"/>
    </row>
    <row r="280" spans="1:10" s="656" customFormat="1" ht="12.75" customHeight="1">
      <c r="A280" s="868" t="s">
        <v>725</v>
      </c>
      <c r="B280" s="1388" t="s">
        <v>587</v>
      </c>
      <c r="C280" s="865">
        <v>28.56</v>
      </c>
      <c r="D280" s="866" t="s">
        <v>11</v>
      </c>
      <c r="E280" s="867" t="e">
        <f>+E264</f>
        <v>#REF!</v>
      </c>
      <c r="F280" s="1345" t="e">
        <f t="shared" si="5"/>
        <v>#REF!</v>
      </c>
      <c r="G280" s="251"/>
      <c r="H280" s="251"/>
      <c r="I280" s="251"/>
      <c r="J280" s="251"/>
    </row>
    <row r="281" spans="1:10" s="656" customFormat="1" ht="12.75" customHeight="1">
      <c r="A281" s="868" t="s">
        <v>726</v>
      </c>
      <c r="B281" s="1389" t="s">
        <v>165</v>
      </c>
      <c r="C281" s="865">
        <v>106.24</v>
      </c>
      <c r="D281" s="866" t="s">
        <v>11</v>
      </c>
      <c r="E281" s="867" t="e">
        <f>+E265</f>
        <v>#REF!</v>
      </c>
      <c r="F281" s="1345" t="e">
        <f t="shared" si="5"/>
        <v>#REF!</v>
      </c>
      <c r="G281" s="251"/>
      <c r="H281" s="251"/>
      <c r="I281" s="251"/>
      <c r="J281" s="251"/>
    </row>
    <row r="282" spans="1:10" s="656" customFormat="1" ht="12.75" customHeight="1">
      <c r="A282" s="868" t="s">
        <v>727</v>
      </c>
      <c r="B282" s="1389" t="s">
        <v>177</v>
      </c>
      <c r="C282" s="865">
        <v>3.2</v>
      </c>
      <c r="D282" s="866" t="s">
        <v>1</v>
      </c>
      <c r="E282" s="867" t="e">
        <f>+E237</f>
        <v>#REF!</v>
      </c>
      <c r="F282" s="1345" t="e">
        <f t="shared" si="5"/>
        <v>#REF!</v>
      </c>
      <c r="G282" s="251"/>
      <c r="H282" s="251"/>
      <c r="I282" s="251"/>
      <c r="J282" s="251"/>
    </row>
    <row r="283" spans="1:10" s="656" customFormat="1" ht="12.75" customHeight="1">
      <c r="A283" s="868"/>
      <c r="B283" s="869"/>
      <c r="C283" s="865"/>
      <c r="D283" s="866"/>
      <c r="E283" s="867"/>
      <c r="F283" s="1345">
        <f t="shared" si="5"/>
        <v>0</v>
      </c>
      <c r="G283" s="251"/>
      <c r="H283" s="251"/>
      <c r="I283" s="251"/>
      <c r="J283" s="251"/>
    </row>
    <row r="284" spans="1:10" s="656" customFormat="1" ht="12.75" customHeight="1">
      <c r="A284" s="1406">
        <v>16</v>
      </c>
      <c r="B284" s="887" t="s">
        <v>728</v>
      </c>
      <c r="C284" s="865"/>
      <c r="D284" s="866"/>
      <c r="E284" s="867"/>
      <c r="F284" s="1345">
        <f t="shared" si="5"/>
        <v>0</v>
      </c>
      <c r="G284" s="251"/>
      <c r="H284" s="251"/>
      <c r="I284" s="251"/>
      <c r="J284" s="251"/>
    </row>
    <row r="285" spans="1:10" s="656" customFormat="1" ht="12.75" customHeight="1">
      <c r="A285" s="881">
        <v>16.100000000000001</v>
      </c>
      <c r="B285" s="883" t="s">
        <v>583</v>
      </c>
      <c r="C285" s="865"/>
      <c r="D285" s="866"/>
      <c r="E285" s="867"/>
      <c r="F285" s="1345">
        <f t="shared" si="5"/>
        <v>0</v>
      </c>
      <c r="G285" s="251"/>
      <c r="H285" s="251"/>
      <c r="I285" s="251"/>
      <c r="J285" s="251"/>
    </row>
    <row r="286" spans="1:10" s="656" customFormat="1" ht="12.75" customHeight="1">
      <c r="A286" s="868" t="s">
        <v>729</v>
      </c>
      <c r="B286" s="1388" t="s">
        <v>730</v>
      </c>
      <c r="C286" s="865">
        <v>0.56000000000000005</v>
      </c>
      <c r="D286" s="866" t="s">
        <v>2</v>
      </c>
      <c r="E286" s="867" t="e">
        <f>+'ANALISIS PTAP'!F455</f>
        <v>#REF!</v>
      </c>
      <c r="F286" s="1345" t="e">
        <f t="shared" si="5"/>
        <v>#REF!</v>
      </c>
      <c r="G286" s="251"/>
      <c r="H286" s="251"/>
      <c r="I286" s="251"/>
      <c r="J286" s="251"/>
    </row>
    <row r="287" spans="1:10" s="656" customFormat="1" ht="12.75" customHeight="1">
      <c r="A287" s="868" t="s">
        <v>731</v>
      </c>
      <c r="B287" s="1388" t="s">
        <v>732</v>
      </c>
      <c r="C287" s="865">
        <v>3.84</v>
      </c>
      <c r="D287" s="866" t="s">
        <v>2</v>
      </c>
      <c r="E287" s="867" t="e">
        <f>+'ANALISIS PTAP'!F461</f>
        <v>#REF!</v>
      </c>
      <c r="F287" s="1345" t="e">
        <f t="shared" si="5"/>
        <v>#REF!</v>
      </c>
      <c r="G287" s="251"/>
      <c r="H287" s="251"/>
      <c r="I287" s="251"/>
      <c r="J287" s="251"/>
    </row>
    <row r="288" spans="1:10" s="656" customFormat="1" ht="12.75" customHeight="1">
      <c r="A288" s="868"/>
      <c r="B288" s="869"/>
      <c r="C288" s="865"/>
      <c r="D288" s="866"/>
      <c r="E288" s="867"/>
      <c r="F288" s="1345">
        <f t="shared" si="5"/>
        <v>0</v>
      </c>
      <c r="G288" s="251"/>
      <c r="H288" s="251"/>
      <c r="I288" s="251"/>
      <c r="J288" s="251"/>
    </row>
    <row r="289" spans="1:10" s="656" customFormat="1" ht="12.75" customHeight="1">
      <c r="A289" s="881">
        <v>16.2</v>
      </c>
      <c r="B289" s="882" t="s">
        <v>586</v>
      </c>
      <c r="C289" s="865"/>
      <c r="D289" s="866"/>
      <c r="E289" s="867"/>
      <c r="F289" s="1345">
        <f t="shared" si="5"/>
        <v>0</v>
      </c>
      <c r="G289" s="251"/>
      <c r="H289" s="251"/>
      <c r="I289" s="251"/>
      <c r="J289" s="251"/>
    </row>
    <row r="290" spans="1:10" s="656" customFormat="1" ht="12.75" customHeight="1">
      <c r="A290" s="868" t="s">
        <v>733</v>
      </c>
      <c r="B290" s="1388" t="s">
        <v>587</v>
      </c>
      <c r="C290" s="865">
        <v>1</v>
      </c>
      <c r="D290" s="866" t="s">
        <v>11</v>
      </c>
      <c r="E290" s="867" t="e">
        <f>+E280</f>
        <v>#REF!</v>
      </c>
      <c r="F290" s="1345" t="e">
        <f t="shared" si="5"/>
        <v>#REF!</v>
      </c>
      <c r="G290" s="251"/>
      <c r="H290" s="251"/>
      <c r="I290" s="251"/>
      <c r="J290" s="251"/>
    </row>
    <row r="291" spans="1:10" s="656" customFormat="1" ht="12.75" customHeight="1">
      <c r="A291" s="868" t="s">
        <v>734</v>
      </c>
      <c r="B291" s="1389" t="s">
        <v>165</v>
      </c>
      <c r="C291" s="865">
        <v>13.79</v>
      </c>
      <c r="D291" s="866" t="s">
        <v>11</v>
      </c>
      <c r="E291" s="867" t="e">
        <f>+E281</f>
        <v>#REF!</v>
      </c>
      <c r="F291" s="1345" t="e">
        <f t="shared" si="5"/>
        <v>#REF!</v>
      </c>
      <c r="G291" s="251"/>
      <c r="H291" s="251"/>
      <c r="I291" s="251"/>
      <c r="J291" s="251"/>
    </row>
    <row r="292" spans="1:10" s="656" customFormat="1" ht="12.75" customHeight="1">
      <c r="A292" s="868" t="s">
        <v>735</v>
      </c>
      <c r="B292" s="1389" t="s">
        <v>177</v>
      </c>
      <c r="C292" s="865">
        <v>11.66</v>
      </c>
      <c r="D292" s="866" t="s">
        <v>13</v>
      </c>
      <c r="E292" s="867" t="e">
        <f>+E282</f>
        <v>#REF!</v>
      </c>
      <c r="F292" s="1345" t="e">
        <f t="shared" si="5"/>
        <v>#REF!</v>
      </c>
      <c r="G292" s="251"/>
      <c r="H292" s="251"/>
      <c r="I292" s="251"/>
      <c r="J292" s="251"/>
    </row>
    <row r="293" spans="1:10" s="656" customFormat="1" ht="12.75" customHeight="1">
      <c r="A293" s="868"/>
      <c r="B293" s="869"/>
      <c r="C293" s="865"/>
      <c r="D293" s="866"/>
      <c r="E293" s="867"/>
      <c r="F293" s="1345">
        <f t="shared" si="5"/>
        <v>0</v>
      </c>
      <c r="G293" s="251"/>
      <c r="H293" s="251"/>
      <c r="I293" s="251"/>
      <c r="J293" s="251"/>
    </row>
    <row r="294" spans="1:10" s="656" customFormat="1" ht="12.75" customHeight="1">
      <c r="A294" s="1406">
        <v>17</v>
      </c>
      <c r="B294" s="887" t="s">
        <v>736</v>
      </c>
      <c r="C294" s="865"/>
      <c r="D294" s="866"/>
      <c r="E294" s="867"/>
      <c r="F294" s="1345">
        <f t="shared" si="5"/>
        <v>0</v>
      </c>
      <c r="G294" s="251"/>
      <c r="H294" s="251"/>
      <c r="I294" s="251"/>
      <c r="J294" s="251"/>
    </row>
    <row r="295" spans="1:10" s="656" customFormat="1" ht="12.75" customHeight="1">
      <c r="A295" s="881">
        <v>17.100000000000001</v>
      </c>
      <c r="B295" s="883" t="s">
        <v>583</v>
      </c>
      <c r="C295" s="865"/>
      <c r="D295" s="866"/>
      <c r="E295" s="867"/>
      <c r="F295" s="1345">
        <f t="shared" si="5"/>
        <v>0</v>
      </c>
      <c r="G295" s="251"/>
      <c r="H295" s="251"/>
      <c r="I295" s="251"/>
      <c r="J295" s="251"/>
    </row>
    <row r="296" spans="1:10" s="656" customFormat="1" ht="12.75" customHeight="1">
      <c r="A296" s="868" t="s">
        <v>737</v>
      </c>
      <c r="B296" s="1388" t="s">
        <v>738</v>
      </c>
      <c r="C296" s="865">
        <v>13.31</v>
      </c>
      <c r="D296" s="866" t="s">
        <v>2</v>
      </c>
      <c r="E296" s="867" t="e">
        <f>+'ANALISIS PTAP'!F468</f>
        <v>#REF!</v>
      </c>
      <c r="F296" s="1345" t="e">
        <f t="shared" si="5"/>
        <v>#REF!</v>
      </c>
      <c r="G296" s="251"/>
      <c r="H296" s="251"/>
      <c r="I296" s="251"/>
      <c r="J296" s="251"/>
    </row>
    <row r="297" spans="1:10" s="656" customFormat="1" ht="12.75" customHeight="1">
      <c r="A297" s="868"/>
      <c r="B297" s="884"/>
      <c r="C297" s="865"/>
      <c r="D297" s="866"/>
      <c r="E297" s="867"/>
      <c r="F297" s="1345">
        <f t="shared" si="5"/>
        <v>0</v>
      </c>
      <c r="G297" s="251"/>
      <c r="H297" s="251"/>
      <c r="I297" s="251"/>
      <c r="J297" s="251"/>
    </row>
    <row r="298" spans="1:10" s="656" customFormat="1" ht="12.75" customHeight="1">
      <c r="A298" s="868">
        <v>18</v>
      </c>
      <c r="B298" s="884" t="s">
        <v>739</v>
      </c>
      <c r="C298" s="865">
        <v>72.45</v>
      </c>
      <c r="D298" s="866" t="s">
        <v>13</v>
      </c>
      <c r="E298" s="867">
        <v>2850</v>
      </c>
      <c r="F298" s="1345">
        <f t="shared" si="5"/>
        <v>206482.5</v>
      </c>
      <c r="G298" s="251"/>
      <c r="H298" s="251"/>
      <c r="I298" s="251"/>
      <c r="J298" s="251"/>
    </row>
    <row r="299" spans="1:10" s="656" customFormat="1" ht="12.75" customHeight="1">
      <c r="A299" s="868">
        <v>19</v>
      </c>
      <c r="B299" s="885" t="s">
        <v>740</v>
      </c>
      <c r="C299" s="865">
        <v>1</v>
      </c>
      <c r="D299" s="866" t="s">
        <v>689</v>
      </c>
      <c r="E299" s="867">
        <v>50000</v>
      </c>
      <c r="F299" s="1345">
        <f t="shared" si="5"/>
        <v>50000</v>
      </c>
      <c r="G299" s="251"/>
      <c r="H299" s="251"/>
      <c r="I299" s="251"/>
      <c r="J299" s="251"/>
    </row>
    <row r="300" spans="1:10" s="656" customFormat="1" ht="12.75" customHeight="1">
      <c r="A300" s="868"/>
      <c r="B300" s="885"/>
      <c r="C300" s="865"/>
      <c r="D300" s="866"/>
      <c r="E300" s="867"/>
      <c r="F300" s="1345">
        <f t="shared" si="5"/>
        <v>0</v>
      </c>
      <c r="G300" s="251"/>
      <c r="H300" s="251"/>
      <c r="I300" s="251"/>
      <c r="J300" s="251"/>
    </row>
    <row r="301" spans="1:10" s="656" customFormat="1" ht="12.75" customHeight="1">
      <c r="A301" s="1406">
        <v>20</v>
      </c>
      <c r="B301" s="882" t="s">
        <v>741</v>
      </c>
      <c r="C301" s="865"/>
      <c r="D301" s="866"/>
      <c r="E301" s="867"/>
      <c r="F301" s="1345">
        <f t="shared" si="5"/>
        <v>0</v>
      </c>
      <c r="G301" s="251"/>
      <c r="H301" s="251"/>
      <c r="I301" s="251"/>
      <c r="J301" s="251"/>
    </row>
    <row r="302" spans="1:10" s="656" customFormat="1" ht="12.75" customHeight="1">
      <c r="A302" s="881">
        <v>20.100000000000001</v>
      </c>
      <c r="B302" s="883" t="s">
        <v>583</v>
      </c>
      <c r="C302" s="865"/>
      <c r="D302" s="866"/>
      <c r="E302" s="867"/>
      <c r="F302" s="1345">
        <f t="shared" si="5"/>
        <v>0</v>
      </c>
      <c r="G302" s="251"/>
      <c r="H302" s="251"/>
      <c r="I302" s="251"/>
      <c r="J302" s="251"/>
    </row>
    <row r="303" spans="1:10" s="656" customFormat="1" ht="12.75" customHeight="1">
      <c r="A303" s="868" t="s">
        <v>742</v>
      </c>
      <c r="B303" s="1388" t="s">
        <v>584</v>
      </c>
      <c r="C303" s="865">
        <f>0.312*3</f>
        <v>0.94</v>
      </c>
      <c r="D303" s="866" t="s">
        <v>2</v>
      </c>
      <c r="E303" s="867" t="e">
        <f>+'ANALISIS PTAP'!F475</f>
        <v>#REF!</v>
      </c>
      <c r="F303" s="1345" t="e">
        <f t="shared" si="5"/>
        <v>#REF!</v>
      </c>
      <c r="G303" s="251"/>
      <c r="H303" s="251"/>
      <c r="I303" s="251"/>
      <c r="J303" s="251"/>
    </row>
    <row r="304" spans="1:10" s="656" customFormat="1" ht="12.75" customHeight="1">
      <c r="A304" s="868" t="s">
        <v>743</v>
      </c>
      <c r="B304" s="1388" t="s">
        <v>585</v>
      </c>
      <c r="C304" s="865">
        <v>4.5</v>
      </c>
      <c r="D304" s="866" t="s">
        <v>2</v>
      </c>
      <c r="E304" s="867" t="e">
        <f>+'ANALISIS PTAP'!F481</f>
        <v>#REF!</v>
      </c>
      <c r="F304" s="1345" t="e">
        <f t="shared" si="5"/>
        <v>#REF!</v>
      </c>
      <c r="G304" s="251"/>
      <c r="H304" s="251"/>
      <c r="I304" s="251"/>
      <c r="J304" s="251"/>
    </row>
    <row r="305" spans="1:10" s="656" customFormat="1" ht="12.75" customHeight="1">
      <c r="A305" s="868"/>
      <c r="B305" s="884"/>
      <c r="C305" s="865"/>
      <c r="D305" s="866"/>
      <c r="E305" s="867"/>
      <c r="F305" s="1345">
        <f t="shared" si="5"/>
        <v>0</v>
      </c>
      <c r="G305" s="251"/>
      <c r="H305" s="251"/>
      <c r="I305" s="251"/>
      <c r="J305" s="251"/>
    </row>
    <row r="306" spans="1:10" s="656" customFormat="1" ht="12.75" customHeight="1">
      <c r="A306" s="881">
        <v>20.2</v>
      </c>
      <c r="B306" s="882" t="s">
        <v>586</v>
      </c>
      <c r="C306" s="865"/>
      <c r="D306" s="866"/>
      <c r="E306" s="867"/>
      <c r="F306" s="1345">
        <f t="shared" si="5"/>
        <v>0</v>
      </c>
      <c r="G306" s="251"/>
      <c r="H306" s="251"/>
      <c r="I306" s="251"/>
      <c r="J306" s="251"/>
    </row>
    <row r="307" spans="1:10" s="656" customFormat="1" ht="12.75" customHeight="1">
      <c r="A307" s="868" t="s">
        <v>744</v>
      </c>
      <c r="B307" s="1388" t="s">
        <v>587</v>
      </c>
      <c r="C307" s="865">
        <f>1.2*3</f>
        <v>3.6</v>
      </c>
      <c r="D307" s="866" t="s">
        <v>11</v>
      </c>
      <c r="E307" s="867" t="e">
        <f>+E290</f>
        <v>#REF!</v>
      </c>
      <c r="F307" s="1345" t="e">
        <f t="shared" si="5"/>
        <v>#REF!</v>
      </c>
      <c r="G307" s="251"/>
      <c r="H307" s="251"/>
      <c r="I307" s="251"/>
      <c r="J307" s="251"/>
    </row>
    <row r="308" spans="1:10" s="656" customFormat="1" ht="12.75" customHeight="1">
      <c r="A308" s="868" t="s">
        <v>745</v>
      </c>
      <c r="B308" s="1389" t="s">
        <v>165</v>
      </c>
      <c r="C308" s="865">
        <f>7.1*3</f>
        <v>21.3</v>
      </c>
      <c r="D308" s="866" t="s">
        <v>11</v>
      </c>
      <c r="E308" s="867" t="e">
        <f>+E291</f>
        <v>#REF!</v>
      </c>
      <c r="F308" s="1345" t="e">
        <f t="shared" si="5"/>
        <v>#REF!</v>
      </c>
      <c r="G308" s="251"/>
      <c r="H308" s="251"/>
      <c r="I308" s="251"/>
      <c r="J308" s="251"/>
    </row>
    <row r="309" spans="1:10" s="656" customFormat="1" ht="12.75" customHeight="1">
      <c r="A309" s="868" t="s">
        <v>746</v>
      </c>
      <c r="B309" s="1390" t="s">
        <v>588</v>
      </c>
      <c r="C309" s="865">
        <f>8.65*3</f>
        <v>25.95</v>
      </c>
      <c r="D309" s="866" t="s">
        <v>11</v>
      </c>
      <c r="E309" s="867" t="e">
        <f>+E133</f>
        <v>#REF!</v>
      </c>
      <c r="F309" s="1345" t="e">
        <f t="shared" si="5"/>
        <v>#REF!</v>
      </c>
      <c r="G309" s="251"/>
      <c r="H309" s="251"/>
      <c r="I309" s="251"/>
      <c r="J309" s="251"/>
    </row>
    <row r="310" spans="1:10" s="656" customFormat="1" ht="12.75" customHeight="1">
      <c r="A310" s="868" t="s">
        <v>747</v>
      </c>
      <c r="B310" s="1389" t="s">
        <v>177</v>
      </c>
      <c r="C310" s="865">
        <f>11.9*3</f>
        <v>35.700000000000003</v>
      </c>
      <c r="D310" s="866" t="s">
        <v>13</v>
      </c>
      <c r="E310" s="867" t="e">
        <f>+E292</f>
        <v>#REF!</v>
      </c>
      <c r="F310" s="1345" t="e">
        <f t="shared" si="5"/>
        <v>#REF!</v>
      </c>
      <c r="G310" s="251"/>
      <c r="H310" s="251"/>
      <c r="I310" s="251"/>
      <c r="J310" s="251"/>
    </row>
    <row r="311" spans="1:10" s="656" customFormat="1" ht="12.75" customHeight="1">
      <c r="A311" s="868"/>
      <c r="B311" s="869"/>
      <c r="C311" s="865"/>
      <c r="D311" s="866"/>
      <c r="E311" s="867"/>
      <c r="F311" s="1345">
        <f t="shared" si="5"/>
        <v>0</v>
      </c>
      <c r="G311" s="251"/>
      <c r="H311" s="251"/>
      <c r="I311" s="251"/>
      <c r="J311" s="251"/>
    </row>
    <row r="312" spans="1:10" s="656" customFormat="1" ht="12.75" customHeight="1">
      <c r="A312" s="881">
        <v>20.3</v>
      </c>
      <c r="B312" s="883" t="s">
        <v>748</v>
      </c>
      <c r="C312" s="865"/>
      <c r="D312" s="866"/>
      <c r="E312" s="867"/>
      <c r="F312" s="1345">
        <f t="shared" si="5"/>
        <v>0</v>
      </c>
      <c r="G312" s="251"/>
      <c r="H312" s="251"/>
      <c r="I312" s="251"/>
      <c r="J312" s="251"/>
    </row>
    <row r="313" spans="1:10" s="656" customFormat="1" ht="12.75" customHeight="1">
      <c r="A313" s="868" t="s">
        <v>749</v>
      </c>
      <c r="B313" s="885" t="s">
        <v>750</v>
      </c>
      <c r="C313" s="865">
        <v>13.5</v>
      </c>
      <c r="D313" s="866" t="s">
        <v>13</v>
      </c>
      <c r="E313" s="867">
        <v>3562.25</v>
      </c>
      <c r="F313" s="1345">
        <f t="shared" si="5"/>
        <v>48090.38</v>
      </c>
      <c r="G313" s="251"/>
      <c r="H313" s="251"/>
      <c r="I313" s="251"/>
      <c r="J313" s="251"/>
    </row>
    <row r="314" spans="1:10" s="656" customFormat="1" ht="12.75" customHeight="1">
      <c r="A314" s="868" t="s">
        <v>751</v>
      </c>
      <c r="B314" s="885" t="s">
        <v>752</v>
      </c>
      <c r="C314" s="865">
        <v>1</v>
      </c>
      <c r="D314" s="866" t="s">
        <v>3</v>
      </c>
      <c r="E314" s="867">
        <v>4779.2</v>
      </c>
      <c r="F314" s="1345">
        <f t="shared" si="5"/>
        <v>4779.2</v>
      </c>
      <c r="G314" s="251"/>
      <c r="H314" s="251"/>
      <c r="I314" s="251"/>
      <c r="J314" s="251"/>
    </row>
    <row r="315" spans="1:10" s="656" customFormat="1" ht="12.75" customHeight="1">
      <c r="A315" s="868" t="s">
        <v>753</v>
      </c>
      <c r="B315" s="869" t="s">
        <v>754</v>
      </c>
      <c r="C315" s="865">
        <v>3</v>
      </c>
      <c r="D315" s="866" t="s">
        <v>3</v>
      </c>
      <c r="E315" s="867">
        <v>4500</v>
      </c>
      <c r="F315" s="1345">
        <f t="shared" si="5"/>
        <v>13500</v>
      </c>
      <c r="G315" s="251"/>
      <c r="H315" s="251"/>
      <c r="I315" s="251"/>
      <c r="J315" s="251"/>
    </row>
    <row r="316" spans="1:10" s="656" customFormat="1" ht="12.75" customHeight="1">
      <c r="A316" s="868"/>
      <c r="B316" s="885"/>
      <c r="C316" s="865"/>
      <c r="D316" s="866"/>
      <c r="E316" s="867"/>
      <c r="F316" s="1345">
        <f t="shared" si="5"/>
        <v>0</v>
      </c>
      <c r="G316" s="251"/>
      <c r="H316" s="251"/>
      <c r="I316" s="251"/>
      <c r="J316" s="251"/>
    </row>
    <row r="317" spans="1:10" s="656" customFormat="1" ht="12.75" customHeight="1">
      <c r="A317" s="881">
        <v>20.399999999999999</v>
      </c>
      <c r="B317" s="887" t="s">
        <v>755</v>
      </c>
      <c r="C317" s="865"/>
      <c r="D317" s="866"/>
      <c r="E317" s="867"/>
      <c r="F317" s="1345">
        <f t="shared" si="5"/>
        <v>0</v>
      </c>
      <c r="G317" s="251"/>
      <c r="H317" s="251"/>
      <c r="I317" s="251"/>
      <c r="J317" s="251"/>
    </row>
    <row r="318" spans="1:10" s="656" customFormat="1" ht="12.75" customHeight="1">
      <c r="A318" s="868" t="s">
        <v>756</v>
      </c>
      <c r="B318" s="879" t="s">
        <v>581</v>
      </c>
      <c r="C318" s="865">
        <f>+C313*1.4</f>
        <v>18.899999999999999</v>
      </c>
      <c r="D318" s="866" t="s">
        <v>2</v>
      </c>
      <c r="E318" s="867">
        <v>134.19</v>
      </c>
      <c r="F318" s="1345">
        <f t="shared" si="5"/>
        <v>2536.19</v>
      </c>
      <c r="G318" s="251"/>
      <c r="H318" s="251"/>
      <c r="I318" s="251"/>
      <c r="J318" s="251"/>
    </row>
    <row r="319" spans="1:10" s="656" customFormat="1" ht="12.75" customHeight="1">
      <c r="A319" s="868" t="s">
        <v>757</v>
      </c>
      <c r="B319" s="869" t="s">
        <v>253</v>
      </c>
      <c r="C319" s="865">
        <f>+C318-C313-0.1297</f>
        <v>5.27</v>
      </c>
      <c r="D319" s="866" t="s">
        <v>2</v>
      </c>
      <c r="E319" s="867">
        <v>75.599999999999994</v>
      </c>
      <c r="F319" s="1345">
        <f t="shared" si="5"/>
        <v>398.41</v>
      </c>
      <c r="G319" s="251"/>
      <c r="H319" s="251"/>
      <c r="I319" s="251"/>
      <c r="J319" s="251"/>
    </row>
    <row r="320" spans="1:10" s="656" customFormat="1" ht="12.75" customHeight="1">
      <c r="A320" s="868" t="s">
        <v>758</v>
      </c>
      <c r="B320" s="869" t="s">
        <v>759</v>
      </c>
      <c r="C320" s="865">
        <f>1.2*(C318-C319)</f>
        <v>16.36</v>
      </c>
      <c r="D320" s="866" t="s">
        <v>2</v>
      </c>
      <c r="E320" s="867">
        <v>55</v>
      </c>
      <c r="F320" s="1345">
        <f t="shared" si="5"/>
        <v>899.8</v>
      </c>
      <c r="G320" s="251"/>
      <c r="H320" s="251"/>
      <c r="I320" s="251"/>
      <c r="J320" s="251"/>
    </row>
    <row r="321" spans="1:10" s="656" customFormat="1" ht="12.75" customHeight="1">
      <c r="A321" s="868"/>
      <c r="B321" s="869"/>
      <c r="C321" s="865"/>
      <c r="D321" s="866"/>
      <c r="E321" s="867"/>
      <c r="F321" s="1345">
        <f t="shared" si="5"/>
        <v>0</v>
      </c>
      <c r="G321" s="251"/>
      <c r="H321" s="251"/>
      <c r="I321" s="251"/>
      <c r="J321" s="251"/>
    </row>
    <row r="322" spans="1:10" s="656" customFormat="1" ht="12.75" customHeight="1">
      <c r="A322" s="881">
        <v>21</v>
      </c>
      <c r="B322" s="882" t="s">
        <v>760</v>
      </c>
      <c r="C322" s="865"/>
      <c r="D322" s="866"/>
      <c r="E322" s="867"/>
      <c r="F322" s="1345">
        <f t="shared" si="5"/>
        <v>0</v>
      </c>
      <c r="G322" s="251"/>
      <c r="H322" s="251"/>
      <c r="I322" s="251"/>
      <c r="J322" s="251"/>
    </row>
    <row r="323" spans="1:10" s="656" customFormat="1" ht="25.5" customHeight="1">
      <c r="A323" s="892">
        <v>21.1</v>
      </c>
      <c r="B323" s="913" t="s">
        <v>761</v>
      </c>
      <c r="C323" s="865">
        <v>14</v>
      </c>
      <c r="D323" s="866" t="s">
        <v>3</v>
      </c>
      <c r="E323" s="867">
        <v>4500</v>
      </c>
      <c r="F323" s="1345">
        <f t="shared" si="5"/>
        <v>63000</v>
      </c>
      <c r="G323" s="251"/>
      <c r="H323" s="251"/>
      <c r="I323" s="251"/>
      <c r="J323" s="251"/>
    </row>
    <row r="324" spans="1:10" s="656" customFormat="1" ht="12.75" customHeight="1">
      <c r="A324" s="892">
        <v>21.2</v>
      </c>
      <c r="B324" s="906" t="s">
        <v>762</v>
      </c>
      <c r="C324" s="865">
        <v>1</v>
      </c>
      <c r="D324" s="866" t="s">
        <v>689</v>
      </c>
      <c r="E324" s="867">
        <v>1000000</v>
      </c>
      <c r="F324" s="1345">
        <f t="shared" si="5"/>
        <v>1000000</v>
      </c>
      <c r="G324" s="251"/>
      <c r="H324" s="251"/>
      <c r="I324" s="251"/>
      <c r="J324" s="251"/>
    </row>
    <row r="325" spans="1:10" s="656" customFormat="1" ht="12.75" customHeight="1">
      <c r="A325" s="892">
        <v>21.3</v>
      </c>
      <c r="B325" s="906" t="s">
        <v>763</v>
      </c>
      <c r="C325" s="865">
        <v>1</v>
      </c>
      <c r="D325" s="866" t="s">
        <v>3</v>
      </c>
      <c r="E325" s="867">
        <v>100000</v>
      </c>
      <c r="F325" s="1345">
        <f t="shared" si="5"/>
        <v>100000</v>
      </c>
      <c r="G325" s="251"/>
      <c r="H325" s="251"/>
      <c r="I325" s="251"/>
      <c r="J325" s="251"/>
    </row>
    <row r="326" spans="1:10" s="656" customFormat="1" ht="12.75" customHeight="1">
      <c r="A326" s="892"/>
      <c r="B326" s="913"/>
      <c r="C326" s="865"/>
      <c r="D326" s="866"/>
      <c r="E326" s="867"/>
      <c r="F326" s="1345">
        <f t="shared" si="5"/>
        <v>0</v>
      </c>
      <c r="G326" s="251"/>
      <c r="H326" s="251"/>
      <c r="I326" s="251"/>
      <c r="J326" s="251"/>
    </row>
    <row r="327" spans="1:10" s="656" customFormat="1" ht="12.75" customHeight="1">
      <c r="A327" s="881">
        <v>22</v>
      </c>
      <c r="B327" s="882" t="s">
        <v>764</v>
      </c>
      <c r="C327" s="865"/>
      <c r="D327" s="866"/>
      <c r="E327" s="867"/>
      <c r="F327" s="1345">
        <f t="shared" si="5"/>
        <v>0</v>
      </c>
      <c r="G327" s="251"/>
      <c r="H327" s="251"/>
      <c r="I327" s="251"/>
      <c r="J327" s="251"/>
    </row>
    <row r="328" spans="1:10" s="656" customFormat="1" ht="12.75" customHeight="1">
      <c r="A328" s="868">
        <v>22.1</v>
      </c>
      <c r="B328" s="1389" t="s">
        <v>152</v>
      </c>
      <c r="C328" s="865">
        <v>436.12</v>
      </c>
      <c r="D328" s="866" t="s">
        <v>11</v>
      </c>
      <c r="E328" s="867" t="e">
        <f>+E309</f>
        <v>#REF!</v>
      </c>
      <c r="F328" s="1345" t="e">
        <f t="shared" si="5"/>
        <v>#REF!</v>
      </c>
      <c r="G328" s="251"/>
      <c r="H328" s="251"/>
      <c r="I328" s="251"/>
      <c r="J328" s="251"/>
    </row>
    <row r="329" spans="1:10" s="656" customFormat="1" ht="12.75" customHeight="1">
      <c r="A329" s="868">
        <v>22.2</v>
      </c>
      <c r="B329" s="869" t="s">
        <v>765</v>
      </c>
      <c r="C329" s="865">
        <v>75.03</v>
      </c>
      <c r="D329" s="866" t="s">
        <v>13</v>
      </c>
      <c r="E329" s="867">
        <v>51.78</v>
      </c>
      <c r="F329" s="1345">
        <f t="shared" si="5"/>
        <v>3885.05</v>
      </c>
      <c r="G329" s="251"/>
      <c r="H329" s="251"/>
      <c r="I329" s="251"/>
      <c r="J329" s="251"/>
    </row>
    <row r="330" spans="1:10" s="656" customFormat="1" ht="12.75" customHeight="1">
      <c r="A330" s="868">
        <v>22.3</v>
      </c>
      <c r="B330" s="1389" t="s">
        <v>766</v>
      </c>
      <c r="C330" s="865">
        <v>113.42</v>
      </c>
      <c r="D330" s="866" t="s">
        <v>11</v>
      </c>
      <c r="E330" s="867">
        <f>+'ANALISIS PTAP'!F282</f>
        <v>777.08</v>
      </c>
      <c r="F330" s="1345">
        <f t="shared" si="5"/>
        <v>88136.41</v>
      </c>
      <c r="G330" s="251"/>
      <c r="H330" s="251"/>
      <c r="I330" s="251"/>
      <c r="J330" s="251"/>
    </row>
    <row r="331" spans="1:10" s="656" customFormat="1" ht="12.75" customHeight="1">
      <c r="A331" s="868">
        <v>22.4</v>
      </c>
      <c r="B331" s="869" t="s">
        <v>261</v>
      </c>
      <c r="C331" s="865">
        <f>+C328</f>
        <v>436.12</v>
      </c>
      <c r="D331" s="866" t="s">
        <v>11</v>
      </c>
      <c r="E331" s="867">
        <v>81.36</v>
      </c>
      <c r="F331" s="1345">
        <f t="shared" si="5"/>
        <v>35482.720000000001</v>
      </c>
      <c r="G331" s="251"/>
      <c r="H331" s="251"/>
      <c r="I331" s="251"/>
      <c r="J331" s="251"/>
    </row>
    <row r="332" spans="1:10" s="656" customFormat="1" ht="12.75" customHeight="1">
      <c r="A332" s="868">
        <v>22.5</v>
      </c>
      <c r="B332" s="869" t="s">
        <v>767</v>
      </c>
      <c r="C332" s="865">
        <f>+C331</f>
        <v>436.12</v>
      </c>
      <c r="D332" s="866" t="s">
        <v>11</v>
      </c>
      <c r="E332" s="867">
        <v>42.01</v>
      </c>
      <c r="F332" s="1345">
        <f t="shared" si="5"/>
        <v>18321.400000000001</v>
      </c>
      <c r="G332" s="251"/>
      <c r="H332" s="251"/>
      <c r="I332" s="251"/>
      <c r="J332" s="251"/>
    </row>
    <row r="333" spans="1:10" s="656" customFormat="1" ht="12.75" customHeight="1">
      <c r="A333" s="868">
        <v>22.6</v>
      </c>
      <c r="B333" s="869" t="s">
        <v>768</v>
      </c>
      <c r="C333" s="865">
        <v>1</v>
      </c>
      <c r="D333" s="866" t="s">
        <v>3</v>
      </c>
      <c r="E333" s="867">
        <v>7500</v>
      </c>
      <c r="F333" s="1345">
        <f t="shared" si="5"/>
        <v>7500</v>
      </c>
      <c r="G333" s="251"/>
      <c r="H333" s="251"/>
      <c r="I333" s="251"/>
      <c r="J333" s="251"/>
    </row>
    <row r="334" spans="1:10" s="656" customFormat="1" ht="12.75" customHeight="1">
      <c r="A334" s="868"/>
      <c r="B334" s="869"/>
      <c r="C334" s="865"/>
      <c r="D334" s="866"/>
      <c r="E334" s="867"/>
      <c r="F334" s="1345">
        <f t="shared" si="5"/>
        <v>0</v>
      </c>
      <c r="G334" s="251"/>
      <c r="H334" s="251"/>
      <c r="I334" s="251"/>
      <c r="J334" s="251"/>
    </row>
    <row r="335" spans="1:10" s="656" customFormat="1" ht="12.75" customHeight="1">
      <c r="A335" s="914">
        <v>23</v>
      </c>
      <c r="B335" s="882" t="s">
        <v>769</v>
      </c>
      <c r="C335" s="865"/>
      <c r="D335" s="866"/>
      <c r="E335" s="867"/>
      <c r="F335" s="1345">
        <f t="shared" si="5"/>
        <v>0</v>
      </c>
      <c r="G335" s="251"/>
      <c r="H335" s="251"/>
      <c r="I335" s="251"/>
      <c r="J335" s="251"/>
    </row>
    <row r="336" spans="1:10" s="656" customFormat="1" ht="12.75" customHeight="1">
      <c r="A336" s="915">
        <v>23.1</v>
      </c>
      <c r="B336" s="869" t="s">
        <v>770</v>
      </c>
      <c r="C336" s="912">
        <v>360</v>
      </c>
      <c r="D336" s="866" t="s">
        <v>138</v>
      </c>
      <c r="E336" s="867">
        <v>304.5</v>
      </c>
      <c r="F336" s="1345">
        <f t="shared" si="5"/>
        <v>109620</v>
      </c>
      <c r="G336" s="1369"/>
      <c r="H336" s="1370"/>
      <c r="I336" s="251"/>
      <c r="J336" s="251"/>
    </row>
    <row r="337" spans="1:10" s="656" customFormat="1" ht="12.75" customHeight="1">
      <c r="A337" s="915">
        <v>23.2</v>
      </c>
      <c r="B337" s="869" t="s">
        <v>273</v>
      </c>
      <c r="C337" s="865">
        <f>+C336</f>
        <v>360</v>
      </c>
      <c r="D337" s="866" t="s">
        <v>2</v>
      </c>
      <c r="E337" s="867">
        <v>90</v>
      </c>
      <c r="F337" s="1345">
        <f t="shared" si="5"/>
        <v>32400</v>
      </c>
      <c r="G337" s="251"/>
      <c r="H337" s="251"/>
      <c r="I337" s="251"/>
      <c r="J337" s="251"/>
    </row>
    <row r="338" spans="1:10" s="656" customFormat="1" ht="12.75" customHeight="1">
      <c r="A338" s="915">
        <v>23.3</v>
      </c>
      <c r="B338" s="869" t="s">
        <v>771</v>
      </c>
      <c r="C338" s="865">
        <v>386.3</v>
      </c>
      <c r="D338" s="866" t="s">
        <v>13</v>
      </c>
      <c r="E338" s="867">
        <v>414</v>
      </c>
      <c r="F338" s="1345">
        <f t="shared" si="5"/>
        <v>159928.20000000001</v>
      </c>
      <c r="G338" s="251"/>
      <c r="H338" s="251"/>
      <c r="I338" s="251"/>
      <c r="J338" s="251"/>
    </row>
    <row r="339" spans="1:10" s="656" customFormat="1" ht="12.75" customHeight="1">
      <c r="A339" s="915"/>
      <c r="B339" s="869"/>
      <c r="C339" s="865"/>
      <c r="D339" s="866"/>
      <c r="E339" s="867"/>
      <c r="F339" s="1345">
        <f t="shared" si="5"/>
        <v>0</v>
      </c>
      <c r="G339" s="251"/>
      <c r="H339" s="251"/>
      <c r="I339" s="251"/>
      <c r="J339" s="251"/>
    </row>
    <row r="340" spans="1:10" s="656" customFormat="1" ht="12.75" customHeight="1">
      <c r="A340" s="916">
        <v>24</v>
      </c>
      <c r="B340" s="869" t="s">
        <v>772</v>
      </c>
      <c r="C340" s="865">
        <v>1</v>
      </c>
      <c r="D340" s="910" t="s">
        <v>42</v>
      </c>
      <c r="E340" s="867">
        <v>67000</v>
      </c>
      <c r="F340" s="1345">
        <f t="shared" si="5"/>
        <v>67000</v>
      </c>
      <c r="G340" s="251"/>
      <c r="H340" s="251"/>
      <c r="I340" s="251"/>
      <c r="J340" s="251"/>
    </row>
    <row r="341" spans="1:10" s="656" customFormat="1" ht="12.75" customHeight="1">
      <c r="A341" s="868">
        <v>25</v>
      </c>
      <c r="B341" s="885" t="s">
        <v>773</v>
      </c>
      <c r="C341" s="865">
        <v>1</v>
      </c>
      <c r="D341" s="866" t="s">
        <v>3</v>
      </c>
      <c r="E341" s="867">
        <v>45000</v>
      </c>
      <c r="F341" s="1345">
        <f t="shared" si="5"/>
        <v>45000</v>
      </c>
      <c r="G341" s="251"/>
      <c r="H341" s="251"/>
      <c r="I341" s="251"/>
      <c r="J341" s="251"/>
    </row>
    <row r="342" spans="1:10" s="656" customFormat="1" ht="12.75" customHeight="1">
      <c r="A342" s="868"/>
      <c r="B342" s="864"/>
      <c r="C342" s="865"/>
      <c r="D342" s="866"/>
      <c r="E342" s="867"/>
      <c r="F342" s="1345">
        <f t="shared" si="5"/>
        <v>0</v>
      </c>
      <c r="G342" s="251"/>
      <c r="H342" s="251"/>
      <c r="I342" s="251"/>
      <c r="J342" s="251"/>
    </row>
    <row r="343" spans="1:10" s="656" customFormat="1" ht="12.75" customHeight="1">
      <c r="A343" s="917" t="s">
        <v>774</v>
      </c>
      <c r="B343" s="918" t="s">
        <v>775</v>
      </c>
      <c r="C343" s="919"/>
      <c r="D343" s="920"/>
      <c r="E343" s="921"/>
      <c r="F343" s="1345">
        <f t="shared" ref="F343:F406" si="6">+ROUND((E343*C343),2)</f>
        <v>0</v>
      </c>
      <c r="G343" s="328"/>
      <c r="H343" s="44"/>
      <c r="I343" s="44"/>
      <c r="J343" s="44"/>
    </row>
    <row r="344" spans="1:10" s="656" customFormat="1" ht="12.75" customHeight="1">
      <c r="A344" s="922"/>
      <c r="B344" s="923"/>
      <c r="C344" s="919"/>
      <c r="D344" s="920"/>
      <c r="E344" s="921"/>
      <c r="F344" s="1345">
        <f t="shared" si="6"/>
        <v>0</v>
      </c>
      <c r="G344" s="328"/>
      <c r="H344" s="44"/>
      <c r="I344" s="44"/>
      <c r="J344" s="44"/>
    </row>
    <row r="345" spans="1:10" s="656" customFormat="1" ht="12.75" customHeight="1">
      <c r="A345" s="924">
        <v>1</v>
      </c>
      <c r="B345" s="925" t="s">
        <v>38</v>
      </c>
      <c r="C345" s="919"/>
      <c r="D345" s="920"/>
      <c r="E345" s="921"/>
      <c r="F345" s="1345">
        <f t="shared" si="6"/>
        <v>0</v>
      </c>
      <c r="G345" s="328"/>
      <c r="H345" s="44"/>
      <c r="I345" s="44"/>
      <c r="J345" s="44"/>
    </row>
    <row r="346" spans="1:10" s="656" customFormat="1" ht="12.75" customHeight="1">
      <c r="A346" s="926">
        <v>1.1000000000000001</v>
      </c>
      <c r="B346" s="923" t="s">
        <v>776</v>
      </c>
      <c r="C346" s="919">
        <v>19.71</v>
      </c>
      <c r="D346" s="920" t="s">
        <v>2</v>
      </c>
      <c r="E346" s="927">
        <v>158.47999999999999</v>
      </c>
      <c r="F346" s="1345">
        <f t="shared" si="6"/>
        <v>3123.64</v>
      </c>
      <c r="G346" s="328"/>
      <c r="H346" s="44"/>
      <c r="I346" s="44"/>
      <c r="J346" s="44"/>
    </row>
    <row r="347" spans="1:10" s="656" customFormat="1" ht="12.75" customHeight="1">
      <c r="A347" s="926">
        <v>1.2</v>
      </c>
      <c r="B347" s="880" t="s">
        <v>550</v>
      </c>
      <c r="C347" s="919">
        <v>11.01</v>
      </c>
      <c r="D347" s="920" t="s">
        <v>2</v>
      </c>
      <c r="E347" s="921">
        <v>126.55</v>
      </c>
      <c r="F347" s="1345">
        <f t="shared" si="6"/>
        <v>1393.32</v>
      </c>
      <c r="G347" s="328"/>
      <c r="H347" s="44"/>
      <c r="I347" s="44"/>
      <c r="J347" s="44"/>
    </row>
    <row r="348" spans="1:10" s="656" customFormat="1" ht="12.75" customHeight="1">
      <c r="A348" s="926">
        <v>1.3</v>
      </c>
      <c r="B348" s="869" t="s">
        <v>551</v>
      </c>
      <c r="C348" s="919">
        <v>10.44</v>
      </c>
      <c r="D348" s="920" t="s">
        <v>2</v>
      </c>
      <c r="E348" s="921">
        <v>150</v>
      </c>
      <c r="F348" s="1345">
        <f t="shared" si="6"/>
        <v>1566</v>
      </c>
      <c r="G348" s="328"/>
      <c r="H348" s="44"/>
      <c r="I348" s="44"/>
      <c r="J348" s="44"/>
    </row>
    <row r="349" spans="1:10" s="656" customFormat="1" ht="12.75" customHeight="1">
      <c r="A349" s="926"/>
      <c r="B349" s="923"/>
      <c r="C349" s="919"/>
      <c r="D349" s="920"/>
      <c r="E349" s="921"/>
      <c r="F349" s="1345">
        <f t="shared" si="6"/>
        <v>0</v>
      </c>
      <c r="G349" s="328"/>
      <c r="H349" s="44"/>
      <c r="I349" s="44"/>
      <c r="J349" s="44"/>
    </row>
    <row r="350" spans="1:10" s="656" customFormat="1" ht="12.75" customHeight="1">
      <c r="A350" s="924">
        <v>2</v>
      </c>
      <c r="B350" s="925" t="s">
        <v>583</v>
      </c>
      <c r="C350" s="919"/>
      <c r="D350" s="920"/>
      <c r="E350" s="921"/>
      <c r="F350" s="1345">
        <f t="shared" si="6"/>
        <v>0</v>
      </c>
      <c r="G350" s="328"/>
      <c r="H350" s="44"/>
      <c r="I350" s="44"/>
      <c r="J350" s="44"/>
    </row>
    <row r="351" spans="1:10" s="656" customFormat="1" ht="12.75" customHeight="1">
      <c r="A351" s="926">
        <v>2.1</v>
      </c>
      <c r="B351" s="1398" t="s">
        <v>777</v>
      </c>
      <c r="C351" s="928">
        <v>2.56</v>
      </c>
      <c r="D351" s="920" t="s">
        <v>2</v>
      </c>
      <c r="E351" s="929" t="e">
        <f>+'ANALISIS PTAP'!F488</f>
        <v>#REF!</v>
      </c>
      <c r="F351" s="1345" t="e">
        <f t="shared" si="6"/>
        <v>#REF!</v>
      </c>
      <c r="G351" s="328"/>
      <c r="H351" s="44"/>
      <c r="I351" s="44"/>
      <c r="J351" s="44"/>
    </row>
    <row r="352" spans="1:10" s="656" customFormat="1" ht="12.75" customHeight="1">
      <c r="A352" s="926">
        <v>2.2000000000000002</v>
      </c>
      <c r="B352" s="1398" t="s">
        <v>1247</v>
      </c>
      <c r="C352" s="928">
        <v>3.24</v>
      </c>
      <c r="D352" s="920" t="s">
        <v>2</v>
      </c>
      <c r="E352" s="929">
        <f>+'ANALISIS PTAP'!F499</f>
        <v>25000</v>
      </c>
      <c r="F352" s="1345">
        <f t="shared" si="6"/>
        <v>81000</v>
      </c>
      <c r="G352" s="328"/>
      <c r="H352" s="44"/>
      <c r="I352" s="44"/>
      <c r="J352" s="44"/>
    </row>
    <row r="353" spans="1:10" s="656" customFormat="1" ht="12.75" customHeight="1">
      <c r="A353" s="926">
        <v>2.2999999999999998</v>
      </c>
      <c r="B353" s="1398" t="s">
        <v>1248</v>
      </c>
      <c r="C353" s="919">
        <v>2.4300000000000002</v>
      </c>
      <c r="D353" s="920" t="s">
        <v>2</v>
      </c>
      <c r="E353" s="1395" t="e">
        <f>+'ANALISIS PTAP'!F500</f>
        <v>#REF!</v>
      </c>
      <c r="F353" s="1345" t="e">
        <f t="shared" si="6"/>
        <v>#REF!</v>
      </c>
      <c r="G353" s="328"/>
      <c r="H353" s="44"/>
      <c r="I353" s="44"/>
      <c r="J353" s="44"/>
    </row>
    <row r="354" spans="1:10" s="656" customFormat="1" ht="12.75" customHeight="1">
      <c r="A354" s="926">
        <v>2.4</v>
      </c>
      <c r="B354" s="1398" t="s">
        <v>780</v>
      </c>
      <c r="C354" s="919">
        <v>0.71</v>
      </c>
      <c r="D354" s="920" t="s">
        <v>2</v>
      </c>
      <c r="E354" s="921" t="e">
        <f>+'ANALISIS PTAP'!F506</f>
        <v>#REF!</v>
      </c>
      <c r="F354" s="1345" t="e">
        <f t="shared" si="6"/>
        <v>#REF!</v>
      </c>
      <c r="G354" s="328"/>
      <c r="H354" s="44"/>
      <c r="I354" s="44"/>
      <c r="J354" s="44"/>
    </row>
    <row r="355" spans="1:10" s="656" customFormat="1" ht="12.75" customHeight="1">
      <c r="A355" s="926">
        <v>2.5</v>
      </c>
      <c r="B355" s="1398" t="s">
        <v>781</v>
      </c>
      <c r="C355" s="919">
        <v>0.34</v>
      </c>
      <c r="D355" s="920" t="s">
        <v>2</v>
      </c>
      <c r="E355" s="921" t="e">
        <f>+'ANALISIS PTAP'!F288</f>
        <v>#REF!</v>
      </c>
      <c r="F355" s="1345" t="e">
        <f t="shared" si="6"/>
        <v>#REF!</v>
      </c>
      <c r="G355" s="328"/>
      <c r="H355" s="44"/>
      <c r="I355" s="44"/>
      <c r="J355" s="44"/>
    </row>
    <row r="356" spans="1:10" s="656" customFormat="1" ht="12.75" customHeight="1">
      <c r="A356" s="926">
        <v>2.6</v>
      </c>
      <c r="B356" s="1398" t="s">
        <v>782</v>
      </c>
      <c r="C356" s="919">
        <v>4.7</v>
      </c>
      <c r="D356" s="920" t="s">
        <v>2</v>
      </c>
      <c r="E356" s="921" t="e">
        <f>+'ANALISIS PTAP'!F513</f>
        <v>#REF!</v>
      </c>
      <c r="F356" s="1345" t="e">
        <f t="shared" si="6"/>
        <v>#REF!</v>
      </c>
      <c r="G356" s="328"/>
      <c r="H356" s="44"/>
      <c r="I356" s="44"/>
      <c r="J356" s="44"/>
    </row>
    <row r="357" spans="1:10" s="656" customFormat="1" ht="12.75" customHeight="1">
      <c r="A357" s="926">
        <v>2.7</v>
      </c>
      <c r="B357" s="1398" t="s">
        <v>783</v>
      </c>
      <c r="C357" s="919">
        <v>4.7</v>
      </c>
      <c r="D357" s="920" t="s">
        <v>2</v>
      </c>
      <c r="E357" s="921" t="e">
        <f>+'ANALISIS PTAP'!F519</f>
        <v>#REF!</v>
      </c>
      <c r="F357" s="1345" t="e">
        <f t="shared" si="6"/>
        <v>#REF!</v>
      </c>
      <c r="G357" s="328"/>
      <c r="H357" s="44"/>
      <c r="I357" s="44"/>
      <c r="J357" s="44"/>
    </row>
    <row r="358" spans="1:10" s="656" customFormat="1" ht="12.75" customHeight="1">
      <c r="A358" s="926"/>
      <c r="B358" s="923"/>
      <c r="C358" s="919"/>
      <c r="D358" s="920"/>
      <c r="E358" s="921"/>
      <c r="F358" s="1345">
        <f t="shared" si="6"/>
        <v>0</v>
      </c>
      <c r="G358" s="328"/>
      <c r="H358" s="44"/>
      <c r="I358" s="44"/>
      <c r="J358" s="44"/>
    </row>
    <row r="359" spans="1:10" s="656" customFormat="1" ht="12.75" customHeight="1">
      <c r="A359" s="924">
        <v>3</v>
      </c>
      <c r="B359" s="925" t="s">
        <v>784</v>
      </c>
      <c r="C359" s="919"/>
      <c r="D359" s="920"/>
      <c r="E359" s="921"/>
      <c r="F359" s="1345">
        <f t="shared" si="6"/>
        <v>0</v>
      </c>
      <c r="G359" s="328"/>
      <c r="H359" s="44"/>
      <c r="I359" s="44"/>
      <c r="J359" s="44"/>
    </row>
    <row r="360" spans="1:10" s="656" customFormat="1" ht="25.5" customHeight="1">
      <c r="A360" s="926">
        <v>3.1</v>
      </c>
      <c r="B360" s="1398" t="s">
        <v>785</v>
      </c>
      <c r="C360" s="919">
        <v>1.44</v>
      </c>
      <c r="D360" s="920" t="s">
        <v>11</v>
      </c>
      <c r="E360" s="921">
        <f>+'ANALISIS PTAP'!F563</f>
        <v>833.75</v>
      </c>
      <c r="F360" s="1345">
        <f t="shared" si="6"/>
        <v>1200.5999999999999</v>
      </c>
      <c r="G360" s="328"/>
      <c r="H360" s="44"/>
      <c r="I360" s="44"/>
      <c r="J360" s="44"/>
    </row>
    <row r="361" spans="1:10" s="656" customFormat="1" ht="12.75" customHeight="1">
      <c r="A361" s="926">
        <v>3.2</v>
      </c>
      <c r="B361" s="1389" t="s">
        <v>786</v>
      </c>
      <c r="C361" s="919">
        <v>149.97</v>
      </c>
      <c r="D361" s="920" t="s">
        <v>11</v>
      </c>
      <c r="E361" s="921">
        <f>+'ANALISIS PTAP'!F552</f>
        <v>920.17</v>
      </c>
      <c r="F361" s="1345">
        <f t="shared" si="6"/>
        <v>137997.89000000001</v>
      </c>
      <c r="G361" s="328"/>
      <c r="H361" s="44"/>
      <c r="I361" s="44"/>
      <c r="J361" s="44"/>
    </row>
    <row r="362" spans="1:10" s="656" customFormat="1" ht="12.75" customHeight="1">
      <c r="A362" s="930"/>
      <c r="B362" s="930"/>
      <c r="C362" s="931"/>
      <c r="D362" s="920"/>
      <c r="E362" s="929"/>
      <c r="F362" s="1345">
        <f t="shared" si="6"/>
        <v>0</v>
      </c>
      <c r="G362" s="328"/>
      <c r="H362" s="44"/>
      <c r="I362" s="44"/>
      <c r="J362" s="44"/>
    </row>
    <row r="363" spans="1:10" s="656" customFormat="1" ht="12.75" customHeight="1">
      <c r="A363" s="924">
        <v>4</v>
      </c>
      <c r="B363" s="925" t="s">
        <v>787</v>
      </c>
      <c r="C363" s="919"/>
      <c r="D363" s="920"/>
      <c r="E363" s="921"/>
      <c r="F363" s="1345">
        <f t="shared" si="6"/>
        <v>0</v>
      </c>
      <c r="G363" s="328"/>
      <c r="H363" s="44"/>
      <c r="I363" s="44"/>
      <c r="J363" s="44"/>
    </row>
    <row r="364" spans="1:10" s="656" customFormat="1" ht="12.75" customHeight="1">
      <c r="A364" s="926">
        <v>4.0999999999999996</v>
      </c>
      <c r="B364" s="1398" t="s">
        <v>788</v>
      </c>
      <c r="C364" s="919">
        <v>480.54</v>
      </c>
      <c r="D364" s="920" t="s">
        <v>11</v>
      </c>
      <c r="E364" s="932" t="e">
        <f>+E328</f>
        <v>#REF!</v>
      </c>
      <c r="F364" s="1345" t="e">
        <f t="shared" si="6"/>
        <v>#REF!</v>
      </c>
      <c r="G364" s="328"/>
      <c r="H364" s="44"/>
      <c r="I364" s="44"/>
      <c r="J364" s="44"/>
    </row>
    <row r="365" spans="1:10" s="656" customFormat="1" ht="12.75" customHeight="1">
      <c r="A365" s="926">
        <v>4.2</v>
      </c>
      <c r="B365" s="1398" t="s">
        <v>789</v>
      </c>
      <c r="C365" s="919">
        <v>34.729999999999997</v>
      </c>
      <c r="D365" s="920" t="s">
        <v>11</v>
      </c>
      <c r="E365" s="921">
        <f>+'ANALISIS PTAP'!F245</f>
        <v>501.75</v>
      </c>
      <c r="F365" s="1345">
        <f t="shared" si="6"/>
        <v>17425.78</v>
      </c>
      <c r="G365" s="328"/>
      <c r="H365" s="44"/>
      <c r="I365" s="44"/>
      <c r="J365" s="44"/>
    </row>
    <row r="366" spans="1:10" s="656" customFormat="1" ht="12.75" customHeight="1">
      <c r="A366" s="926">
        <v>4.5</v>
      </c>
      <c r="B366" s="1398" t="s">
        <v>618</v>
      </c>
      <c r="C366" s="919">
        <v>230</v>
      </c>
      <c r="D366" s="920" t="s">
        <v>1</v>
      </c>
      <c r="E366" s="932" t="e">
        <f>+E310</f>
        <v>#REF!</v>
      </c>
      <c r="F366" s="1345" t="e">
        <f t="shared" si="6"/>
        <v>#REF!</v>
      </c>
      <c r="G366" s="328"/>
      <c r="H366" s="44"/>
      <c r="I366" s="44"/>
      <c r="J366" s="44"/>
    </row>
    <row r="367" spans="1:10" s="656" customFormat="1" ht="12.75" customHeight="1">
      <c r="A367" s="926">
        <v>4.5999999999999996</v>
      </c>
      <c r="B367" s="1398" t="s">
        <v>790</v>
      </c>
      <c r="C367" s="919">
        <v>63.38</v>
      </c>
      <c r="D367" s="920" t="s">
        <v>2</v>
      </c>
      <c r="E367" s="1395" t="e">
        <f>+E140</f>
        <v>#REF!</v>
      </c>
      <c r="F367" s="1345" t="e">
        <f t="shared" si="6"/>
        <v>#REF!</v>
      </c>
      <c r="G367" s="328"/>
      <c r="H367" s="44"/>
      <c r="I367" s="44"/>
      <c r="J367" s="44"/>
    </row>
    <row r="368" spans="1:10" s="656" customFormat="1" ht="12.75" customHeight="1">
      <c r="A368" s="926">
        <v>4.7</v>
      </c>
      <c r="B368" s="869" t="s">
        <v>202</v>
      </c>
      <c r="C368" s="865">
        <f>+C364</f>
        <v>480.54</v>
      </c>
      <c r="D368" s="866" t="s">
        <v>11</v>
      </c>
      <c r="E368" s="867">
        <v>81.36</v>
      </c>
      <c r="F368" s="1345">
        <f t="shared" si="6"/>
        <v>39096.730000000003</v>
      </c>
      <c r="G368" s="251"/>
      <c r="H368" s="251"/>
      <c r="I368" s="251"/>
      <c r="J368" s="251"/>
    </row>
    <row r="369" spans="1:10" s="656" customFormat="1" ht="12.75" customHeight="1">
      <c r="A369" s="926">
        <v>4.8</v>
      </c>
      <c r="B369" s="869" t="s">
        <v>767</v>
      </c>
      <c r="C369" s="865">
        <f>+C368</f>
        <v>480.54</v>
      </c>
      <c r="D369" s="866" t="s">
        <v>11</v>
      </c>
      <c r="E369" s="867">
        <v>42.01</v>
      </c>
      <c r="F369" s="1345">
        <f t="shared" si="6"/>
        <v>20187.490000000002</v>
      </c>
      <c r="G369" s="251"/>
      <c r="H369" s="251"/>
      <c r="I369" s="251"/>
      <c r="J369" s="251"/>
    </row>
    <row r="370" spans="1:10" s="656" customFormat="1" ht="12.75" customHeight="1">
      <c r="A370" s="926">
        <v>4.9000000000000004</v>
      </c>
      <c r="B370" s="1398" t="s">
        <v>791</v>
      </c>
      <c r="C370" s="919">
        <v>4.76</v>
      </c>
      <c r="D370" s="920" t="s">
        <v>11</v>
      </c>
      <c r="E370" s="921">
        <f>+'ANALISIS PTAP'!F273</f>
        <v>530.77</v>
      </c>
      <c r="F370" s="1345">
        <f t="shared" si="6"/>
        <v>2526.4699999999998</v>
      </c>
      <c r="G370" s="328"/>
      <c r="H370" s="44"/>
      <c r="I370" s="44"/>
      <c r="J370" s="44"/>
    </row>
    <row r="371" spans="1:10" s="656" customFormat="1" ht="12.75" customHeight="1">
      <c r="A371" s="926">
        <v>5</v>
      </c>
      <c r="B371" s="1398" t="s">
        <v>792</v>
      </c>
      <c r="C371" s="919">
        <v>23.82</v>
      </c>
      <c r="D371" s="920" t="s">
        <v>1</v>
      </c>
      <c r="E371" s="1395">
        <f>+'ANALISIS PTAP'!F604</f>
        <v>98.84</v>
      </c>
      <c r="F371" s="1345">
        <f t="shared" si="6"/>
        <v>2354.37</v>
      </c>
      <c r="G371" s="328"/>
      <c r="H371" s="44"/>
      <c r="I371" s="44"/>
      <c r="J371" s="44"/>
    </row>
    <row r="372" spans="1:10" s="656" customFormat="1" ht="12.75" customHeight="1">
      <c r="A372" s="922"/>
      <c r="B372" s="923"/>
      <c r="C372" s="919"/>
      <c r="D372" s="920"/>
      <c r="E372" s="921"/>
      <c r="F372" s="1345">
        <f t="shared" si="6"/>
        <v>0</v>
      </c>
      <c r="G372" s="328"/>
      <c r="H372" s="44"/>
      <c r="I372" s="44"/>
      <c r="J372" s="44"/>
    </row>
    <row r="373" spans="1:10" s="656" customFormat="1" ht="12.75" customHeight="1">
      <c r="A373" s="924">
        <v>5</v>
      </c>
      <c r="B373" s="925" t="s">
        <v>793</v>
      </c>
      <c r="C373" s="919"/>
      <c r="D373" s="920"/>
      <c r="E373" s="921"/>
      <c r="F373" s="1345">
        <f t="shared" si="6"/>
        <v>0</v>
      </c>
      <c r="G373" s="328"/>
      <c r="H373" s="44"/>
      <c r="I373" s="44"/>
      <c r="J373" s="44"/>
    </row>
    <row r="374" spans="1:10" s="656" customFormat="1" ht="25.5" customHeight="1">
      <c r="A374" s="926">
        <v>5.0999999999999996</v>
      </c>
      <c r="B374" s="923" t="s">
        <v>1231</v>
      </c>
      <c r="C374" s="919">
        <v>1</v>
      </c>
      <c r="D374" s="920" t="s">
        <v>3</v>
      </c>
      <c r="E374" s="921">
        <v>6500</v>
      </c>
      <c r="F374" s="1345">
        <f t="shared" si="6"/>
        <v>6500</v>
      </c>
      <c r="G374" s="328"/>
      <c r="H374" s="44"/>
      <c r="I374" s="44"/>
      <c r="J374" s="44"/>
    </row>
    <row r="375" spans="1:10" s="656" customFormat="1" ht="25.5" customHeight="1">
      <c r="A375" s="926">
        <v>5.2</v>
      </c>
      <c r="B375" s="923" t="s">
        <v>794</v>
      </c>
      <c r="C375" s="933">
        <v>5.04</v>
      </c>
      <c r="D375" s="934" t="s">
        <v>11</v>
      </c>
      <c r="E375" s="935">
        <v>4185.74</v>
      </c>
      <c r="F375" s="1345">
        <f t="shared" si="6"/>
        <v>21096.13</v>
      </c>
      <c r="G375" s="328"/>
      <c r="H375" s="44"/>
      <c r="I375" s="44"/>
      <c r="J375" s="44"/>
    </row>
    <row r="376" spans="1:10" s="656" customFormat="1" ht="12.75" customHeight="1">
      <c r="A376" s="926"/>
      <c r="B376" s="923"/>
      <c r="C376" s="919"/>
      <c r="D376" s="920"/>
      <c r="E376" s="921"/>
      <c r="F376" s="1345">
        <f t="shared" si="6"/>
        <v>0</v>
      </c>
      <c r="G376" s="328"/>
      <c r="H376" s="44"/>
      <c r="I376" s="44"/>
      <c r="J376" s="44"/>
    </row>
    <row r="377" spans="1:10" s="656" customFormat="1" ht="12.75" customHeight="1">
      <c r="A377" s="936">
        <v>6</v>
      </c>
      <c r="B377" s="923" t="s">
        <v>795</v>
      </c>
      <c r="C377" s="919">
        <v>59.18</v>
      </c>
      <c r="D377" s="920" t="s">
        <v>155</v>
      </c>
      <c r="E377" s="921">
        <v>283.92</v>
      </c>
      <c r="F377" s="1345">
        <f t="shared" si="6"/>
        <v>16802.39</v>
      </c>
      <c r="G377" s="328"/>
      <c r="H377" s="44"/>
      <c r="I377" s="44"/>
      <c r="J377" s="44"/>
    </row>
    <row r="378" spans="1:10" s="656" customFormat="1" ht="25.5" customHeight="1">
      <c r="A378" s="936">
        <v>7</v>
      </c>
      <c r="B378" s="923" t="s">
        <v>796</v>
      </c>
      <c r="C378" s="919">
        <v>5</v>
      </c>
      <c r="D378" s="920" t="s">
        <v>3</v>
      </c>
      <c r="E378" s="921">
        <v>1603.84</v>
      </c>
      <c r="F378" s="1345">
        <f t="shared" si="6"/>
        <v>8019.2</v>
      </c>
      <c r="G378" s="328"/>
      <c r="H378" s="44"/>
      <c r="I378" s="44"/>
      <c r="J378" s="44"/>
    </row>
    <row r="379" spans="1:10" s="656" customFormat="1" ht="12.75" customHeight="1">
      <c r="A379" s="936"/>
      <c r="B379" s="923"/>
      <c r="C379" s="919"/>
      <c r="D379" s="920"/>
      <c r="E379" s="921"/>
      <c r="F379" s="1345">
        <f t="shared" si="6"/>
        <v>0</v>
      </c>
      <c r="G379" s="328"/>
      <c r="H379" s="44"/>
      <c r="I379" s="44"/>
      <c r="J379" s="44"/>
    </row>
    <row r="380" spans="1:10" s="656" customFormat="1" ht="12.75" customHeight="1">
      <c r="A380" s="937">
        <v>8</v>
      </c>
      <c r="B380" s="882" t="s">
        <v>797</v>
      </c>
      <c r="C380" s="938"/>
      <c r="D380" s="939"/>
      <c r="E380" s="927"/>
      <c r="F380" s="1345">
        <f t="shared" si="6"/>
        <v>0</v>
      </c>
      <c r="G380" s="328"/>
      <c r="H380" s="44"/>
      <c r="I380" s="44"/>
      <c r="J380" s="44"/>
    </row>
    <row r="381" spans="1:10" s="656" customFormat="1" ht="51" customHeight="1">
      <c r="A381" s="940">
        <v>8.1</v>
      </c>
      <c r="B381" s="879" t="s">
        <v>798</v>
      </c>
      <c r="C381" s="933">
        <v>3</v>
      </c>
      <c r="D381" s="941" t="s">
        <v>3</v>
      </c>
      <c r="E381" s="932">
        <v>37550</v>
      </c>
      <c r="F381" s="1345">
        <f t="shared" si="6"/>
        <v>112650</v>
      </c>
      <c r="G381" s="328"/>
      <c r="H381" s="44"/>
      <c r="I381" s="44"/>
      <c r="J381" s="44"/>
    </row>
    <row r="382" spans="1:10" s="656" customFormat="1" ht="12.75" customHeight="1">
      <c r="A382" s="942">
        <v>8.1999999999999993</v>
      </c>
      <c r="B382" s="869" t="s">
        <v>799</v>
      </c>
      <c r="C382" s="938">
        <v>180</v>
      </c>
      <c r="D382" s="939" t="s">
        <v>800</v>
      </c>
      <c r="E382" s="927">
        <v>8.9499999999999993</v>
      </c>
      <c r="F382" s="1345">
        <f t="shared" si="6"/>
        <v>1611</v>
      </c>
      <c r="G382" s="328"/>
      <c r="H382" s="44"/>
      <c r="I382" s="44"/>
      <c r="J382" s="44"/>
    </row>
    <row r="383" spans="1:10" s="656" customFormat="1" ht="12.75" customHeight="1">
      <c r="A383" s="940">
        <v>8.3000000000000007</v>
      </c>
      <c r="B383" s="869" t="s">
        <v>801</v>
      </c>
      <c r="C383" s="938">
        <v>1</v>
      </c>
      <c r="D383" s="939" t="s">
        <v>42</v>
      </c>
      <c r="E383" s="927">
        <v>1500</v>
      </c>
      <c r="F383" s="1345">
        <f t="shared" si="6"/>
        <v>1500</v>
      </c>
      <c r="G383" s="328"/>
      <c r="H383" s="44"/>
      <c r="I383" s="44"/>
      <c r="J383" s="44"/>
    </row>
    <row r="384" spans="1:10" s="656" customFormat="1" ht="12.75" customHeight="1">
      <c r="A384" s="942">
        <v>8.4</v>
      </c>
      <c r="B384" s="869" t="s">
        <v>802</v>
      </c>
      <c r="C384" s="938">
        <v>1</v>
      </c>
      <c r="D384" s="939" t="s">
        <v>3</v>
      </c>
      <c r="E384" s="927">
        <v>12750</v>
      </c>
      <c r="F384" s="1345">
        <f t="shared" si="6"/>
        <v>12750</v>
      </c>
      <c r="G384" s="328"/>
      <c r="H384" s="44"/>
      <c r="I384" s="44"/>
      <c r="J384" s="44"/>
    </row>
    <row r="385" spans="1:10" s="656" customFormat="1" ht="12.75" customHeight="1">
      <c r="A385" s="940">
        <v>8.5</v>
      </c>
      <c r="B385" s="869" t="s">
        <v>803</v>
      </c>
      <c r="C385" s="938">
        <v>2</v>
      </c>
      <c r="D385" s="939" t="s">
        <v>3</v>
      </c>
      <c r="E385" s="927">
        <v>4000</v>
      </c>
      <c r="F385" s="1345">
        <f t="shared" si="6"/>
        <v>8000</v>
      </c>
      <c r="G385" s="328"/>
      <c r="H385" s="44"/>
      <c r="I385" s="44"/>
      <c r="J385" s="44"/>
    </row>
    <row r="386" spans="1:10" s="656" customFormat="1" ht="12.75" customHeight="1">
      <c r="A386" s="942">
        <v>8.6</v>
      </c>
      <c r="B386" s="869" t="s">
        <v>804</v>
      </c>
      <c r="C386" s="938">
        <v>1</v>
      </c>
      <c r="D386" s="939" t="s">
        <v>689</v>
      </c>
      <c r="E386" s="927">
        <v>6000</v>
      </c>
      <c r="F386" s="1345">
        <f t="shared" si="6"/>
        <v>6000</v>
      </c>
      <c r="G386" s="328"/>
      <c r="H386" s="44"/>
      <c r="I386" s="44"/>
      <c r="J386" s="44"/>
    </row>
    <row r="387" spans="1:10" s="656" customFormat="1" ht="12.75" customHeight="1">
      <c r="A387" s="942"/>
      <c r="B387" s="869"/>
      <c r="C387" s="938"/>
      <c r="D387" s="939"/>
      <c r="E387" s="927"/>
      <c r="F387" s="1345">
        <f t="shared" si="6"/>
        <v>0</v>
      </c>
      <c r="G387" s="328"/>
      <c r="H387" s="44"/>
      <c r="I387" s="44"/>
      <c r="J387" s="44"/>
    </row>
    <row r="388" spans="1:10" s="656" customFormat="1" ht="12.75" customHeight="1">
      <c r="A388" s="943">
        <v>9</v>
      </c>
      <c r="B388" s="869" t="s">
        <v>805</v>
      </c>
      <c r="C388" s="938">
        <v>1</v>
      </c>
      <c r="D388" s="939" t="s">
        <v>689</v>
      </c>
      <c r="E388" s="927">
        <v>8500</v>
      </c>
      <c r="F388" s="1345">
        <f t="shared" si="6"/>
        <v>8500</v>
      </c>
      <c r="G388" s="328"/>
      <c r="H388" s="44"/>
      <c r="I388" s="44"/>
      <c r="J388" s="44"/>
    </row>
    <row r="389" spans="1:10" s="656" customFormat="1" ht="12.75" customHeight="1">
      <c r="A389" s="936">
        <v>10</v>
      </c>
      <c r="B389" s="923" t="s">
        <v>806</v>
      </c>
      <c r="C389" s="919">
        <v>1</v>
      </c>
      <c r="D389" s="920" t="s">
        <v>3</v>
      </c>
      <c r="E389" s="921">
        <v>500</v>
      </c>
      <c r="F389" s="1345">
        <f t="shared" si="6"/>
        <v>500</v>
      </c>
      <c r="G389" s="328"/>
      <c r="H389" s="44"/>
      <c r="I389" s="44"/>
      <c r="J389" s="44"/>
    </row>
    <row r="390" spans="1:10" s="656" customFormat="1" ht="63.75" customHeight="1">
      <c r="A390" s="936">
        <v>11</v>
      </c>
      <c r="B390" s="923" t="s">
        <v>807</v>
      </c>
      <c r="C390" s="933">
        <v>2</v>
      </c>
      <c r="D390" s="934" t="s">
        <v>3</v>
      </c>
      <c r="E390" s="935">
        <v>100000</v>
      </c>
      <c r="F390" s="1345">
        <f t="shared" si="6"/>
        <v>200000</v>
      </c>
      <c r="G390" s="328"/>
      <c r="H390" s="44"/>
      <c r="I390" s="44"/>
      <c r="J390" s="44"/>
    </row>
    <row r="391" spans="1:10" s="656" customFormat="1" ht="12.75" customHeight="1">
      <c r="A391" s="936"/>
      <c r="B391" s="923"/>
      <c r="C391" s="919"/>
      <c r="D391" s="920"/>
      <c r="E391" s="921"/>
      <c r="F391" s="1345">
        <f t="shared" si="6"/>
        <v>0</v>
      </c>
      <c r="G391" s="328"/>
      <c r="H391" s="44"/>
      <c r="I391" s="44"/>
      <c r="J391" s="44"/>
    </row>
    <row r="392" spans="1:10" s="656" customFormat="1" ht="12.75" customHeight="1">
      <c r="A392" s="924">
        <v>12</v>
      </c>
      <c r="B392" s="925" t="s">
        <v>808</v>
      </c>
      <c r="C392" s="919"/>
      <c r="D392" s="920"/>
      <c r="E392" s="921"/>
      <c r="F392" s="1345">
        <f t="shared" si="6"/>
        <v>0</v>
      </c>
      <c r="G392" s="328"/>
      <c r="H392" s="44"/>
      <c r="I392" s="44"/>
      <c r="J392" s="44"/>
    </row>
    <row r="393" spans="1:10" s="656" customFormat="1" ht="12.75" customHeight="1">
      <c r="A393" s="944">
        <v>12.1</v>
      </c>
      <c r="B393" s="945" t="s">
        <v>1232</v>
      </c>
      <c r="C393" s="919">
        <v>1</v>
      </c>
      <c r="D393" s="946" t="s">
        <v>3</v>
      </c>
      <c r="E393" s="921">
        <v>110000</v>
      </c>
      <c r="F393" s="1345">
        <f t="shared" si="6"/>
        <v>110000</v>
      </c>
      <c r="G393" s="328"/>
      <c r="H393" s="44"/>
      <c r="I393" s="44"/>
      <c r="J393" s="44"/>
    </row>
    <row r="394" spans="1:10" s="656" customFormat="1" ht="25.5" customHeight="1">
      <c r="A394" s="944">
        <v>12.2</v>
      </c>
      <c r="B394" s="945" t="s">
        <v>809</v>
      </c>
      <c r="C394" s="933">
        <v>1</v>
      </c>
      <c r="D394" s="947" t="s">
        <v>3</v>
      </c>
      <c r="E394" s="935">
        <v>69215.679999999993</v>
      </c>
      <c r="F394" s="1345">
        <f t="shared" si="6"/>
        <v>69215.679999999993</v>
      </c>
      <c r="G394" s="328"/>
      <c r="H394" s="44"/>
      <c r="I394" s="44"/>
      <c r="J394" s="44"/>
    </row>
    <row r="395" spans="1:10" s="656" customFormat="1" ht="12.75" customHeight="1">
      <c r="A395" s="944"/>
      <c r="B395" s="945"/>
      <c r="C395" s="919"/>
      <c r="D395" s="946"/>
      <c r="E395" s="921"/>
      <c r="F395" s="1345">
        <f t="shared" si="6"/>
        <v>0</v>
      </c>
      <c r="G395" s="328"/>
      <c r="H395" s="44"/>
      <c r="I395" s="44"/>
      <c r="J395" s="44"/>
    </row>
    <row r="396" spans="1:10" s="656" customFormat="1" ht="12.75" customHeight="1">
      <c r="A396" s="924">
        <v>13</v>
      </c>
      <c r="B396" s="925" t="s">
        <v>810</v>
      </c>
      <c r="C396" s="919"/>
      <c r="D396" s="920"/>
      <c r="E396" s="921"/>
      <c r="F396" s="1345">
        <f t="shared" si="6"/>
        <v>0</v>
      </c>
      <c r="G396" s="328"/>
      <c r="H396" s="44"/>
      <c r="I396" s="44"/>
      <c r="J396" s="44"/>
    </row>
    <row r="397" spans="1:10" s="656" customFormat="1" ht="12.75" customHeight="1">
      <c r="A397" s="926">
        <v>13.1</v>
      </c>
      <c r="B397" s="923" t="s">
        <v>811</v>
      </c>
      <c r="C397" s="919">
        <v>1</v>
      </c>
      <c r="D397" s="920" t="s">
        <v>3</v>
      </c>
      <c r="E397" s="921">
        <v>3653.22</v>
      </c>
      <c r="F397" s="1345">
        <f t="shared" si="6"/>
        <v>3653.22</v>
      </c>
      <c r="G397" s="328"/>
      <c r="H397" s="44"/>
      <c r="I397" s="44"/>
      <c r="J397" s="44"/>
    </row>
    <row r="398" spans="1:10" s="656" customFormat="1" ht="12.75" customHeight="1">
      <c r="A398" s="926">
        <v>13.2</v>
      </c>
      <c r="B398" s="923" t="s">
        <v>812</v>
      </c>
      <c r="C398" s="919">
        <v>1</v>
      </c>
      <c r="D398" s="920" t="s">
        <v>3</v>
      </c>
      <c r="E398" s="921">
        <v>3482.76</v>
      </c>
      <c r="F398" s="1345">
        <f t="shared" si="6"/>
        <v>3482.76</v>
      </c>
      <c r="G398" s="328"/>
      <c r="H398" s="44"/>
      <c r="I398" s="44"/>
      <c r="J398" s="44"/>
    </row>
    <row r="399" spans="1:10" s="656" customFormat="1" ht="12.75" customHeight="1">
      <c r="A399" s="926">
        <v>13.3</v>
      </c>
      <c r="B399" s="948" t="s">
        <v>813</v>
      </c>
      <c r="C399" s="919">
        <v>1</v>
      </c>
      <c r="D399" s="920" t="s">
        <v>3</v>
      </c>
      <c r="E399" s="921">
        <v>791.54</v>
      </c>
      <c r="F399" s="1345">
        <f t="shared" si="6"/>
        <v>791.54</v>
      </c>
      <c r="G399" s="328"/>
      <c r="H399" s="44"/>
      <c r="I399" s="44"/>
      <c r="J399" s="44"/>
    </row>
    <row r="400" spans="1:10" s="656" customFormat="1" ht="12.75" customHeight="1">
      <c r="A400" s="926">
        <v>13.4</v>
      </c>
      <c r="B400" s="949" t="s">
        <v>814</v>
      </c>
      <c r="C400" s="919">
        <v>1</v>
      </c>
      <c r="D400" s="920" t="s">
        <v>3</v>
      </c>
      <c r="E400" s="921">
        <v>5117.7299999999996</v>
      </c>
      <c r="F400" s="1345">
        <f t="shared" si="6"/>
        <v>5117.7299999999996</v>
      </c>
      <c r="G400" s="328"/>
      <c r="H400" s="44"/>
      <c r="I400" s="44"/>
      <c r="J400" s="44"/>
    </row>
    <row r="401" spans="1:10" s="656" customFormat="1" ht="12.75" customHeight="1">
      <c r="A401" s="926">
        <v>13.5</v>
      </c>
      <c r="B401" s="923" t="s">
        <v>815</v>
      </c>
      <c r="C401" s="919">
        <v>1</v>
      </c>
      <c r="D401" s="920" t="s">
        <v>3</v>
      </c>
      <c r="E401" s="921">
        <v>4000</v>
      </c>
      <c r="F401" s="1345">
        <f t="shared" si="6"/>
        <v>4000</v>
      </c>
      <c r="G401" s="328"/>
      <c r="H401" s="44"/>
      <c r="I401" s="44"/>
      <c r="J401" s="44"/>
    </row>
    <row r="402" spans="1:10" s="656" customFormat="1" ht="12.75" customHeight="1">
      <c r="A402" s="926">
        <v>13.6</v>
      </c>
      <c r="B402" s="923" t="s">
        <v>816</v>
      </c>
      <c r="C402" s="919">
        <v>1</v>
      </c>
      <c r="D402" s="920" t="s">
        <v>61</v>
      </c>
      <c r="E402" s="921">
        <v>1250</v>
      </c>
      <c r="F402" s="1345">
        <f t="shared" si="6"/>
        <v>1250</v>
      </c>
      <c r="G402" s="328"/>
      <c r="H402" s="44"/>
      <c r="I402" s="44"/>
      <c r="J402" s="44"/>
    </row>
    <row r="403" spans="1:10" s="656" customFormat="1" ht="12.75" customHeight="1">
      <c r="A403" s="926">
        <v>13.7</v>
      </c>
      <c r="B403" s="923" t="s">
        <v>817</v>
      </c>
      <c r="C403" s="919">
        <v>1</v>
      </c>
      <c r="D403" s="920" t="s">
        <v>61</v>
      </c>
      <c r="E403" s="921">
        <v>2500</v>
      </c>
      <c r="F403" s="1345">
        <f t="shared" si="6"/>
        <v>2500</v>
      </c>
      <c r="G403" s="328"/>
      <c r="H403" s="44"/>
      <c r="I403" s="44"/>
      <c r="J403" s="44"/>
    </row>
    <row r="404" spans="1:10" s="656" customFormat="1" ht="12.75" customHeight="1">
      <c r="A404" s="926">
        <v>13.8</v>
      </c>
      <c r="B404" s="923" t="s">
        <v>818</v>
      </c>
      <c r="C404" s="919">
        <v>1</v>
      </c>
      <c r="D404" s="920" t="s">
        <v>61</v>
      </c>
      <c r="E404" s="921">
        <v>2000</v>
      </c>
      <c r="F404" s="1345">
        <f t="shared" si="6"/>
        <v>2000</v>
      </c>
      <c r="G404" s="328"/>
      <c r="H404" s="44"/>
      <c r="I404" s="44"/>
      <c r="J404" s="44"/>
    </row>
    <row r="405" spans="1:10" s="656" customFormat="1" ht="12.75" customHeight="1">
      <c r="A405" s="926"/>
      <c r="B405" s="923"/>
      <c r="C405" s="919"/>
      <c r="D405" s="920"/>
      <c r="E405" s="921"/>
      <c r="F405" s="1345">
        <f t="shared" si="6"/>
        <v>0</v>
      </c>
      <c r="G405" s="328"/>
      <c r="H405" s="44"/>
      <c r="I405" s="44"/>
      <c r="J405" s="44"/>
    </row>
    <row r="406" spans="1:10" s="656" customFormat="1" ht="12.75" customHeight="1">
      <c r="A406" s="924">
        <v>14</v>
      </c>
      <c r="B406" s="925" t="s">
        <v>819</v>
      </c>
      <c r="C406" s="919"/>
      <c r="D406" s="920"/>
      <c r="E406" s="921"/>
      <c r="F406" s="1345">
        <f t="shared" si="6"/>
        <v>0</v>
      </c>
      <c r="G406" s="328"/>
      <c r="H406" s="44"/>
      <c r="I406" s="44"/>
      <c r="J406" s="44"/>
    </row>
    <row r="407" spans="1:10" s="656" customFormat="1" ht="12.75" customHeight="1">
      <c r="A407" s="926">
        <v>14.1</v>
      </c>
      <c r="B407" s="923" t="s">
        <v>820</v>
      </c>
      <c r="C407" s="919">
        <v>4</v>
      </c>
      <c r="D407" s="920" t="s">
        <v>3</v>
      </c>
      <c r="E407" s="921">
        <v>912.54</v>
      </c>
      <c r="F407" s="1345">
        <f t="shared" ref="F407:F470" si="7">+ROUND((E407*C407),2)</f>
        <v>3650.16</v>
      </c>
      <c r="G407" s="328"/>
      <c r="H407" s="44"/>
      <c r="I407" s="44"/>
      <c r="J407" s="44"/>
    </row>
    <row r="408" spans="1:10" s="656" customFormat="1" ht="12.75" customHeight="1">
      <c r="A408" s="926">
        <v>14.2</v>
      </c>
      <c r="B408" s="923" t="s">
        <v>821</v>
      </c>
      <c r="C408" s="919">
        <v>6</v>
      </c>
      <c r="D408" s="920" t="s">
        <v>3</v>
      </c>
      <c r="E408" s="921">
        <v>940.15</v>
      </c>
      <c r="F408" s="1345">
        <f t="shared" si="7"/>
        <v>5640.9</v>
      </c>
      <c r="G408" s="328"/>
      <c r="H408" s="44"/>
      <c r="I408" s="44"/>
      <c r="J408" s="44"/>
    </row>
    <row r="409" spans="1:10" s="656" customFormat="1" ht="12.75" customHeight="1">
      <c r="A409" s="926">
        <v>14.3</v>
      </c>
      <c r="B409" s="923" t="s">
        <v>822</v>
      </c>
      <c r="C409" s="919">
        <v>2</v>
      </c>
      <c r="D409" s="920" t="s">
        <v>3</v>
      </c>
      <c r="E409" s="921">
        <v>952.9</v>
      </c>
      <c r="F409" s="1345">
        <f t="shared" si="7"/>
        <v>1905.8</v>
      </c>
      <c r="G409" s="328"/>
      <c r="H409" s="44"/>
      <c r="I409" s="44"/>
      <c r="J409" s="44"/>
    </row>
    <row r="410" spans="1:10" s="656" customFormat="1" ht="12.75" customHeight="1">
      <c r="A410" s="926">
        <v>14.4</v>
      </c>
      <c r="B410" s="923" t="s">
        <v>823</v>
      </c>
      <c r="C410" s="919">
        <v>1</v>
      </c>
      <c r="D410" s="920" t="s">
        <v>3</v>
      </c>
      <c r="E410" s="921">
        <v>3600</v>
      </c>
      <c r="F410" s="1345">
        <f t="shared" si="7"/>
        <v>3600</v>
      </c>
      <c r="G410" s="328"/>
      <c r="H410" s="44"/>
      <c r="I410" s="44"/>
      <c r="J410" s="44"/>
    </row>
    <row r="411" spans="1:10" s="656" customFormat="1" ht="12.75" customHeight="1">
      <c r="A411" s="926"/>
      <c r="B411" s="923"/>
      <c r="C411" s="919"/>
      <c r="D411" s="920"/>
      <c r="E411" s="921"/>
      <c r="F411" s="1345">
        <f t="shared" si="7"/>
        <v>0</v>
      </c>
      <c r="G411" s="328"/>
      <c r="H411" s="44"/>
      <c r="I411" s="44"/>
      <c r="J411" s="44"/>
    </row>
    <row r="412" spans="1:10" s="656" customFormat="1" ht="12.75" customHeight="1">
      <c r="A412" s="924">
        <v>15</v>
      </c>
      <c r="B412" s="925" t="s">
        <v>824</v>
      </c>
      <c r="C412" s="919"/>
      <c r="D412" s="920"/>
      <c r="E412" s="921"/>
      <c r="F412" s="1345">
        <f t="shared" si="7"/>
        <v>0</v>
      </c>
      <c r="G412" s="328"/>
      <c r="H412" s="44"/>
      <c r="I412" s="44"/>
      <c r="J412" s="44"/>
    </row>
    <row r="413" spans="1:10" s="656" customFormat="1" ht="38.25" customHeight="1">
      <c r="A413" s="926">
        <v>15.1</v>
      </c>
      <c r="B413" s="923" t="s">
        <v>825</v>
      </c>
      <c r="C413" s="933">
        <v>6.56</v>
      </c>
      <c r="D413" s="934" t="s">
        <v>800</v>
      </c>
      <c r="E413" s="935">
        <v>1500</v>
      </c>
      <c r="F413" s="1345">
        <f t="shared" si="7"/>
        <v>9840</v>
      </c>
      <c r="G413" s="328"/>
      <c r="H413" s="44"/>
      <c r="I413" s="44"/>
      <c r="J413" s="44"/>
    </row>
    <row r="414" spans="1:10" s="656" customFormat="1" ht="12.75" customHeight="1">
      <c r="A414" s="926">
        <v>15.2</v>
      </c>
      <c r="B414" s="923" t="s">
        <v>826</v>
      </c>
      <c r="C414" s="919">
        <v>1.77</v>
      </c>
      <c r="D414" s="920" t="s">
        <v>11</v>
      </c>
      <c r="E414" s="921">
        <v>3190</v>
      </c>
      <c r="F414" s="1345">
        <f t="shared" si="7"/>
        <v>5646.3</v>
      </c>
      <c r="G414" s="328"/>
      <c r="H414" s="44"/>
      <c r="I414" s="44"/>
      <c r="J414" s="44"/>
    </row>
    <row r="415" spans="1:10" s="656" customFormat="1" ht="12.75" customHeight="1">
      <c r="A415" s="926"/>
      <c r="B415" s="923"/>
      <c r="C415" s="919"/>
      <c r="D415" s="920"/>
      <c r="E415" s="921"/>
      <c r="F415" s="1345">
        <f t="shared" si="7"/>
        <v>0</v>
      </c>
      <c r="G415" s="328"/>
      <c r="H415" s="44"/>
      <c r="I415" s="44"/>
      <c r="J415" s="44"/>
    </row>
    <row r="416" spans="1:10" s="656" customFormat="1" ht="12.75" customHeight="1">
      <c r="A416" s="924">
        <v>16</v>
      </c>
      <c r="B416" s="925" t="s">
        <v>827</v>
      </c>
      <c r="C416" s="919"/>
      <c r="D416" s="920"/>
      <c r="E416" s="921"/>
      <c r="F416" s="1345">
        <f t="shared" si="7"/>
        <v>0</v>
      </c>
      <c r="G416" s="328"/>
      <c r="H416" s="44"/>
      <c r="I416" s="44"/>
      <c r="J416" s="44"/>
    </row>
    <row r="417" spans="1:10" s="656" customFormat="1" ht="12.75" customHeight="1">
      <c r="A417" s="926">
        <v>16.100000000000001</v>
      </c>
      <c r="B417" s="923" t="s">
        <v>828</v>
      </c>
      <c r="C417" s="919">
        <v>1</v>
      </c>
      <c r="D417" s="920" t="s">
        <v>3</v>
      </c>
      <c r="E417" s="921">
        <v>54501.53</v>
      </c>
      <c r="F417" s="1345">
        <f t="shared" si="7"/>
        <v>54501.53</v>
      </c>
      <c r="G417" s="328"/>
      <c r="H417" s="44"/>
      <c r="I417" s="44"/>
      <c r="J417" s="44"/>
    </row>
    <row r="418" spans="1:10" s="656" customFormat="1" ht="25.5" customHeight="1">
      <c r="A418" s="926">
        <v>16.2</v>
      </c>
      <c r="B418" s="923" t="s">
        <v>829</v>
      </c>
      <c r="C418" s="933">
        <v>1</v>
      </c>
      <c r="D418" s="934" t="s">
        <v>3</v>
      </c>
      <c r="E418" s="935">
        <v>186115.55</v>
      </c>
      <c r="F418" s="1345">
        <f t="shared" si="7"/>
        <v>186115.55</v>
      </c>
      <c r="G418" s="328"/>
      <c r="H418" s="44"/>
      <c r="I418" s="44"/>
      <c r="J418" s="44"/>
    </row>
    <row r="419" spans="1:10" s="656" customFormat="1" ht="12.75" customHeight="1">
      <c r="A419" s="926">
        <v>16.3</v>
      </c>
      <c r="B419" s="923" t="s">
        <v>1234</v>
      </c>
      <c r="C419" s="919">
        <v>1</v>
      </c>
      <c r="D419" s="920" t="s">
        <v>3</v>
      </c>
      <c r="E419" s="921">
        <v>9617.84</v>
      </c>
      <c r="F419" s="1345">
        <f t="shared" si="7"/>
        <v>9617.84</v>
      </c>
      <c r="G419" s="328"/>
      <c r="H419" s="44"/>
      <c r="I419" s="44"/>
      <c r="J419" s="44"/>
    </row>
    <row r="420" spans="1:10" s="656" customFormat="1" ht="12.75" customHeight="1">
      <c r="A420" s="926">
        <v>16.399999999999999</v>
      </c>
      <c r="B420" s="923" t="s">
        <v>830</v>
      </c>
      <c r="C420" s="919">
        <v>2</v>
      </c>
      <c r="D420" s="920" t="s">
        <v>3</v>
      </c>
      <c r="E420" s="921">
        <v>3122.08</v>
      </c>
      <c r="F420" s="1345">
        <f t="shared" si="7"/>
        <v>6244.16</v>
      </c>
      <c r="G420" s="328"/>
      <c r="H420" s="44"/>
      <c r="I420" s="44"/>
      <c r="J420" s="44"/>
    </row>
    <row r="421" spans="1:10" s="656" customFormat="1" ht="12.75" customHeight="1">
      <c r="A421" s="926">
        <v>16.5</v>
      </c>
      <c r="B421" s="923" t="s">
        <v>831</v>
      </c>
      <c r="C421" s="919">
        <v>2</v>
      </c>
      <c r="D421" s="920" t="s">
        <v>3</v>
      </c>
      <c r="E421" s="921">
        <v>301.60000000000002</v>
      </c>
      <c r="F421" s="1345">
        <f t="shared" si="7"/>
        <v>603.20000000000005</v>
      </c>
      <c r="G421" s="328"/>
      <c r="H421" s="44"/>
      <c r="I421" s="44"/>
      <c r="J421" s="44"/>
    </row>
    <row r="422" spans="1:10" s="656" customFormat="1" ht="12.75" customHeight="1">
      <c r="A422" s="926">
        <v>16.600000000000001</v>
      </c>
      <c r="B422" s="923" t="s">
        <v>1233</v>
      </c>
      <c r="C422" s="919">
        <v>6</v>
      </c>
      <c r="D422" s="920" t="s">
        <v>3</v>
      </c>
      <c r="E422" s="921">
        <v>987.23</v>
      </c>
      <c r="F422" s="1345">
        <f t="shared" si="7"/>
        <v>5923.38</v>
      </c>
      <c r="G422" s="328"/>
      <c r="H422" s="44"/>
      <c r="I422" s="44"/>
      <c r="J422" s="44"/>
    </row>
    <row r="423" spans="1:10" s="656" customFormat="1" ht="12.75" customHeight="1">
      <c r="A423" s="926">
        <v>16.7</v>
      </c>
      <c r="B423" s="923" t="s">
        <v>832</v>
      </c>
      <c r="C423" s="919">
        <v>2</v>
      </c>
      <c r="D423" s="920" t="s">
        <v>3</v>
      </c>
      <c r="E423" s="921">
        <v>940.45</v>
      </c>
      <c r="F423" s="1345">
        <f t="shared" si="7"/>
        <v>1880.9</v>
      </c>
      <c r="G423" s="328"/>
      <c r="H423" s="44"/>
      <c r="I423" s="44"/>
      <c r="J423" s="44"/>
    </row>
    <row r="424" spans="1:10" s="656" customFormat="1" ht="12.75" customHeight="1">
      <c r="A424" s="926"/>
      <c r="B424" s="923"/>
      <c r="C424" s="919"/>
      <c r="D424" s="920"/>
      <c r="E424" s="921"/>
      <c r="F424" s="1345">
        <f t="shared" si="7"/>
        <v>0</v>
      </c>
      <c r="G424" s="328"/>
      <c r="H424" s="44"/>
      <c r="I424" s="44"/>
      <c r="J424" s="44"/>
    </row>
    <row r="425" spans="1:10" s="656" customFormat="1" ht="12.75" customHeight="1">
      <c r="A425" s="924">
        <v>17</v>
      </c>
      <c r="B425" s="925" t="s">
        <v>833</v>
      </c>
      <c r="C425" s="919"/>
      <c r="D425" s="920"/>
      <c r="E425" s="921"/>
      <c r="F425" s="1345">
        <f t="shared" si="7"/>
        <v>0</v>
      </c>
      <c r="G425" s="328"/>
      <c r="H425" s="44"/>
      <c r="I425" s="44"/>
      <c r="J425" s="44"/>
    </row>
    <row r="426" spans="1:10" s="656" customFormat="1" ht="12.75" customHeight="1">
      <c r="A426" s="926">
        <v>17.100000000000001</v>
      </c>
      <c r="B426" s="923" t="s">
        <v>834</v>
      </c>
      <c r="C426" s="919">
        <v>3</v>
      </c>
      <c r="D426" s="920" t="s">
        <v>3</v>
      </c>
      <c r="E426" s="921">
        <v>900</v>
      </c>
      <c r="F426" s="1345">
        <f t="shared" si="7"/>
        <v>2700</v>
      </c>
      <c r="G426" s="328"/>
      <c r="H426" s="44"/>
      <c r="I426" s="44"/>
      <c r="J426" s="44"/>
    </row>
    <row r="427" spans="1:10" s="656" customFormat="1" ht="12.75" customHeight="1">
      <c r="A427" s="926">
        <v>17.2</v>
      </c>
      <c r="B427" s="923" t="s">
        <v>835</v>
      </c>
      <c r="C427" s="919">
        <v>1</v>
      </c>
      <c r="D427" s="920" t="s">
        <v>3</v>
      </c>
      <c r="E427" s="921">
        <v>3250</v>
      </c>
      <c r="F427" s="1345">
        <f t="shared" si="7"/>
        <v>3250</v>
      </c>
      <c r="G427" s="328"/>
      <c r="H427" s="44"/>
      <c r="I427" s="44"/>
      <c r="J427" s="44"/>
    </row>
    <row r="428" spans="1:10" s="656" customFormat="1" ht="12.75" customHeight="1">
      <c r="A428" s="926">
        <v>17.3</v>
      </c>
      <c r="B428" s="923" t="s">
        <v>836</v>
      </c>
      <c r="C428" s="919">
        <v>1</v>
      </c>
      <c r="D428" s="920" t="s">
        <v>3</v>
      </c>
      <c r="E428" s="921">
        <v>1850</v>
      </c>
      <c r="F428" s="1345">
        <f t="shared" si="7"/>
        <v>1850</v>
      </c>
      <c r="G428" s="328"/>
      <c r="H428" s="44"/>
      <c r="I428" s="44"/>
      <c r="J428" s="44"/>
    </row>
    <row r="429" spans="1:10" s="656" customFormat="1" ht="12.75" customHeight="1">
      <c r="A429" s="926"/>
      <c r="B429" s="923"/>
      <c r="C429" s="919"/>
      <c r="D429" s="920"/>
      <c r="E429" s="921"/>
      <c r="F429" s="1345">
        <f t="shared" si="7"/>
        <v>0</v>
      </c>
      <c r="G429" s="328"/>
      <c r="H429" s="44"/>
      <c r="I429" s="44"/>
      <c r="J429" s="44"/>
    </row>
    <row r="430" spans="1:10" s="656" customFormat="1" ht="12.75" customHeight="1">
      <c r="A430" s="924">
        <v>18</v>
      </c>
      <c r="B430" s="925" t="s">
        <v>837</v>
      </c>
      <c r="C430" s="919"/>
      <c r="D430" s="920"/>
      <c r="E430" s="921"/>
      <c r="F430" s="1345">
        <f t="shared" si="7"/>
        <v>0</v>
      </c>
      <c r="G430" s="328"/>
      <c r="H430" s="44"/>
      <c r="I430" s="44"/>
      <c r="J430" s="44"/>
    </row>
    <row r="431" spans="1:10" s="656" customFormat="1" ht="12.75" customHeight="1">
      <c r="A431" s="926">
        <v>18.100000000000001</v>
      </c>
      <c r="B431" s="923" t="s">
        <v>838</v>
      </c>
      <c r="C431" s="919">
        <v>2</v>
      </c>
      <c r="D431" s="920" t="s">
        <v>3</v>
      </c>
      <c r="E431" s="921">
        <v>335</v>
      </c>
      <c r="F431" s="1345">
        <f t="shared" si="7"/>
        <v>670</v>
      </c>
      <c r="G431" s="328"/>
      <c r="H431" s="44"/>
      <c r="I431" s="44"/>
      <c r="J431" s="44"/>
    </row>
    <row r="432" spans="1:10" s="656" customFormat="1" ht="12.75" customHeight="1">
      <c r="A432" s="926">
        <v>18.2</v>
      </c>
      <c r="B432" s="923" t="s">
        <v>839</v>
      </c>
      <c r="C432" s="919">
        <v>4</v>
      </c>
      <c r="D432" s="920" t="s">
        <v>3</v>
      </c>
      <c r="E432" s="921">
        <v>126</v>
      </c>
      <c r="F432" s="1345">
        <f t="shared" si="7"/>
        <v>504</v>
      </c>
      <c r="G432" s="328"/>
      <c r="H432" s="44"/>
      <c r="I432" s="44"/>
      <c r="J432" s="44"/>
    </row>
    <row r="433" spans="1:10" s="656" customFormat="1" ht="12.75" customHeight="1">
      <c r="A433" s="926">
        <v>18.3</v>
      </c>
      <c r="B433" s="923" t="s">
        <v>840</v>
      </c>
      <c r="C433" s="919">
        <v>4</v>
      </c>
      <c r="D433" s="920" t="s">
        <v>3</v>
      </c>
      <c r="E433" s="921">
        <v>50</v>
      </c>
      <c r="F433" s="1345">
        <f t="shared" si="7"/>
        <v>200</v>
      </c>
      <c r="G433" s="328"/>
      <c r="H433" s="44"/>
      <c r="I433" s="44"/>
      <c r="J433" s="44"/>
    </row>
    <row r="434" spans="1:10" s="656" customFormat="1" ht="12.75" customHeight="1">
      <c r="A434" s="926">
        <v>18.399999999999999</v>
      </c>
      <c r="B434" s="923" t="s">
        <v>841</v>
      </c>
      <c r="C434" s="919">
        <v>2</v>
      </c>
      <c r="D434" s="920" t="s">
        <v>3</v>
      </c>
      <c r="E434" s="921">
        <v>250</v>
      </c>
      <c r="F434" s="1345">
        <f t="shared" si="7"/>
        <v>500</v>
      </c>
      <c r="G434" s="328"/>
      <c r="H434" s="44"/>
      <c r="I434" s="44"/>
      <c r="J434" s="44"/>
    </row>
    <row r="435" spans="1:10" s="656" customFormat="1" ht="12.75" customHeight="1">
      <c r="A435" s="926">
        <v>18.5</v>
      </c>
      <c r="B435" s="923" t="s">
        <v>842</v>
      </c>
      <c r="C435" s="919">
        <v>2</v>
      </c>
      <c r="D435" s="920" t="s">
        <v>3</v>
      </c>
      <c r="E435" s="921">
        <v>215</v>
      </c>
      <c r="F435" s="1345">
        <f t="shared" si="7"/>
        <v>430</v>
      </c>
      <c r="G435" s="328"/>
      <c r="H435" s="44"/>
      <c r="I435" s="44"/>
      <c r="J435" s="44"/>
    </row>
    <row r="436" spans="1:10" s="656" customFormat="1" ht="12.75" customHeight="1">
      <c r="A436" s="926">
        <v>18.600000000000001</v>
      </c>
      <c r="B436" s="923" t="s">
        <v>843</v>
      </c>
      <c r="C436" s="919">
        <v>2</v>
      </c>
      <c r="D436" s="920" t="s">
        <v>3</v>
      </c>
      <c r="E436" s="921">
        <v>390</v>
      </c>
      <c r="F436" s="1345">
        <f t="shared" si="7"/>
        <v>780</v>
      </c>
      <c r="G436" s="328"/>
      <c r="H436" s="44"/>
      <c r="I436" s="44"/>
      <c r="J436" s="44"/>
    </row>
    <row r="437" spans="1:10" s="656" customFormat="1" ht="12.75" customHeight="1">
      <c r="A437" s="926">
        <v>18.7</v>
      </c>
      <c r="B437" s="923" t="s">
        <v>844</v>
      </c>
      <c r="C437" s="919">
        <v>260</v>
      </c>
      <c r="D437" s="920" t="s">
        <v>800</v>
      </c>
      <c r="E437" s="921">
        <v>50</v>
      </c>
      <c r="F437" s="1345">
        <f t="shared" si="7"/>
        <v>13000</v>
      </c>
      <c r="G437" s="328"/>
      <c r="H437" s="44"/>
      <c r="I437" s="44"/>
      <c r="J437" s="44"/>
    </row>
    <row r="438" spans="1:10" s="656" customFormat="1" ht="12.75" customHeight="1">
      <c r="A438" s="926">
        <v>18.8</v>
      </c>
      <c r="B438" s="923" t="s">
        <v>845</v>
      </c>
      <c r="C438" s="919">
        <v>2</v>
      </c>
      <c r="D438" s="920" t="s">
        <v>3</v>
      </c>
      <c r="E438" s="921">
        <v>175</v>
      </c>
      <c r="F438" s="1345">
        <f t="shared" si="7"/>
        <v>350</v>
      </c>
      <c r="G438" s="328"/>
      <c r="H438" s="44"/>
      <c r="I438" s="44"/>
      <c r="J438" s="44"/>
    </row>
    <row r="439" spans="1:10" s="656" customFormat="1" ht="12.75" customHeight="1">
      <c r="A439" s="926">
        <v>18.899999999999999</v>
      </c>
      <c r="B439" s="923" t="s">
        <v>846</v>
      </c>
      <c r="C439" s="919">
        <v>2</v>
      </c>
      <c r="D439" s="920" t="s">
        <v>3</v>
      </c>
      <c r="E439" s="921">
        <v>150</v>
      </c>
      <c r="F439" s="1345">
        <f t="shared" si="7"/>
        <v>300</v>
      </c>
      <c r="G439" s="328"/>
      <c r="H439" s="44"/>
      <c r="I439" s="44"/>
      <c r="J439" s="44"/>
    </row>
    <row r="440" spans="1:10" s="656" customFormat="1" ht="12.75" customHeight="1">
      <c r="A440" s="922">
        <v>18.100000000000001</v>
      </c>
      <c r="B440" s="923" t="s">
        <v>847</v>
      </c>
      <c r="C440" s="919">
        <v>1</v>
      </c>
      <c r="D440" s="920" t="s">
        <v>61</v>
      </c>
      <c r="E440" s="921">
        <v>300</v>
      </c>
      <c r="F440" s="1345">
        <f t="shared" si="7"/>
        <v>300</v>
      </c>
      <c r="G440" s="328"/>
      <c r="H440" s="44"/>
      <c r="I440" s="44"/>
      <c r="J440" s="44"/>
    </row>
    <row r="441" spans="1:10" s="656" customFormat="1" ht="12.75" customHeight="1">
      <c r="A441" s="922">
        <v>18.11</v>
      </c>
      <c r="B441" s="923" t="s">
        <v>848</v>
      </c>
      <c r="C441" s="919">
        <v>2</v>
      </c>
      <c r="D441" s="920" t="s">
        <v>3</v>
      </c>
      <c r="E441" s="921">
        <v>125</v>
      </c>
      <c r="F441" s="1345">
        <f t="shared" si="7"/>
        <v>250</v>
      </c>
      <c r="G441" s="328"/>
      <c r="H441" s="44"/>
      <c r="I441" s="44"/>
      <c r="J441" s="44"/>
    </row>
    <row r="442" spans="1:10" s="656" customFormat="1" ht="12.75" customHeight="1">
      <c r="A442" s="922">
        <v>18.12</v>
      </c>
      <c r="B442" s="923" t="s">
        <v>849</v>
      </c>
      <c r="C442" s="919">
        <v>2</v>
      </c>
      <c r="D442" s="920" t="s">
        <v>3</v>
      </c>
      <c r="E442" s="921">
        <v>185</v>
      </c>
      <c r="F442" s="1345">
        <f t="shared" si="7"/>
        <v>370</v>
      </c>
      <c r="G442" s="328"/>
      <c r="H442" s="44"/>
      <c r="I442" s="44"/>
      <c r="J442" s="44"/>
    </row>
    <row r="443" spans="1:10" s="656" customFormat="1" ht="12.75" customHeight="1">
      <c r="A443" s="922">
        <v>18.13</v>
      </c>
      <c r="B443" s="923" t="s">
        <v>850</v>
      </c>
      <c r="C443" s="919">
        <v>2</v>
      </c>
      <c r="D443" s="920" t="s">
        <v>3</v>
      </c>
      <c r="E443" s="921">
        <v>170</v>
      </c>
      <c r="F443" s="1345">
        <f t="shared" si="7"/>
        <v>340</v>
      </c>
      <c r="G443" s="328"/>
      <c r="H443" s="44"/>
      <c r="I443" s="44"/>
      <c r="J443" s="44"/>
    </row>
    <row r="444" spans="1:10" s="656" customFormat="1" ht="12.75" customHeight="1">
      <c r="A444" s="868"/>
      <c r="B444" s="864"/>
      <c r="C444" s="865"/>
      <c r="D444" s="866"/>
      <c r="E444" s="867"/>
      <c r="F444" s="1345">
        <f t="shared" si="7"/>
        <v>0</v>
      </c>
      <c r="G444" s="251"/>
      <c r="H444" s="251"/>
      <c r="I444" s="251"/>
      <c r="J444" s="251"/>
    </row>
    <row r="445" spans="1:10" s="656" customFormat="1" ht="12.75" customHeight="1">
      <c r="A445" s="857" t="s">
        <v>851</v>
      </c>
      <c r="B445" s="950" t="s">
        <v>852</v>
      </c>
      <c r="C445" s="919">
        <v>0</v>
      </c>
      <c r="D445" s="951"/>
      <c r="E445" s="952"/>
      <c r="F445" s="1345">
        <f t="shared" si="7"/>
        <v>0</v>
      </c>
      <c r="G445" s="841"/>
      <c r="H445" s="841"/>
      <c r="I445" s="841"/>
      <c r="J445" s="841"/>
    </row>
    <row r="446" spans="1:10" s="656" customFormat="1" ht="12.75" customHeight="1">
      <c r="A446" s="857"/>
      <c r="B446" s="953"/>
      <c r="C446" s="919">
        <v>0</v>
      </c>
      <c r="D446" s="951"/>
      <c r="E446" s="952"/>
      <c r="F446" s="1345">
        <f t="shared" si="7"/>
        <v>0</v>
      </c>
      <c r="G446" s="841"/>
      <c r="H446" s="841"/>
      <c r="I446" s="841"/>
      <c r="J446" s="841"/>
    </row>
    <row r="447" spans="1:10" s="656" customFormat="1" ht="12.75" customHeight="1">
      <c r="A447" s="954">
        <v>1</v>
      </c>
      <c r="B447" s="955" t="s">
        <v>37</v>
      </c>
      <c r="C447" s="919">
        <v>1</v>
      </c>
      <c r="D447" s="951" t="s">
        <v>42</v>
      </c>
      <c r="E447" s="952">
        <v>500</v>
      </c>
      <c r="F447" s="1345">
        <f t="shared" si="7"/>
        <v>500</v>
      </c>
      <c r="G447" s="841"/>
      <c r="H447" s="841"/>
      <c r="I447" s="841"/>
      <c r="J447" s="841"/>
    </row>
    <row r="448" spans="1:10" s="656" customFormat="1" ht="12.75" customHeight="1">
      <c r="A448" s="956">
        <v>2</v>
      </c>
      <c r="B448" s="957" t="s">
        <v>38</v>
      </c>
      <c r="C448" s="919">
        <v>1</v>
      </c>
      <c r="D448" s="951" t="s">
        <v>42</v>
      </c>
      <c r="E448" s="952">
        <v>1500</v>
      </c>
      <c r="F448" s="1345">
        <f t="shared" si="7"/>
        <v>1500</v>
      </c>
      <c r="G448" s="841"/>
      <c r="H448" s="841"/>
      <c r="I448" s="841"/>
      <c r="J448" s="841"/>
    </row>
    <row r="449" spans="1:10" s="656" customFormat="1" ht="12.75" customHeight="1">
      <c r="A449" s="958"/>
      <c r="B449" s="957"/>
      <c r="C449" s="919">
        <v>0</v>
      </c>
      <c r="D449" s="951"/>
      <c r="E449" s="952"/>
      <c r="F449" s="1345">
        <f t="shared" si="7"/>
        <v>0</v>
      </c>
      <c r="G449" s="841"/>
      <c r="H449" s="841"/>
      <c r="I449" s="841"/>
      <c r="J449" s="841"/>
    </row>
    <row r="450" spans="1:10" s="656" customFormat="1" ht="12.75" customHeight="1">
      <c r="A450" s="959">
        <v>3</v>
      </c>
      <c r="B450" s="960" t="s">
        <v>583</v>
      </c>
      <c r="C450" s="919">
        <v>0</v>
      </c>
      <c r="D450" s="951"/>
      <c r="E450" s="952"/>
      <c r="F450" s="1345">
        <f t="shared" si="7"/>
        <v>0</v>
      </c>
      <c r="G450" s="841"/>
      <c r="H450" s="841"/>
      <c r="I450" s="841"/>
      <c r="J450" s="841"/>
    </row>
    <row r="451" spans="1:10" s="656" customFormat="1" ht="12.75" customHeight="1">
      <c r="A451" s="961">
        <v>3.2</v>
      </c>
      <c r="B451" s="1399" t="s">
        <v>853</v>
      </c>
      <c r="C451" s="919">
        <v>0.64</v>
      </c>
      <c r="D451" s="951" t="s">
        <v>2</v>
      </c>
      <c r="E451" s="952">
        <f>+'ANALISIS PTAP'!F792</f>
        <v>7225.77</v>
      </c>
      <c r="F451" s="1345">
        <f t="shared" si="7"/>
        <v>4624.49</v>
      </c>
      <c r="G451" s="841"/>
      <c r="H451" s="841"/>
      <c r="I451" s="841"/>
      <c r="J451" s="841"/>
    </row>
    <row r="452" spans="1:10" s="656" customFormat="1" ht="12.75" customHeight="1">
      <c r="A452" s="961">
        <v>3.3</v>
      </c>
      <c r="B452" s="1399" t="s">
        <v>854</v>
      </c>
      <c r="C452" s="919">
        <v>0.22</v>
      </c>
      <c r="D452" s="951" t="s">
        <v>2</v>
      </c>
      <c r="E452" s="952">
        <f>+'ANALISIS PTAP'!F797</f>
        <v>8653.14</v>
      </c>
      <c r="F452" s="1345">
        <f t="shared" si="7"/>
        <v>1903.69</v>
      </c>
      <c r="G452" s="841"/>
      <c r="H452" s="841"/>
      <c r="I452" s="841"/>
      <c r="J452" s="841"/>
    </row>
    <row r="453" spans="1:10" s="656" customFormat="1" ht="12.75" customHeight="1">
      <c r="A453" s="961">
        <v>3.6</v>
      </c>
      <c r="B453" s="1399" t="s">
        <v>855</v>
      </c>
      <c r="C453" s="919">
        <v>0.84</v>
      </c>
      <c r="D453" s="951" t="s">
        <v>2</v>
      </c>
      <c r="E453" s="952">
        <f>+'ANALISIS PTAP'!F815</f>
        <v>13945.46</v>
      </c>
      <c r="F453" s="1345">
        <f t="shared" si="7"/>
        <v>11714.19</v>
      </c>
      <c r="G453" s="841"/>
      <c r="H453" s="841"/>
      <c r="I453" s="841"/>
      <c r="J453" s="841"/>
    </row>
    <row r="454" spans="1:10" s="656" customFormat="1" ht="12.75" customHeight="1">
      <c r="A454" s="893"/>
      <c r="B454" s="957"/>
      <c r="C454" s="919">
        <v>0</v>
      </c>
      <c r="D454" s="951"/>
      <c r="E454" s="952"/>
      <c r="F454" s="1345">
        <f t="shared" si="7"/>
        <v>0</v>
      </c>
      <c r="G454" s="841"/>
      <c r="H454" s="841"/>
      <c r="I454" s="841"/>
      <c r="J454" s="841"/>
    </row>
    <row r="455" spans="1:10" s="656" customFormat="1" ht="12.75" customHeight="1">
      <c r="A455" s="962">
        <v>4</v>
      </c>
      <c r="B455" s="960" t="s">
        <v>856</v>
      </c>
      <c r="C455" s="919"/>
      <c r="D455" s="951"/>
      <c r="E455" s="952"/>
      <c r="F455" s="1345">
        <f t="shared" si="7"/>
        <v>0</v>
      </c>
      <c r="G455" s="841"/>
      <c r="H455" s="841"/>
      <c r="I455" s="841"/>
      <c r="J455" s="841"/>
    </row>
    <row r="456" spans="1:10" s="656" customFormat="1" ht="12.75" customHeight="1">
      <c r="A456" s="958">
        <v>4.0999999999999996</v>
      </c>
      <c r="B456" s="1399" t="s">
        <v>857</v>
      </c>
      <c r="C456" s="919">
        <v>4</v>
      </c>
      <c r="D456" s="951" t="s">
        <v>11</v>
      </c>
      <c r="E456" s="952">
        <f>+'ANALISIS PTAP'!F822</f>
        <v>1161.42</v>
      </c>
      <c r="F456" s="1345">
        <f t="shared" si="7"/>
        <v>4645.68</v>
      </c>
      <c r="G456" s="841"/>
      <c r="H456" s="841"/>
      <c r="I456" s="841"/>
      <c r="J456" s="841"/>
    </row>
    <row r="457" spans="1:10" s="656" customFormat="1" ht="12.75" customHeight="1">
      <c r="A457" s="958">
        <v>4.2</v>
      </c>
      <c r="B457" s="957" t="s">
        <v>858</v>
      </c>
      <c r="C457" s="919">
        <v>21.6</v>
      </c>
      <c r="D457" s="951" t="s">
        <v>11</v>
      </c>
      <c r="E457" s="952">
        <v>828.53</v>
      </c>
      <c r="F457" s="1345">
        <f t="shared" si="7"/>
        <v>17896.25</v>
      </c>
      <c r="G457" s="841"/>
      <c r="H457" s="841"/>
      <c r="I457" s="841"/>
      <c r="J457" s="841"/>
    </row>
    <row r="458" spans="1:10" s="656" customFormat="1" ht="12.75" customHeight="1">
      <c r="A458" s="958"/>
      <c r="B458" s="957"/>
      <c r="C458" s="919">
        <v>0</v>
      </c>
      <c r="D458" s="951"/>
      <c r="E458" s="952"/>
      <c r="F458" s="1345">
        <f t="shared" si="7"/>
        <v>0</v>
      </c>
      <c r="G458" s="841"/>
      <c r="H458" s="841"/>
      <c r="I458" s="841"/>
      <c r="J458" s="841"/>
    </row>
    <row r="459" spans="1:10" s="656" customFormat="1" ht="12.75" customHeight="1">
      <c r="A459" s="959">
        <v>5</v>
      </c>
      <c r="B459" s="960" t="s">
        <v>859</v>
      </c>
      <c r="C459" s="919">
        <v>0</v>
      </c>
      <c r="D459" s="951"/>
      <c r="E459" s="952"/>
      <c r="F459" s="1345">
        <f t="shared" si="7"/>
        <v>0</v>
      </c>
      <c r="G459" s="841"/>
      <c r="H459" s="841"/>
      <c r="I459" s="841"/>
      <c r="J459" s="841"/>
    </row>
    <row r="460" spans="1:10" s="656" customFormat="1" ht="12.75" customHeight="1">
      <c r="A460" s="963">
        <v>5.0999999999999996</v>
      </c>
      <c r="B460" s="1399" t="s">
        <v>788</v>
      </c>
      <c r="C460" s="919">
        <v>47.3</v>
      </c>
      <c r="D460" s="951" t="s">
        <v>11</v>
      </c>
      <c r="E460" s="952" t="e">
        <f>+E364</f>
        <v>#REF!</v>
      </c>
      <c r="F460" s="1345" t="e">
        <f t="shared" si="7"/>
        <v>#REF!</v>
      </c>
      <c r="G460" s="841"/>
      <c r="H460" s="841"/>
      <c r="I460" s="841"/>
      <c r="J460" s="841"/>
    </row>
    <row r="461" spans="1:10" s="656" customFormat="1" ht="12.75" customHeight="1">
      <c r="A461" s="963">
        <v>5.4</v>
      </c>
      <c r="B461" s="1399" t="s">
        <v>860</v>
      </c>
      <c r="C461" s="919">
        <v>8.41</v>
      </c>
      <c r="D461" s="951" t="s">
        <v>11</v>
      </c>
      <c r="E461" s="1400">
        <f>+'ANALISIS PTAP'!F245</f>
        <v>501.75</v>
      </c>
      <c r="F461" s="1345">
        <f t="shared" si="7"/>
        <v>4219.72</v>
      </c>
      <c r="G461" s="841"/>
      <c r="H461" s="841"/>
      <c r="I461" s="841"/>
      <c r="J461" s="841"/>
    </row>
    <row r="462" spans="1:10" s="656" customFormat="1" ht="12.75" customHeight="1">
      <c r="A462" s="963">
        <v>5.5</v>
      </c>
      <c r="B462" s="957" t="s">
        <v>261</v>
      </c>
      <c r="C462" s="919">
        <v>49.33</v>
      </c>
      <c r="D462" s="951" t="s">
        <v>11</v>
      </c>
      <c r="E462" s="952">
        <v>81.36</v>
      </c>
      <c r="F462" s="1345">
        <f t="shared" si="7"/>
        <v>4013.49</v>
      </c>
      <c r="G462" s="841"/>
      <c r="H462" s="841"/>
      <c r="I462" s="841"/>
      <c r="J462" s="841"/>
    </row>
    <row r="463" spans="1:10" s="656" customFormat="1" ht="12.75" customHeight="1">
      <c r="A463" s="963">
        <v>5.6</v>
      </c>
      <c r="B463" s="957" t="s">
        <v>767</v>
      </c>
      <c r="C463" s="919">
        <f>+C462</f>
        <v>49.33</v>
      </c>
      <c r="D463" s="951" t="s">
        <v>11</v>
      </c>
      <c r="E463" s="952">
        <v>42.01</v>
      </c>
      <c r="F463" s="1345">
        <f t="shared" si="7"/>
        <v>2072.35</v>
      </c>
      <c r="G463" s="841"/>
      <c r="H463" s="841"/>
      <c r="I463" s="841"/>
      <c r="J463" s="841"/>
    </row>
    <row r="464" spans="1:10" s="656" customFormat="1" ht="12.75" customHeight="1">
      <c r="A464" s="963">
        <v>5.7</v>
      </c>
      <c r="B464" s="1399" t="s">
        <v>861</v>
      </c>
      <c r="C464" s="919">
        <v>4.97</v>
      </c>
      <c r="D464" s="951" t="s">
        <v>11</v>
      </c>
      <c r="E464" s="1400" t="e">
        <f>+'ANALISIS PTAP'!E473*0.1</f>
        <v>#REF!</v>
      </c>
      <c r="F464" s="1345" t="e">
        <f t="shared" si="7"/>
        <v>#REF!</v>
      </c>
      <c r="G464" s="841"/>
      <c r="H464" s="841"/>
      <c r="I464" s="841"/>
      <c r="J464" s="841"/>
    </row>
    <row r="465" spans="1:10" s="656" customFormat="1" ht="12.75" customHeight="1">
      <c r="A465" s="963">
        <v>5.8</v>
      </c>
      <c r="B465" s="1399" t="s">
        <v>618</v>
      </c>
      <c r="C465" s="919">
        <v>38.1</v>
      </c>
      <c r="D465" s="951" t="s">
        <v>1</v>
      </c>
      <c r="E465" s="952" t="e">
        <f>+E310</f>
        <v>#REF!</v>
      </c>
      <c r="F465" s="1345" t="e">
        <f t="shared" si="7"/>
        <v>#REF!</v>
      </c>
      <c r="G465" s="841"/>
      <c r="H465" s="841"/>
      <c r="I465" s="841"/>
      <c r="J465" s="841"/>
    </row>
    <row r="466" spans="1:10" s="656" customFormat="1" ht="12.75" customHeight="1">
      <c r="A466" s="963">
        <v>5.9</v>
      </c>
      <c r="B466" s="1399" t="s">
        <v>862</v>
      </c>
      <c r="C466" s="919">
        <v>11.6</v>
      </c>
      <c r="D466" s="951" t="s">
        <v>1</v>
      </c>
      <c r="E466" s="952">
        <f>+E370</f>
        <v>530.77</v>
      </c>
      <c r="F466" s="1345">
        <f t="shared" si="7"/>
        <v>6156.93</v>
      </c>
      <c r="G466" s="841"/>
      <c r="H466" s="841"/>
      <c r="I466" s="841"/>
      <c r="J466" s="841"/>
    </row>
    <row r="467" spans="1:10" s="656" customFormat="1" ht="12.75" customHeight="1">
      <c r="A467" s="964">
        <v>5.0999999999999996</v>
      </c>
      <c r="B467" s="957" t="s">
        <v>792</v>
      </c>
      <c r="C467" s="919">
        <v>11.6</v>
      </c>
      <c r="D467" s="951" t="s">
        <v>1</v>
      </c>
      <c r="E467" s="952">
        <v>160.68</v>
      </c>
      <c r="F467" s="1345">
        <f t="shared" si="7"/>
        <v>1863.89</v>
      </c>
      <c r="G467" s="841"/>
      <c r="H467" s="841"/>
      <c r="I467" s="841"/>
      <c r="J467" s="841"/>
    </row>
    <row r="468" spans="1:10" s="656" customFormat="1" ht="12.75" customHeight="1">
      <c r="A468" s="965"/>
      <c r="B468" s="957"/>
      <c r="C468" s="919">
        <v>0</v>
      </c>
      <c r="D468" s="951"/>
      <c r="E468" s="952"/>
      <c r="F468" s="1345">
        <f t="shared" si="7"/>
        <v>0</v>
      </c>
      <c r="G468" s="841"/>
      <c r="H468" s="841"/>
      <c r="I468" s="841"/>
      <c r="J468" s="841"/>
    </row>
    <row r="469" spans="1:10" s="656" customFormat="1" ht="12.75" customHeight="1">
      <c r="A469" s="956">
        <v>6</v>
      </c>
      <c r="B469" s="1394" t="s">
        <v>863</v>
      </c>
      <c r="C469" s="933">
        <v>1</v>
      </c>
      <c r="D469" s="877" t="s">
        <v>3</v>
      </c>
      <c r="E469" s="966">
        <v>6500</v>
      </c>
      <c r="F469" s="1345">
        <f t="shared" si="7"/>
        <v>6500</v>
      </c>
      <c r="G469" s="841"/>
      <c r="H469" s="841"/>
      <c r="I469" s="841"/>
      <c r="J469" s="841"/>
    </row>
    <row r="470" spans="1:10" s="656" customFormat="1" ht="12.75" customHeight="1">
      <c r="A470" s="956">
        <v>7</v>
      </c>
      <c r="B470" s="1399" t="s">
        <v>864</v>
      </c>
      <c r="C470" s="919">
        <v>7.44</v>
      </c>
      <c r="D470" s="951" t="s">
        <v>11</v>
      </c>
      <c r="E470" s="952">
        <f>+'ANALISIS PTAP'!F832</f>
        <v>756.33</v>
      </c>
      <c r="F470" s="1345">
        <f t="shared" si="7"/>
        <v>5627.1</v>
      </c>
      <c r="G470" s="841"/>
      <c r="H470" s="841"/>
      <c r="I470" s="841"/>
      <c r="J470" s="841"/>
    </row>
    <row r="471" spans="1:10" s="656" customFormat="1" ht="12.75" customHeight="1">
      <c r="A471" s="958"/>
      <c r="B471" s="957"/>
      <c r="C471" s="919">
        <v>0</v>
      </c>
      <c r="D471" s="951"/>
      <c r="E471" s="952"/>
      <c r="F471" s="1345">
        <f t="shared" ref="F471:F534" si="8">+ROUND((E471*C471),2)</f>
        <v>0</v>
      </c>
      <c r="G471" s="841"/>
      <c r="H471" s="841"/>
      <c r="I471" s="841"/>
      <c r="J471" s="841"/>
    </row>
    <row r="472" spans="1:10" s="656" customFormat="1" ht="12.75" customHeight="1">
      <c r="A472" s="959">
        <v>8</v>
      </c>
      <c r="B472" s="960" t="s">
        <v>865</v>
      </c>
      <c r="C472" s="919">
        <v>0</v>
      </c>
      <c r="D472" s="951"/>
      <c r="E472" s="952"/>
      <c r="F472" s="1345">
        <f t="shared" si="8"/>
        <v>0</v>
      </c>
      <c r="G472" s="841"/>
      <c r="H472" s="841"/>
      <c r="I472" s="841"/>
      <c r="J472" s="841"/>
    </row>
    <row r="473" spans="1:10" s="656" customFormat="1" ht="12.75" customHeight="1">
      <c r="A473" s="961">
        <v>8.1</v>
      </c>
      <c r="B473" s="957" t="s">
        <v>866</v>
      </c>
      <c r="C473" s="919">
        <v>1</v>
      </c>
      <c r="D473" s="951" t="s">
        <v>42</v>
      </c>
      <c r="E473" s="952">
        <v>3600</v>
      </c>
      <c r="F473" s="1345">
        <f t="shared" si="8"/>
        <v>3600</v>
      </c>
      <c r="G473" s="841"/>
      <c r="H473" s="841"/>
      <c r="I473" s="841"/>
      <c r="J473" s="841"/>
    </row>
    <row r="474" spans="1:10" s="656" customFormat="1" ht="12.75" customHeight="1">
      <c r="A474" s="961">
        <v>8.1999999999999993</v>
      </c>
      <c r="B474" s="957" t="s">
        <v>867</v>
      </c>
      <c r="C474" s="919">
        <v>3</v>
      </c>
      <c r="D474" s="951" t="s">
        <v>3</v>
      </c>
      <c r="E474" s="952">
        <v>1800</v>
      </c>
      <c r="F474" s="1345">
        <f t="shared" si="8"/>
        <v>5400</v>
      </c>
      <c r="G474" s="841"/>
      <c r="H474" s="841"/>
      <c r="I474" s="841"/>
      <c r="J474" s="841"/>
    </row>
    <row r="475" spans="1:10" s="656" customFormat="1" ht="12.75" customHeight="1">
      <c r="A475" s="961">
        <v>8.3000000000000007</v>
      </c>
      <c r="B475" s="957" t="s">
        <v>868</v>
      </c>
      <c r="C475" s="919">
        <v>3</v>
      </c>
      <c r="D475" s="951" t="s">
        <v>3</v>
      </c>
      <c r="E475" s="921">
        <v>952.9</v>
      </c>
      <c r="F475" s="1345">
        <f t="shared" si="8"/>
        <v>2858.7</v>
      </c>
      <c r="G475" s="841"/>
      <c r="H475" s="841"/>
      <c r="I475" s="841"/>
      <c r="J475" s="841"/>
    </row>
    <row r="476" spans="1:10" s="656" customFormat="1" ht="12.75" customHeight="1">
      <c r="A476" s="961">
        <v>8.4</v>
      </c>
      <c r="B476" s="957" t="s">
        <v>869</v>
      </c>
      <c r="C476" s="919">
        <v>2</v>
      </c>
      <c r="D476" s="951" t="s">
        <v>3</v>
      </c>
      <c r="E476" s="921">
        <v>940.15</v>
      </c>
      <c r="F476" s="1345">
        <f t="shared" si="8"/>
        <v>1880.3</v>
      </c>
      <c r="G476" s="841"/>
      <c r="H476" s="841"/>
      <c r="I476" s="841"/>
      <c r="J476" s="841"/>
    </row>
    <row r="477" spans="1:10" s="656" customFormat="1" ht="12.75" customHeight="1">
      <c r="A477" s="961"/>
      <c r="B477" s="957"/>
      <c r="C477" s="919"/>
      <c r="D477" s="951"/>
      <c r="E477" s="952"/>
      <c r="F477" s="1345">
        <f t="shared" si="8"/>
        <v>0</v>
      </c>
      <c r="G477" s="841"/>
      <c r="H477" s="841"/>
      <c r="I477" s="841"/>
      <c r="J477" s="841"/>
    </row>
    <row r="478" spans="1:10" s="656" customFormat="1" ht="12.75" customHeight="1">
      <c r="A478" s="956">
        <v>9</v>
      </c>
      <c r="B478" s="957" t="s">
        <v>870</v>
      </c>
      <c r="C478" s="919">
        <v>1</v>
      </c>
      <c r="D478" s="951" t="s">
        <v>3</v>
      </c>
      <c r="E478" s="952">
        <v>4000</v>
      </c>
      <c r="F478" s="1345">
        <f t="shared" si="8"/>
        <v>4000</v>
      </c>
      <c r="G478" s="841"/>
      <c r="H478" s="841"/>
      <c r="I478" s="841"/>
      <c r="J478" s="841"/>
    </row>
    <row r="479" spans="1:10" s="656" customFormat="1" ht="12.75" customHeight="1">
      <c r="A479" s="956"/>
      <c r="B479" s="957"/>
      <c r="C479" s="919">
        <v>0</v>
      </c>
      <c r="D479" s="951"/>
      <c r="E479" s="952"/>
      <c r="F479" s="1345">
        <f t="shared" si="8"/>
        <v>0</v>
      </c>
      <c r="G479" s="841"/>
      <c r="H479" s="841"/>
      <c r="I479" s="841"/>
      <c r="J479" s="841"/>
    </row>
    <row r="480" spans="1:10" s="656" customFormat="1" ht="12.75" customHeight="1">
      <c r="A480" s="967">
        <v>10</v>
      </c>
      <c r="B480" s="968" t="s">
        <v>871</v>
      </c>
      <c r="C480" s="910"/>
      <c r="D480" s="973"/>
      <c r="E480" s="969"/>
      <c r="F480" s="1345">
        <f t="shared" si="8"/>
        <v>0</v>
      </c>
      <c r="G480" s="842"/>
      <c r="H480" s="842"/>
      <c r="I480" s="842"/>
      <c r="J480" s="842"/>
    </row>
    <row r="481" spans="1:10" s="656" customFormat="1" ht="25.5" customHeight="1">
      <c r="A481" s="970">
        <v>10.1</v>
      </c>
      <c r="B481" s="971" t="s">
        <v>872</v>
      </c>
      <c r="C481" s="972">
        <v>2</v>
      </c>
      <c r="D481" s="973" t="s">
        <v>3</v>
      </c>
      <c r="E481" s="912">
        <v>125000</v>
      </c>
      <c r="F481" s="1345">
        <f t="shared" si="8"/>
        <v>250000</v>
      </c>
      <c r="G481" s="842"/>
      <c r="H481" s="842"/>
      <c r="I481" s="842"/>
      <c r="J481" s="842"/>
    </row>
    <row r="482" spans="1:10" s="656" customFormat="1" ht="25.5" customHeight="1">
      <c r="A482" s="970">
        <v>10.199999999999999</v>
      </c>
      <c r="B482" s="971" t="s">
        <v>873</v>
      </c>
      <c r="C482" s="972">
        <v>1</v>
      </c>
      <c r="D482" s="973" t="s">
        <v>3</v>
      </c>
      <c r="E482" s="912">
        <v>7000</v>
      </c>
      <c r="F482" s="1345">
        <f t="shared" si="8"/>
        <v>7000</v>
      </c>
      <c r="G482" s="842"/>
      <c r="H482" s="842"/>
      <c r="I482" s="842"/>
      <c r="J482" s="842"/>
    </row>
    <row r="483" spans="1:10" s="656" customFormat="1" ht="12.75" customHeight="1">
      <c r="A483" s="970">
        <v>10.3</v>
      </c>
      <c r="B483" s="955" t="s">
        <v>874</v>
      </c>
      <c r="C483" s="974">
        <v>1</v>
      </c>
      <c r="D483" s="975" t="s">
        <v>3</v>
      </c>
      <c r="E483" s="974">
        <v>45000</v>
      </c>
      <c r="F483" s="1345">
        <f t="shared" si="8"/>
        <v>45000</v>
      </c>
      <c r="G483" s="841"/>
      <c r="H483" s="841"/>
      <c r="I483" s="841"/>
      <c r="J483" s="841"/>
    </row>
    <row r="484" spans="1:10" s="656" customFormat="1" ht="12.75" customHeight="1">
      <c r="A484" s="970">
        <v>10.4</v>
      </c>
      <c r="B484" s="955" t="s">
        <v>875</v>
      </c>
      <c r="C484" s="919">
        <v>1</v>
      </c>
      <c r="D484" s="975" t="s">
        <v>3</v>
      </c>
      <c r="E484" s="976">
        <v>8500</v>
      </c>
      <c r="F484" s="1345">
        <f t="shared" si="8"/>
        <v>8500</v>
      </c>
      <c r="G484" s="841"/>
      <c r="H484" s="841"/>
      <c r="I484" s="841"/>
      <c r="J484" s="841"/>
    </row>
    <row r="485" spans="1:10" s="656" customFormat="1" ht="12.75" customHeight="1">
      <c r="A485" s="970">
        <v>10.5</v>
      </c>
      <c r="B485" s="955" t="s">
        <v>876</v>
      </c>
      <c r="C485" s="919">
        <v>1</v>
      </c>
      <c r="D485" s="975" t="s">
        <v>3</v>
      </c>
      <c r="E485" s="976">
        <v>3000</v>
      </c>
      <c r="F485" s="1345">
        <f t="shared" si="8"/>
        <v>3000</v>
      </c>
      <c r="G485" s="841"/>
      <c r="H485" s="841"/>
      <c r="I485" s="841"/>
      <c r="J485" s="841"/>
    </row>
    <row r="486" spans="1:10" s="656" customFormat="1" ht="12.75" customHeight="1">
      <c r="A486" s="868"/>
      <c r="B486" s="885"/>
      <c r="C486" s="977"/>
      <c r="D486" s="910"/>
      <c r="E486" s="878"/>
      <c r="F486" s="1345">
        <f t="shared" si="8"/>
        <v>0</v>
      </c>
      <c r="G486" s="251"/>
      <c r="H486" s="251"/>
      <c r="I486" s="251"/>
      <c r="J486" s="251"/>
    </row>
    <row r="487" spans="1:10" s="656" customFormat="1" ht="12.75" customHeight="1">
      <c r="A487" s="978" t="s">
        <v>877</v>
      </c>
      <c r="B487" s="882" t="s">
        <v>878</v>
      </c>
      <c r="C487" s="865"/>
      <c r="D487" s="866"/>
      <c r="E487" s="912"/>
      <c r="F487" s="1345">
        <f t="shared" si="8"/>
        <v>0</v>
      </c>
      <c r="G487" s="44"/>
      <c r="H487" s="44"/>
      <c r="I487" s="44"/>
      <c r="J487" s="44"/>
    </row>
    <row r="488" spans="1:10" s="656" customFormat="1" ht="12.75" customHeight="1">
      <c r="A488" s="969"/>
      <c r="B488" s="969"/>
      <c r="C488" s="865"/>
      <c r="D488" s="979"/>
      <c r="E488" s="912"/>
      <c r="F488" s="1345">
        <f t="shared" si="8"/>
        <v>0</v>
      </c>
      <c r="G488" s="44"/>
      <c r="H488" s="44"/>
      <c r="I488" s="44"/>
      <c r="J488" s="44"/>
    </row>
    <row r="489" spans="1:10" s="656" customFormat="1" ht="12.75" customHeight="1">
      <c r="A489" s="980">
        <v>1</v>
      </c>
      <c r="B489" s="969" t="s">
        <v>37</v>
      </c>
      <c r="C489" s="865">
        <v>1</v>
      </c>
      <c r="D489" s="979" t="s">
        <v>42</v>
      </c>
      <c r="E489" s="912">
        <v>2000</v>
      </c>
      <c r="F489" s="1345">
        <f t="shared" si="8"/>
        <v>2000</v>
      </c>
      <c r="G489" s="44"/>
      <c r="H489" s="44"/>
      <c r="I489" s="44"/>
      <c r="J489" s="44"/>
    </row>
    <row r="490" spans="1:10" s="656" customFormat="1" ht="12.75" customHeight="1">
      <c r="A490" s="969"/>
      <c r="B490" s="969"/>
      <c r="C490" s="865"/>
      <c r="D490" s="979"/>
      <c r="E490" s="912"/>
      <c r="F490" s="1345">
        <f t="shared" si="8"/>
        <v>0</v>
      </c>
      <c r="G490" s="44"/>
      <c r="H490" s="44"/>
      <c r="I490" s="44"/>
      <c r="J490" s="44"/>
    </row>
    <row r="491" spans="1:10" s="656" customFormat="1" ht="12.75" customHeight="1">
      <c r="A491" s="981">
        <v>2</v>
      </c>
      <c r="B491" s="982" t="s">
        <v>38</v>
      </c>
      <c r="C491" s="983"/>
      <c r="D491" s="984"/>
      <c r="E491" s="985"/>
      <c r="F491" s="1345">
        <f t="shared" si="8"/>
        <v>0</v>
      </c>
      <c r="G491" s="275"/>
      <c r="H491" s="275"/>
      <c r="I491" s="275"/>
      <c r="J491" s="275"/>
    </row>
    <row r="492" spans="1:10" s="656" customFormat="1" ht="12.75" customHeight="1">
      <c r="A492" s="986">
        <v>2.1</v>
      </c>
      <c r="B492" s="969" t="s">
        <v>879</v>
      </c>
      <c r="C492" s="865">
        <v>16.09</v>
      </c>
      <c r="D492" s="979" t="s">
        <v>2</v>
      </c>
      <c r="E492" s="912">
        <v>85</v>
      </c>
      <c r="F492" s="1345">
        <f t="shared" si="8"/>
        <v>1367.65</v>
      </c>
      <c r="G492" s="44"/>
      <c r="H492" s="44"/>
      <c r="I492" s="44"/>
      <c r="J492" s="44"/>
    </row>
    <row r="493" spans="1:10" s="656" customFormat="1" ht="12.75" customHeight="1">
      <c r="A493" s="986">
        <v>2.2000000000000002</v>
      </c>
      <c r="B493" s="880" t="s">
        <v>550</v>
      </c>
      <c r="C493" s="865">
        <v>6.93</v>
      </c>
      <c r="D493" s="979" t="s">
        <v>2</v>
      </c>
      <c r="E493" s="912">
        <v>126.55</v>
      </c>
      <c r="F493" s="1345">
        <f t="shared" si="8"/>
        <v>876.99</v>
      </c>
      <c r="G493" s="1396"/>
      <c r="H493" s="44"/>
      <c r="I493" s="44"/>
      <c r="J493" s="44"/>
    </row>
    <row r="494" spans="1:10" s="656" customFormat="1" ht="12.75" customHeight="1">
      <c r="A494" s="986">
        <v>2.2999999999999998</v>
      </c>
      <c r="B494" s="869" t="s">
        <v>551</v>
      </c>
      <c r="C494" s="865">
        <v>10.99</v>
      </c>
      <c r="D494" s="979" t="s">
        <v>2</v>
      </c>
      <c r="E494" s="912">
        <v>150</v>
      </c>
      <c r="F494" s="1345">
        <f t="shared" si="8"/>
        <v>1648.5</v>
      </c>
      <c r="G494" s="44"/>
      <c r="H494" s="44"/>
      <c r="I494" s="44"/>
      <c r="J494" s="44"/>
    </row>
    <row r="495" spans="1:10" s="656" customFormat="1" ht="12.75" customHeight="1">
      <c r="A495" s="969"/>
      <c r="B495" s="969"/>
      <c r="C495" s="865"/>
      <c r="D495" s="979"/>
      <c r="E495" s="969"/>
      <c r="F495" s="1345">
        <f t="shared" si="8"/>
        <v>0</v>
      </c>
      <c r="G495" s="44"/>
      <c r="H495" s="44"/>
      <c r="I495" s="44"/>
      <c r="J495" s="44"/>
    </row>
    <row r="496" spans="1:10" s="656" customFormat="1" ht="12.75" customHeight="1">
      <c r="A496" s="981">
        <v>3</v>
      </c>
      <c r="B496" s="982" t="s">
        <v>880</v>
      </c>
      <c r="C496" s="983"/>
      <c r="D496" s="984"/>
      <c r="E496" s="982"/>
      <c r="F496" s="1345">
        <f t="shared" si="8"/>
        <v>0</v>
      </c>
      <c r="G496" s="275"/>
      <c r="H496" s="275"/>
      <c r="I496" s="275"/>
      <c r="J496" s="275"/>
    </row>
    <row r="497" spans="1:10" s="656" customFormat="1" ht="12.75" customHeight="1">
      <c r="A497" s="986">
        <v>3.1</v>
      </c>
      <c r="B497" s="1401" t="s">
        <v>881</v>
      </c>
      <c r="C497" s="865">
        <v>6.44</v>
      </c>
      <c r="D497" s="979" t="s">
        <v>2</v>
      </c>
      <c r="E497" s="969">
        <f>+'ANALISIS PTAP'!F1036</f>
        <v>7416.68</v>
      </c>
      <c r="F497" s="1345">
        <f t="shared" si="8"/>
        <v>47763.42</v>
      </c>
      <c r="G497" s="44"/>
      <c r="H497" s="44"/>
      <c r="I497" s="44"/>
      <c r="J497" s="44"/>
    </row>
    <row r="498" spans="1:10" s="656" customFormat="1" ht="12.75" customHeight="1">
      <c r="A498" s="986">
        <v>3.2</v>
      </c>
      <c r="B498" s="1401" t="s">
        <v>882</v>
      </c>
      <c r="C498" s="865">
        <v>0.24</v>
      </c>
      <c r="D498" s="979" t="s">
        <v>2</v>
      </c>
      <c r="E498" s="969">
        <f>+'ANALISIS PTAP'!F1043</f>
        <v>8125</v>
      </c>
      <c r="F498" s="1345">
        <f t="shared" si="8"/>
        <v>1950</v>
      </c>
      <c r="G498" s="44"/>
      <c r="H498" s="44"/>
      <c r="I498" s="44"/>
      <c r="J498" s="44"/>
    </row>
    <row r="499" spans="1:10" s="656" customFormat="1" ht="12.75" customHeight="1">
      <c r="A499" s="986">
        <v>3.3</v>
      </c>
      <c r="B499" s="1401" t="s">
        <v>883</v>
      </c>
      <c r="C499" s="865">
        <v>6.24</v>
      </c>
      <c r="D499" s="979" t="s">
        <v>2</v>
      </c>
      <c r="E499" s="969">
        <f>+'ANALISIS PTAP'!F1050</f>
        <v>39917.5</v>
      </c>
      <c r="F499" s="1345">
        <f t="shared" si="8"/>
        <v>249085.2</v>
      </c>
      <c r="G499" s="44"/>
      <c r="H499" s="44"/>
      <c r="I499" s="44"/>
      <c r="J499" s="44"/>
    </row>
    <row r="500" spans="1:10" s="656" customFormat="1" ht="12.75" customHeight="1">
      <c r="A500" s="969"/>
      <c r="B500" s="969"/>
      <c r="C500" s="865"/>
      <c r="D500" s="979"/>
      <c r="E500" s="969"/>
      <c r="F500" s="1345">
        <f t="shared" si="8"/>
        <v>0</v>
      </c>
      <c r="G500" s="44"/>
      <c r="H500" s="44"/>
      <c r="I500" s="44"/>
      <c r="J500" s="44"/>
    </row>
    <row r="501" spans="1:10" s="656" customFormat="1" ht="12.75" customHeight="1">
      <c r="A501" s="981">
        <v>4</v>
      </c>
      <c r="B501" s="982" t="s">
        <v>884</v>
      </c>
      <c r="C501" s="983"/>
      <c r="D501" s="984"/>
      <c r="E501" s="982"/>
      <c r="F501" s="1345">
        <f t="shared" si="8"/>
        <v>0</v>
      </c>
      <c r="G501" s="275"/>
      <c r="H501" s="275"/>
      <c r="I501" s="275"/>
      <c r="J501" s="275"/>
    </row>
    <row r="502" spans="1:10" s="656" customFormat="1" ht="12.75" customHeight="1">
      <c r="A502" s="986">
        <v>4.0999999999999996</v>
      </c>
      <c r="B502" s="1401" t="s">
        <v>885</v>
      </c>
      <c r="C502" s="865">
        <v>117.21</v>
      </c>
      <c r="D502" s="979" t="s">
        <v>11</v>
      </c>
      <c r="E502" s="969">
        <f>+E361</f>
        <v>920.17</v>
      </c>
      <c r="F502" s="1345">
        <f t="shared" si="8"/>
        <v>107853.13</v>
      </c>
      <c r="G502" s="44"/>
      <c r="H502" s="44"/>
      <c r="I502" s="44"/>
      <c r="J502" s="44"/>
    </row>
    <row r="503" spans="1:10" s="656" customFormat="1" ht="12.75" customHeight="1">
      <c r="A503" s="969"/>
      <c r="B503" s="969"/>
      <c r="C503" s="865"/>
      <c r="D503" s="979"/>
      <c r="E503" s="969"/>
      <c r="F503" s="1345">
        <f t="shared" si="8"/>
        <v>0</v>
      </c>
      <c r="G503" s="44"/>
      <c r="H503" s="44"/>
      <c r="I503" s="44"/>
      <c r="J503" s="44"/>
    </row>
    <row r="504" spans="1:10" s="656" customFormat="1" ht="12.75" customHeight="1">
      <c r="A504" s="981">
        <v>5</v>
      </c>
      <c r="B504" s="982" t="s">
        <v>886</v>
      </c>
      <c r="C504" s="983"/>
      <c r="D504" s="984"/>
      <c r="E504" s="982"/>
      <c r="F504" s="1345">
        <f t="shared" si="8"/>
        <v>0</v>
      </c>
      <c r="G504" s="275"/>
      <c r="H504" s="275"/>
      <c r="I504" s="275"/>
      <c r="J504" s="275"/>
    </row>
    <row r="505" spans="1:10" s="656" customFormat="1" ht="12.75" customHeight="1">
      <c r="A505" s="969"/>
      <c r="B505" s="969"/>
      <c r="C505" s="865"/>
      <c r="D505" s="979"/>
      <c r="E505" s="969"/>
      <c r="F505" s="1345">
        <f t="shared" si="8"/>
        <v>0</v>
      </c>
      <c r="G505" s="44"/>
      <c r="H505" s="44"/>
      <c r="I505" s="44"/>
      <c r="J505" s="44"/>
    </row>
    <row r="506" spans="1:10" s="656" customFormat="1" ht="12.75" customHeight="1">
      <c r="A506" s="986">
        <v>5.0999999999999996</v>
      </c>
      <c r="B506" s="1401" t="s">
        <v>887</v>
      </c>
      <c r="C506" s="865">
        <v>319.22000000000003</v>
      </c>
      <c r="D506" s="979" t="s">
        <v>11</v>
      </c>
      <c r="E506" s="969" t="e">
        <f>+E460</f>
        <v>#REF!</v>
      </c>
      <c r="F506" s="1345" t="e">
        <f t="shared" si="8"/>
        <v>#REF!</v>
      </c>
      <c r="G506" s="44"/>
      <c r="H506" s="44"/>
      <c r="I506" s="44"/>
      <c r="J506" s="44"/>
    </row>
    <row r="507" spans="1:10" s="656" customFormat="1" ht="12.75" customHeight="1">
      <c r="A507" s="986">
        <v>5.4</v>
      </c>
      <c r="B507" s="1401" t="s">
        <v>618</v>
      </c>
      <c r="C507" s="865">
        <v>181.86</v>
      </c>
      <c r="D507" s="1402" t="s">
        <v>11</v>
      </c>
      <c r="E507" s="969" t="e">
        <f>+#REF!</f>
        <v>#REF!</v>
      </c>
      <c r="F507" s="1345" t="e">
        <f t="shared" si="8"/>
        <v>#REF!</v>
      </c>
      <c r="G507" s="44"/>
      <c r="H507" s="44"/>
      <c r="I507" s="44"/>
      <c r="J507" s="44"/>
    </row>
    <row r="508" spans="1:10" s="656" customFormat="1" ht="12.75" customHeight="1">
      <c r="A508" s="986">
        <v>5.5</v>
      </c>
      <c r="B508" s="969" t="s">
        <v>888</v>
      </c>
      <c r="C508" s="865">
        <v>46.2</v>
      </c>
      <c r="D508" s="979" t="s">
        <v>11</v>
      </c>
      <c r="E508" s="969">
        <v>950.6</v>
      </c>
      <c r="F508" s="1345">
        <f t="shared" si="8"/>
        <v>43917.72</v>
      </c>
      <c r="G508" s="44"/>
      <c r="H508" s="44"/>
      <c r="I508" s="44"/>
      <c r="J508" s="44"/>
    </row>
    <row r="509" spans="1:10" s="656" customFormat="1" ht="12.75" customHeight="1">
      <c r="A509" s="986">
        <v>5.6</v>
      </c>
      <c r="B509" s="1401" t="s">
        <v>889</v>
      </c>
      <c r="C509" s="865">
        <v>59</v>
      </c>
      <c r="D509" s="979" t="s">
        <v>11</v>
      </c>
      <c r="E509" s="969">
        <f>+E461</f>
        <v>501.75</v>
      </c>
      <c r="F509" s="1345">
        <f t="shared" si="8"/>
        <v>29603.25</v>
      </c>
      <c r="G509" s="44"/>
      <c r="H509" s="44"/>
      <c r="I509" s="44"/>
      <c r="J509" s="44"/>
    </row>
    <row r="510" spans="1:10" s="656" customFormat="1" ht="12.75" customHeight="1">
      <c r="A510" s="986">
        <v>5.7</v>
      </c>
      <c r="B510" s="969" t="s">
        <v>890</v>
      </c>
      <c r="C510" s="865">
        <v>54.95</v>
      </c>
      <c r="D510" s="979" t="s">
        <v>13</v>
      </c>
      <c r="E510" s="969">
        <v>360</v>
      </c>
      <c r="F510" s="1345">
        <f t="shared" si="8"/>
        <v>19782</v>
      </c>
      <c r="G510" s="44"/>
      <c r="H510" s="44"/>
      <c r="I510" s="44"/>
      <c r="J510" s="44"/>
    </row>
    <row r="511" spans="1:10" s="656" customFormat="1" ht="12.75" customHeight="1">
      <c r="A511" s="986">
        <v>5.8</v>
      </c>
      <c r="B511" s="1401" t="s">
        <v>766</v>
      </c>
      <c r="C511" s="865">
        <v>26.8</v>
      </c>
      <c r="D511" s="979" t="s">
        <v>11</v>
      </c>
      <c r="E511" s="969">
        <f>+'ANALISIS PTAP'!F1068</f>
        <v>10735.7</v>
      </c>
      <c r="F511" s="1345">
        <f t="shared" si="8"/>
        <v>287716.76</v>
      </c>
      <c r="G511" s="44"/>
      <c r="H511" s="44"/>
      <c r="I511" s="44"/>
      <c r="J511" s="44"/>
    </row>
    <row r="512" spans="1:10" s="656" customFormat="1" ht="12.75" customHeight="1">
      <c r="A512" s="986">
        <v>5.9</v>
      </c>
      <c r="B512" s="969" t="s">
        <v>202</v>
      </c>
      <c r="C512" s="865">
        <v>281.3</v>
      </c>
      <c r="D512" s="979" t="s">
        <v>11</v>
      </c>
      <c r="E512" s="969">
        <v>81.36</v>
      </c>
      <c r="F512" s="1345">
        <f t="shared" si="8"/>
        <v>22886.57</v>
      </c>
      <c r="G512" s="44"/>
      <c r="H512" s="44"/>
      <c r="I512" s="44"/>
      <c r="J512" s="44"/>
    </row>
    <row r="513" spans="1:10" s="656" customFormat="1" ht="12.75" customHeight="1">
      <c r="A513" s="964">
        <v>5.0999999999999996</v>
      </c>
      <c r="B513" s="957" t="s">
        <v>767</v>
      </c>
      <c r="C513" s="919">
        <f>+C512</f>
        <v>281.3</v>
      </c>
      <c r="D513" s="951" t="s">
        <v>11</v>
      </c>
      <c r="E513" s="952">
        <v>42.01</v>
      </c>
      <c r="F513" s="1345">
        <f t="shared" si="8"/>
        <v>11817.41</v>
      </c>
      <c r="G513" s="841"/>
      <c r="H513" s="841"/>
      <c r="I513" s="841"/>
      <c r="J513" s="841"/>
    </row>
    <row r="514" spans="1:10" s="656" customFormat="1" ht="12.75" customHeight="1">
      <c r="A514" s="987">
        <v>5.1100000000000003</v>
      </c>
      <c r="B514" s="969" t="s">
        <v>862</v>
      </c>
      <c r="C514" s="865">
        <v>31.15</v>
      </c>
      <c r="D514" s="979" t="s">
        <v>891</v>
      </c>
      <c r="E514" s="969">
        <v>217.66</v>
      </c>
      <c r="F514" s="1345">
        <f t="shared" si="8"/>
        <v>6780.11</v>
      </c>
      <c r="G514" s="44"/>
      <c r="H514" s="44"/>
      <c r="I514" s="44"/>
      <c r="J514" s="44"/>
    </row>
    <row r="515" spans="1:10" s="656" customFormat="1" ht="12.75" customHeight="1">
      <c r="A515" s="986"/>
      <c r="B515" s="969"/>
      <c r="C515" s="865"/>
      <c r="D515" s="979"/>
      <c r="E515" s="969"/>
      <c r="F515" s="1345">
        <f t="shared" si="8"/>
        <v>0</v>
      </c>
      <c r="G515" s="44"/>
      <c r="H515" s="44"/>
      <c r="I515" s="1371"/>
      <c r="J515" s="44"/>
    </row>
    <row r="516" spans="1:10" s="656" customFormat="1" ht="12.75" customHeight="1">
      <c r="A516" s="981">
        <v>6</v>
      </c>
      <c r="B516" s="982" t="s">
        <v>892</v>
      </c>
      <c r="C516" s="983"/>
      <c r="D516" s="984"/>
      <c r="E516" s="982"/>
      <c r="F516" s="1345">
        <f t="shared" si="8"/>
        <v>0</v>
      </c>
      <c r="G516" s="275"/>
      <c r="H516" s="275"/>
      <c r="I516" s="1371"/>
      <c r="J516" s="275"/>
    </row>
    <row r="517" spans="1:10" s="656" customFormat="1" ht="12.75" customHeight="1">
      <c r="A517" s="986">
        <v>6.1</v>
      </c>
      <c r="B517" s="969" t="s">
        <v>893</v>
      </c>
      <c r="C517" s="865">
        <v>1</v>
      </c>
      <c r="D517" s="979" t="s">
        <v>3</v>
      </c>
      <c r="E517" s="969">
        <v>3500</v>
      </c>
      <c r="F517" s="1345">
        <f t="shared" si="8"/>
        <v>3500</v>
      </c>
      <c r="G517" s="44"/>
      <c r="H517" s="44"/>
      <c r="I517" s="1371"/>
      <c r="J517" s="44"/>
    </row>
    <row r="518" spans="1:10" s="656" customFormat="1" ht="12.75" customHeight="1">
      <c r="A518" s="986">
        <v>6.2</v>
      </c>
      <c r="B518" s="969" t="s">
        <v>894</v>
      </c>
      <c r="C518" s="865">
        <v>1</v>
      </c>
      <c r="D518" s="979" t="s">
        <v>3</v>
      </c>
      <c r="E518" s="988">
        <v>3320.26</v>
      </c>
      <c r="F518" s="1345">
        <f t="shared" si="8"/>
        <v>3320.26</v>
      </c>
      <c r="G518" s="44"/>
      <c r="H518" s="44"/>
      <c r="I518" s="44"/>
      <c r="J518" s="44"/>
    </row>
    <row r="519" spans="1:10" s="656" customFormat="1" ht="12.75" customHeight="1">
      <c r="A519" s="986">
        <v>6.3</v>
      </c>
      <c r="B519" s="969" t="s">
        <v>811</v>
      </c>
      <c r="C519" s="865">
        <v>1</v>
      </c>
      <c r="D519" s="979" t="s">
        <v>3</v>
      </c>
      <c r="E519" s="988">
        <v>2750</v>
      </c>
      <c r="F519" s="1345">
        <f t="shared" si="8"/>
        <v>2750</v>
      </c>
      <c r="G519" s="44"/>
      <c r="H519" s="44"/>
      <c r="I519" s="44"/>
      <c r="J519" s="44"/>
    </row>
    <row r="520" spans="1:10" s="656" customFormat="1" ht="12.75" customHeight="1">
      <c r="A520" s="986">
        <v>6.4</v>
      </c>
      <c r="B520" s="969" t="s">
        <v>895</v>
      </c>
      <c r="C520" s="865">
        <v>1</v>
      </c>
      <c r="D520" s="979" t="s">
        <v>3</v>
      </c>
      <c r="E520" s="969">
        <v>275.62</v>
      </c>
      <c r="F520" s="1345">
        <f t="shared" si="8"/>
        <v>275.62</v>
      </c>
      <c r="G520" s="44"/>
      <c r="H520" s="44"/>
      <c r="I520" s="44"/>
      <c r="J520" s="44"/>
    </row>
    <row r="521" spans="1:10" s="656" customFormat="1" ht="12.75" customHeight="1">
      <c r="A521" s="986">
        <v>6.5</v>
      </c>
      <c r="B521" s="969" t="s">
        <v>896</v>
      </c>
      <c r="C521" s="865">
        <v>1</v>
      </c>
      <c r="D521" s="979" t="s">
        <v>3</v>
      </c>
      <c r="E521" s="988">
        <v>350</v>
      </c>
      <c r="F521" s="1345">
        <f t="shared" si="8"/>
        <v>350</v>
      </c>
      <c r="G521" s="44"/>
      <c r="H521" s="44"/>
      <c r="I521" s="44"/>
      <c r="J521" s="44"/>
    </row>
    <row r="522" spans="1:10" s="656" customFormat="1" ht="12.75" customHeight="1">
      <c r="A522" s="986">
        <v>6.6</v>
      </c>
      <c r="B522" s="969" t="s">
        <v>897</v>
      </c>
      <c r="C522" s="865">
        <v>1</v>
      </c>
      <c r="D522" s="979" t="s">
        <v>3</v>
      </c>
      <c r="E522" s="988">
        <v>527.1</v>
      </c>
      <c r="F522" s="1345">
        <f t="shared" si="8"/>
        <v>527.1</v>
      </c>
      <c r="G522" s="44"/>
      <c r="H522" s="44"/>
      <c r="I522" s="44"/>
      <c r="J522" s="44"/>
    </row>
    <row r="523" spans="1:10" s="656" customFormat="1" ht="12.75" customHeight="1">
      <c r="A523" s="986">
        <v>6.7</v>
      </c>
      <c r="B523" s="969" t="s">
        <v>898</v>
      </c>
      <c r="C523" s="865">
        <v>1</v>
      </c>
      <c r="D523" s="979" t="s">
        <v>3</v>
      </c>
      <c r="E523" s="969">
        <v>4250</v>
      </c>
      <c r="F523" s="1345">
        <f t="shared" si="8"/>
        <v>4250</v>
      </c>
      <c r="G523" s="44"/>
      <c r="H523" s="44"/>
      <c r="I523" s="44"/>
      <c r="J523" s="44"/>
    </row>
    <row r="524" spans="1:10" s="656" customFormat="1" ht="12.75" customHeight="1">
      <c r="A524" s="986">
        <v>6.8</v>
      </c>
      <c r="B524" s="969" t="s">
        <v>899</v>
      </c>
      <c r="C524" s="865">
        <v>3</v>
      </c>
      <c r="D524" s="979" t="s">
        <v>3</v>
      </c>
      <c r="E524" s="969">
        <v>4000</v>
      </c>
      <c r="F524" s="1345">
        <f t="shared" si="8"/>
        <v>12000</v>
      </c>
      <c r="G524" s="44"/>
      <c r="H524" s="44"/>
      <c r="I524" s="44"/>
      <c r="J524" s="44"/>
    </row>
    <row r="525" spans="1:10" s="656" customFormat="1" ht="12.75" customHeight="1">
      <c r="A525" s="986">
        <v>6.9</v>
      </c>
      <c r="B525" s="969" t="s">
        <v>900</v>
      </c>
      <c r="C525" s="865">
        <v>1</v>
      </c>
      <c r="D525" s="979" t="s">
        <v>3</v>
      </c>
      <c r="E525" s="969">
        <v>4800</v>
      </c>
      <c r="F525" s="1345">
        <f t="shared" si="8"/>
        <v>4800</v>
      </c>
      <c r="G525" s="44"/>
      <c r="H525" s="44"/>
      <c r="I525" s="44"/>
      <c r="J525" s="44"/>
    </row>
    <row r="526" spans="1:10" s="656" customFormat="1" ht="12.75" customHeight="1">
      <c r="A526" s="969">
        <v>6.1</v>
      </c>
      <c r="B526" s="969" t="s">
        <v>901</v>
      </c>
      <c r="C526" s="865">
        <v>1</v>
      </c>
      <c r="D526" s="979" t="s">
        <v>3</v>
      </c>
      <c r="E526" s="969">
        <v>27500</v>
      </c>
      <c r="F526" s="1345">
        <f t="shared" si="8"/>
        <v>27500</v>
      </c>
      <c r="G526" s="44"/>
      <c r="H526" s="44"/>
      <c r="I526" s="44"/>
      <c r="J526" s="44"/>
    </row>
    <row r="527" spans="1:10" s="656" customFormat="1" ht="12.75" customHeight="1">
      <c r="A527" s="969">
        <v>6.11</v>
      </c>
      <c r="B527" s="969" t="s">
        <v>902</v>
      </c>
      <c r="C527" s="865">
        <v>1</v>
      </c>
      <c r="D527" s="979" t="s">
        <v>3</v>
      </c>
      <c r="E527" s="969">
        <v>25000</v>
      </c>
      <c r="F527" s="1345">
        <f t="shared" si="8"/>
        <v>25000</v>
      </c>
      <c r="G527" s="44"/>
      <c r="H527" s="44"/>
      <c r="I527" s="44"/>
      <c r="J527" s="44"/>
    </row>
    <row r="528" spans="1:10" s="656" customFormat="1" ht="12.75" customHeight="1">
      <c r="A528" s="969">
        <v>6.12</v>
      </c>
      <c r="B528" s="969" t="s">
        <v>903</v>
      </c>
      <c r="C528" s="865">
        <v>1</v>
      </c>
      <c r="D528" s="979" t="s">
        <v>42</v>
      </c>
      <c r="E528" s="969">
        <v>2500</v>
      </c>
      <c r="F528" s="1345">
        <f t="shared" si="8"/>
        <v>2500</v>
      </c>
      <c r="G528" s="44"/>
      <c r="H528" s="44"/>
      <c r="I528" s="44"/>
      <c r="J528" s="44"/>
    </row>
    <row r="529" spans="1:10" s="656" customFormat="1" ht="12.75" customHeight="1">
      <c r="A529" s="969">
        <v>6.13</v>
      </c>
      <c r="B529" s="969" t="s">
        <v>818</v>
      </c>
      <c r="C529" s="865">
        <v>1</v>
      </c>
      <c r="D529" s="979" t="s">
        <v>42</v>
      </c>
      <c r="E529" s="969">
        <v>6000</v>
      </c>
      <c r="F529" s="1345">
        <f t="shared" si="8"/>
        <v>6000</v>
      </c>
      <c r="G529" s="44"/>
      <c r="H529" s="44"/>
      <c r="I529" s="44"/>
      <c r="J529" s="44"/>
    </row>
    <row r="530" spans="1:10" s="656" customFormat="1" ht="12.75" customHeight="1">
      <c r="A530" s="969"/>
      <c r="B530" s="969"/>
      <c r="C530" s="865"/>
      <c r="D530" s="979"/>
      <c r="E530" s="969"/>
      <c r="F530" s="1345">
        <f t="shared" si="8"/>
        <v>0</v>
      </c>
      <c r="G530" s="44"/>
      <c r="H530" s="44"/>
      <c r="I530" s="44"/>
      <c r="J530" s="44"/>
    </row>
    <row r="531" spans="1:10" s="656" customFormat="1" ht="12.75" customHeight="1">
      <c r="A531" s="981">
        <v>7</v>
      </c>
      <c r="B531" s="982" t="s">
        <v>904</v>
      </c>
      <c r="C531" s="983"/>
      <c r="D531" s="984"/>
      <c r="E531" s="982"/>
      <c r="F531" s="1345">
        <f t="shared" si="8"/>
        <v>0</v>
      </c>
      <c r="G531" s="1372"/>
      <c r="H531" s="275"/>
      <c r="I531" s="275"/>
      <c r="J531" s="275"/>
    </row>
    <row r="532" spans="1:10" s="656" customFormat="1" ht="12.75" customHeight="1">
      <c r="A532" s="986">
        <v>7.1</v>
      </c>
      <c r="B532" s="969" t="s">
        <v>905</v>
      </c>
      <c r="C532" s="865">
        <v>8</v>
      </c>
      <c r="D532" s="979" t="s">
        <v>3</v>
      </c>
      <c r="E532" s="921">
        <v>912.54</v>
      </c>
      <c r="F532" s="1345">
        <f t="shared" si="8"/>
        <v>7300.32</v>
      </c>
      <c r="G532" s="1372"/>
      <c r="H532" s="44"/>
      <c r="I532" s="44"/>
      <c r="J532" s="44"/>
    </row>
    <row r="533" spans="1:10" s="656" customFormat="1" ht="12.75" customHeight="1">
      <c r="A533" s="986">
        <v>7.2</v>
      </c>
      <c r="B533" s="969" t="s">
        <v>906</v>
      </c>
      <c r="C533" s="865">
        <v>10</v>
      </c>
      <c r="D533" s="979" t="s">
        <v>3</v>
      </c>
      <c r="E533" s="921">
        <v>940.15</v>
      </c>
      <c r="F533" s="1345">
        <f t="shared" si="8"/>
        <v>9401.5</v>
      </c>
      <c r="G533" s="1372"/>
      <c r="H533" s="44"/>
      <c r="I533" s="44"/>
      <c r="J533" s="44"/>
    </row>
    <row r="534" spans="1:10" s="656" customFormat="1" ht="12.75" customHeight="1">
      <c r="A534" s="986">
        <v>7.3</v>
      </c>
      <c r="B534" s="969" t="s">
        <v>907</v>
      </c>
      <c r="C534" s="865">
        <v>8</v>
      </c>
      <c r="D534" s="979" t="s">
        <v>3</v>
      </c>
      <c r="E534" s="921">
        <v>952.9</v>
      </c>
      <c r="F534" s="1345">
        <f t="shared" si="8"/>
        <v>7623.2</v>
      </c>
      <c r="G534" s="1372"/>
      <c r="H534" s="44"/>
      <c r="I534" s="44"/>
      <c r="J534" s="44"/>
    </row>
    <row r="535" spans="1:10" s="656" customFormat="1" ht="12.75" customHeight="1">
      <c r="A535" s="986">
        <v>7.4</v>
      </c>
      <c r="B535" s="969" t="s">
        <v>908</v>
      </c>
      <c r="C535" s="865">
        <v>1</v>
      </c>
      <c r="D535" s="979" t="s">
        <v>3</v>
      </c>
      <c r="E535" s="989">
        <v>3672</v>
      </c>
      <c r="F535" s="1345">
        <f t="shared" ref="F535:F545" si="9">+ROUND((E535*C535),2)</f>
        <v>3672</v>
      </c>
      <c r="G535" s="44"/>
      <c r="H535" s="44"/>
      <c r="I535" s="44"/>
      <c r="J535" s="44"/>
    </row>
    <row r="536" spans="1:10" s="656" customFormat="1" ht="12.75" customHeight="1">
      <c r="A536" s="986">
        <v>7.5</v>
      </c>
      <c r="B536" s="969" t="s">
        <v>823</v>
      </c>
      <c r="C536" s="865">
        <v>1</v>
      </c>
      <c r="D536" s="979" t="s">
        <v>42</v>
      </c>
      <c r="E536" s="969">
        <v>3200</v>
      </c>
      <c r="F536" s="1345">
        <f t="shared" si="9"/>
        <v>3200</v>
      </c>
      <c r="G536" s="44"/>
      <c r="H536" s="44"/>
      <c r="I536" s="44"/>
      <c r="J536" s="44"/>
    </row>
    <row r="537" spans="1:10" s="656" customFormat="1" ht="12.75" customHeight="1">
      <c r="A537" s="969"/>
      <c r="B537" s="969"/>
      <c r="C537" s="865"/>
      <c r="D537" s="979"/>
      <c r="E537" s="969"/>
      <c r="F537" s="1345">
        <f t="shared" si="9"/>
        <v>0</v>
      </c>
      <c r="G537" s="44"/>
      <c r="H537" s="44"/>
      <c r="I537" s="44"/>
      <c r="J537" s="44"/>
    </row>
    <row r="538" spans="1:10" s="656" customFormat="1" ht="12.75" customHeight="1">
      <c r="A538" s="981">
        <v>8</v>
      </c>
      <c r="B538" s="982" t="s">
        <v>909</v>
      </c>
      <c r="C538" s="983"/>
      <c r="D538" s="984"/>
      <c r="E538" s="982"/>
      <c r="F538" s="1345">
        <f t="shared" si="9"/>
        <v>0</v>
      </c>
      <c r="G538" s="275"/>
      <c r="H538" s="275"/>
      <c r="I538" s="275"/>
      <c r="J538" s="275"/>
    </row>
    <row r="539" spans="1:10" s="656" customFormat="1" ht="12.75" customHeight="1">
      <c r="A539" s="986">
        <v>8.1</v>
      </c>
      <c r="B539" s="969" t="s">
        <v>1236</v>
      </c>
      <c r="C539" s="865">
        <v>6</v>
      </c>
      <c r="D539" s="979" t="s">
        <v>3</v>
      </c>
      <c r="E539" s="969">
        <v>6500</v>
      </c>
      <c r="F539" s="1345">
        <f t="shared" si="9"/>
        <v>39000</v>
      </c>
      <c r="G539" s="44"/>
      <c r="H539" s="44"/>
      <c r="I539" s="44"/>
      <c r="J539" s="44"/>
    </row>
    <row r="540" spans="1:10" s="656" customFormat="1" ht="12.75" customHeight="1">
      <c r="A540" s="969"/>
      <c r="B540" s="969"/>
      <c r="C540" s="865"/>
      <c r="D540" s="979"/>
      <c r="E540" s="969"/>
      <c r="F540" s="1345">
        <f t="shared" si="9"/>
        <v>0</v>
      </c>
      <c r="G540" s="44"/>
      <c r="H540" s="44"/>
      <c r="I540" s="44"/>
      <c r="J540" s="44"/>
    </row>
    <row r="541" spans="1:10" s="656" customFormat="1" ht="12.75" customHeight="1">
      <c r="A541" s="981">
        <v>9</v>
      </c>
      <c r="B541" s="982" t="s">
        <v>910</v>
      </c>
      <c r="C541" s="983"/>
      <c r="D541" s="984"/>
      <c r="E541" s="982"/>
      <c r="F541" s="1345">
        <f t="shared" si="9"/>
        <v>0</v>
      </c>
      <c r="G541" s="275"/>
      <c r="H541" s="275"/>
      <c r="I541" s="275"/>
      <c r="J541" s="275"/>
    </row>
    <row r="542" spans="1:10" s="656" customFormat="1" ht="12.75" customHeight="1">
      <c r="A542" s="986">
        <v>9.1</v>
      </c>
      <c r="B542" s="969" t="s">
        <v>911</v>
      </c>
      <c r="C542" s="865">
        <v>80.48</v>
      </c>
      <c r="D542" s="979" t="s">
        <v>155</v>
      </c>
      <c r="E542" s="969">
        <v>450</v>
      </c>
      <c r="F542" s="1345">
        <f t="shared" si="9"/>
        <v>36216</v>
      </c>
      <c r="G542" s="44"/>
      <c r="H542" s="44"/>
      <c r="I542" s="44"/>
      <c r="J542" s="44"/>
    </row>
    <row r="543" spans="1:10" s="656" customFormat="1" ht="12.75" customHeight="1">
      <c r="A543" s="986"/>
      <c r="B543" s="969"/>
      <c r="C543" s="865"/>
      <c r="D543" s="979"/>
      <c r="E543" s="969"/>
      <c r="F543" s="1345">
        <f t="shared" si="9"/>
        <v>0</v>
      </c>
      <c r="G543" s="44"/>
      <c r="H543" s="44"/>
      <c r="I543" s="44"/>
      <c r="J543" s="44"/>
    </row>
    <row r="544" spans="1:10" s="656" customFormat="1" ht="12.75" customHeight="1">
      <c r="A544" s="980">
        <v>10</v>
      </c>
      <c r="B544" s="969" t="s">
        <v>876</v>
      </c>
      <c r="C544" s="865">
        <v>1</v>
      </c>
      <c r="D544" s="979" t="s">
        <v>42</v>
      </c>
      <c r="E544" s="969">
        <v>2500</v>
      </c>
      <c r="F544" s="1345">
        <f t="shared" si="9"/>
        <v>2500</v>
      </c>
      <c r="G544" s="44"/>
      <c r="H544" s="44"/>
      <c r="I544" s="44"/>
      <c r="J544" s="44"/>
    </row>
    <row r="545" spans="1:10" s="656" customFormat="1" ht="12.75" customHeight="1">
      <c r="A545" s="980"/>
      <c r="B545" s="969"/>
      <c r="C545" s="865"/>
      <c r="D545" s="979"/>
      <c r="E545" s="969"/>
      <c r="F545" s="1345">
        <f t="shared" si="9"/>
        <v>0</v>
      </c>
      <c r="G545" s="44"/>
      <c r="H545" s="44"/>
      <c r="I545" s="44"/>
      <c r="J545" s="44"/>
    </row>
    <row r="546" spans="1:10" s="656" customFormat="1" ht="12.75" customHeight="1">
      <c r="A546" s="990" t="s">
        <v>912</v>
      </c>
      <c r="B546" s="991" t="s">
        <v>913</v>
      </c>
      <c r="C546" s="865"/>
      <c r="D546" s="979"/>
      <c r="E546" s="969"/>
      <c r="F546" s="1345"/>
      <c r="G546" s="44"/>
      <c r="H546" s="44"/>
      <c r="I546" s="44"/>
      <c r="J546" s="44"/>
    </row>
    <row r="547" spans="1:10" s="656" customFormat="1" ht="12.75" customHeight="1">
      <c r="A547" s="992">
        <v>1</v>
      </c>
      <c r="B547" s="991" t="s">
        <v>914</v>
      </c>
      <c r="C547" s="993"/>
      <c r="D547" s="994"/>
      <c r="E547" s="993"/>
      <c r="F547" s="1011">
        <f>C547*E547</f>
        <v>0</v>
      </c>
      <c r="G547" s="843"/>
      <c r="H547" s="843"/>
      <c r="I547" s="844"/>
      <c r="J547" s="844"/>
    </row>
    <row r="548" spans="1:10" s="656" customFormat="1" ht="12.75" customHeight="1">
      <c r="A548" s="995">
        <v>1.1000000000000001</v>
      </c>
      <c r="B548" s="996" t="s">
        <v>915</v>
      </c>
      <c r="C548" s="993">
        <v>1</v>
      </c>
      <c r="D548" s="994" t="s">
        <v>3</v>
      </c>
      <c r="E548" s="993">
        <v>28000</v>
      </c>
      <c r="F548" s="1011">
        <f t="shared" ref="F548:F583" si="10">ROUND(C548*E548,2)</f>
        <v>28000</v>
      </c>
      <c r="G548" s="1540"/>
      <c r="H548" s="1540"/>
      <c r="I548" s="844"/>
      <c r="J548" s="844"/>
    </row>
    <row r="549" spans="1:10" s="656" customFormat="1" ht="12.75" customHeight="1">
      <c r="A549" s="995">
        <v>1.2</v>
      </c>
      <c r="B549" s="996" t="s">
        <v>916</v>
      </c>
      <c r="C549" s="993">
        <v>350</v>
      </c>
      <c r="D549" s="997" t="s">
        <v>800</v>
      </c>
      <c r="E549" s="993">
        <v>22</v>
      </c>
      <c r="F549" s="1011">
        <f t="shared" si="10"/>
        <v>7700</v>
      </c>
      <c r="G549" s="843"/>
      <c r="H549" s="843"/>
      <c r="I549" s="844"/>
      <c r="J549" s="844"/>
    </row>
    <row r="550" spans="1:10" s="656" customFormat="1" ht="12.75" customHeight="1">
      <c r="A550" s="995">
        <v>1.3</v>
      </c>
      <c r="B550" s="996" t="s">
        <v>917</v>
      </c>
      <c r="C550" s="993">
        <v>1</v>
      </c>
      <c r="D550" s="997" t="s">
        <v>3</v>
      </c>
      <c r="E550" s="993">
        <v>13509.27</v>
      </c>
      <c r="F550" s="1011">
        <f t="shared" si="10"/>
        <v>13509.27</v>
      </c>
      <c r="G550" s="843"/>
      <c r="H550" s="843"/>
      <c r="I550" s="844"/>
      <c r="J550" s="844"/>
    </row>
    <row r="551" spans="1:10" s="656" customFormat="1" ht="12.75" customHeight="1">
      <c r="A551" s="995">
        <v>1.4</v>
      </c>
      <c r="B551" s="996" t="s">
        <v>918</v>
      </c>
      <c r="C551" s="993">
        <v>1</v>
      </c>
      <c r="D551" s="997" t="s">
        <v>3</v>
      </c>
      <c r="E551" s="993">
        <v>3086.61</v>
      </c>
      <c r="F551" s="1011">
        <f t="shared" si="10"/>
        <v>3086.61</v>
      </c>
      <c r="G551" s="843"/>
      <c r="H551" s="843"/>
      <c r="I551" s="844"/>
      <c r="J551" s="844"/>
    </row>
    <row r="552" spans="1:10" s="656" customFormat="1" ht="38.25" customHeight="1">
      <c r="A552" s="995">
        <v>1.5</v>
      </c>
      <c r="B552" s="998" t="s">
        <v>919</v>
      </c>
      <c r="C552" s="993">
        <v>1</v>
      </c>
      <c r="D552" s="997" t="s">
        <v>3</v>
      </c>
      <c r="E552" s="993">
        <v>31250</v>
      </c>
      <c r="F552" s="1011">
        <f t="shared" si="10"/>
        <v>31250</v>
      </c>
      <c r="G552" s="843"/>
      <c r="H552" s="843"/>
      <c r="I552" s="844"/>
      <c r="J552" s="844"/>
    </row>
    <row r="553" spans="1:10" s="656" customFormat="1" ht="12.75" customHeight="1">
      <c r="A553" s="995">
        <v>1.6</v>
      </c>
      <c r="B553" s="996" t="s">
        <v>920</v>
      </c>
      <c r="C553" s="993">
        <v>1</v>
      </c>
      <c r="D553" s="997" t="s">
        <v>3</v>
      </c>
      <c r="E553" s="993">
        <v>4931.16</v>
      </c>
      <c r="F553" s="1011">
        <f t="shared" si="10"/>
        <v>4931.16</v>
      </c>
      <c r="G553" s="843"/>
      <c r="H553" s="843"/>
      <c r="I553" s="844"/>
      <c r="J553" s="844"/>
    </row>
    <row r="554" spans="1:10" s="656" customFormat="1" ht="12.75" customHeight="1">
      <c r="A554" s="995">
        <v>1.7</v>
      </c>
      <c r="B554" s="996" t="s">
        <v>921</v>
      </c>
      <c r="C554" s="993">
        <v>1</v>
      </c>
      <c r="D554" s="997" t="s">
        <v>3</v>
      </c>
      <c r="E554" s="993">
        <v>2263.04</v>
      </c>
      <c r="F554" s="1011">
        <f t="shared" si="10"/>
        <v>2263.04</v>
      </c>
      <c r="G554" s="843"/>
      <c r="H554" s="843"/>
      <c r="I554" s="844"/>
      <c r="J554" s="844"/>
    </row>
    <row r="555" spans="1:10" s="656" customFormat="1" ht="12.75" customHeight="1">
      <c r="A555" s="995">
        <v>1.8</v>
      </c>
      <c r="B555" s="996" t="s">
        <v>922</v>
      </c>
      <c r="C555" s="993">
        <v>1</v>
      </c>
      <c r="D555" s="997" t="s">
        <v>3</v>
      </c>
      <c r="E555" s="993">
        <v>2772.32</v>
      </c>
      <c r="F555" s="1011">
        <f t="shared" si="10"/>
        <v>2772.32</v>
      </c>
      <c r="G555" s="843"/>
      <c r="H555" s="843"/>
      <c r="I555" s="844"/>
      <c r="J555" s="844"/>
    </row>
    <row r="556" spans="1:10" s="656" customFormat="1" ht="12.75" customHeight="1">
      <c r="A556" s="995">
        <v>1.9</v>
      </c>
      <c r="B556" s="996" t="s">
        <v>923</v>
      </c>
      <c r="C556" s="993">
        <v>1</v>
      </c>
      <c r="D556" s="997" t="s">
        <v>3</v>
      </c>
      <c r="E556" s="993">
        <v>1200</v>
      </c>
      <c r="F556" s="1011">
        <f t="shared" si="10"/>
        <v>1200</v>
      </c>
      <c r="G556" s="843"/>
      <c r="H556" s="843"/>
      <c r="I556" s="844"/>
      <c r="J556" s="844"/>
    </row>
    <row r="557" spans="1:10" s="656" customFormat="1" ht="12.75" customHeight="1">
      <c r="A557" s="999">
        <v>1.1000000000000001</v>
      </c>
      <c r="B557" s="996" t="s">
        <v>924</v>
      </c>
      <c r="C557" s="993">
        <v>1</v>
      </c>
      <c r="D557" s="997" t="s">
        <v>3</v>
      </c>
      <c r="E557" s="993">
        <v>1200</v>
      </c>
      <c r="F557" s="1011">
        <f t="shared" si="10"/>
        <v>1200</v>
      </c>
      <c r="G557" s="1373"/>
      <c r="H557" s="1373"/>
      <c r="I557" s="844"/>
      <c r="J557" s="844"/>
    </row>
    <row r="558" spans="1:10" s="656" customFormat="1" ht="12.75" customHeight="1">
      <c r="A558" s="995">
        <v>1.1100000000000001</v>
      </c>
      <c r="B558" s="996" t="s">
        <v>925</v>
      </c>
      <c r="C558" s="993">
        <v>1</v>
      </c>
      <c r="D558" s="997" t="s">
        <v>3</v>
      </c>
      <c r="E558" s="993">
        <v>1000</v>
      </c>
      <c r="F558" s="1011">
        <f t="shared" si="10"/>
        <v>1000</v>
      </c>
      <c r="G558" s="1373"/>
      <c r="H558" s="1373"/>
      <c r="I558" s="844"/>
      <c r="J558" s="844"/>
    </row>
    <row r="559" spans="1:10" s="656" customFormat="1" ht="12.75" customHeight="1">
      <c r="A559" s="999">
        <v>1.1200000000000001</v>
      </c>
      <c r="B559" s="996" t="s">
        <v>926</v>
      </c>
      <c r="C559" s="993">
        <v>1</v>
      </c>
      <c r="D559" s="997" t="s">
        <v>3</v>
      </c>
      <c r="E559" s="993">
        <v>3500</v>
      </c>
      <c r="F559" s="1011">
        <f t="shared" si="10"/>
        <v>3500</v>
      </c>
      <c r="G559" s="843"/>
      <c r="H559" s="843"/>
      <c r="I559" s="844"/>
      <c r="J559" s="844"/>
    </row>
    <row r="560" spans="1:10" s="656" customFormat="1" ht="15.75" customHeight="1">
      <c r="A560" s="995">
        <v>1.1299999999999999</v>
      </c>
      <c r="B560" s="998" t="s">
        <v>927</v>
      </c>
      <c r="C560" s="993">
        <v>1</v>
      </c>
      <c r="D560" s="997" t="s">
        <v>3</v>
      </c>
      <c r="E560" s="993">
        <v>15332.48</v>
      </c>
      <c r="F560" s="1011">
        <f t="shared" si="10"/>
        <v>15332.48</v>
      </c>
      <c r="G560" s="1374"/>
      <c r="H560" s="843"/>
      <c r="I560" s="844"/>
      <c r="J560" s="844"/>
    </row>
    <row r="561" spans="1:10" s="656" customFormat="1" ht="12.75" customHeight="1">
      <c r="A561" s="995"/>
      <c r="B561" s="996"/>
      <c r="C561" s="1000"/>
      <c r="D561" s="1001"/>
      <c r="E561" s="1002"/>
      <c r="F561" s="1011">
        <f t="shared" si="10"/>
        <v>0</v>
      </c>
      <c r="G561" s="843"/>
      <c r="H561" s="843"/>
      <c r="I561" s="844"/>
      <c r="J561" s="844"/>
    </row>
    <row r="562" spans="1:10" s="656" customFormat="1" ht="12.75" customHeight="1">
      <c r="A562" s="992">
        <v>2</v>
      </c>
      <c r="B562" s="991" t="s">
        <v>928</v>
      </c>
      <c r="C562" s="1003"/>
      <c r="D562" s="994"/>
      <c r="E562" s="993"/>
      <c r="F562" s="1011">
        <f t="shared" si="10"/>
        <v>0</v>
      </c>
      <c r="G562" s="1373"/>
      <c r="H562" s="1373"/>
      <c r="I562" s="844"/>
      <c r="J562" s="1375"/>
    </row>
    <row r="563" spans="1:10" s="656" customFormat="1" ht="12.75" customHeight="1">
      <c r="A563" s="995">
        <v>2.1</v>
      </c>
      <c r="B563" s="996" t="s">
        <v>929</v>
      </c>
      <c r="C563" s="1004">
        <v>1</v>
      </c>
      <c r="D563" s="994" t="s">
        <v>3</v>
      </c>
      <c r="E563" s="993">
        <v>485.5</v>
      </c>
      <c r="F563" s="1011">
        <f t="shared" si="10"/>
        <v>485.5</v>
      </c>
      <c r="G563" s="843"/>
      <c r="H563" s="843"/>
      <c r="I563" s="844"/>
      <c r="J563" s="844"/>
    </row>
    <row r="564" spans="1:10" s="656" customFormat="1" ht="12.75" customHeight="1">
      <c r="A564" s="995">
        <v>2.2000000000000002</v>
      </c>
      <c r="B564" s="996" t="s">
        <v>930</v>
      </c>
      <c r="C564" s="1004">
        <v>1</v>
      </c>
      <c r="D564" s="994" t="s">
        <v>3</v>
      </c>
      <c r="E564" s="993">
        <v>280.16000000000003</v>
      </c>
      <c r="F564" s="1011">
        <f t="shared" si="10"/>
        <v>280.16000000000003</v>
      </c>
      <c r="G564" s="843"/>
      <c r="H564" s="843"/>
      <c r="I564" s="844"/>
      <c r="J564" s="844"/>
    </row>
    <row r="565" spans="1:10" s="656" customFormat="1" ht="12.75" customHeight="1">
      <c r="A565" s="995">
        <v>2.2999999999999998</v>
      </c>
      <c r="B565" s="996" t="s">
        <v>931</v>
      </c>
      <c r="C565" s="1004">
        <v>2</v>
      </c>
      <c r="D565" s="994" t="s">
        <v>3</v>
      </c>
      <c r="E565" s="993">
        <v>1396.72</v>
      </c>
      <c r="F565" s="1011">
        <f t="shared" si="10"/>
        <v>2793.44</v>
      </c>
      <c r="G565" s="843"/>
      <c r="H565" s="843"/>
      <c r="I565" s="844"/>
      <c r="J565" s="844"/>
    </row>
    <row r="566" spans="1:10" s="656" customFormat="1" ht="12.75" customHeight="1">
      <c r="A566" s="995">
        <v>2.4</v>
      </c>
      <c r="B566" s="996" t="s">
        <v>932</v>
      </c>
      <c r="C566" s="1004">
        <v>1</v>
      </c>
      <c r="D566" s="994" t="s">
        <v>3</v>
      </c>
      <c r="E566" s="993">
        <v>879.65</v>
      </c>
      <c r="F566" s="1011">
        <f t="shared" si="10"/>
        <v>879.65</v>
      </c>
      <c r="G566" s="843"/>
      <c r="H566" s="843"/>
      <c r="I566" s="844"/>
      <c r="J566" s="844"/>
    </row>
    <row r="567" spans="1:10" s="656" customFormat="1" ht="12.75" customHeight="1">
      <c r="A567" s="995">
        <v>2.5</v>
      </c>
      <c r="B567" s="996" t="s">
        <v>933</v>
      </c>
      <c r="C567" s="1004">
        <v>2</v>
      </c>
      <c r="D567" s="994" t="s">
        <v>3</v>
      </c>
      <c r="E567" s="993">
        <v>279.39999999999998</v>
      </c>
      <c r="F567" s="1011">
        <f t="shared" si="10"/>
        <v>558.79999999999995</v>
      </c>
      <c r="G567" s="843"/>
      <c r="H567" s="843"/>
      <c r="I567" s="844"/>
      <c r="J567" s="844"/>
    </row>
    <row r="568" spans="1:10" s="656" customFormat="1" ht="12.75" customHeight="1">
      <c r="A568" s="995">
        <v>2.6</v>
      </c>
      <c r="B568" s="996" t="s">
        <v>934</v>
      </c>
      <c r="C568" s="1004">
        <v>4</v>
      </c>
      <c r="D568" s="994" t="s">
        <v>3</v>
      </c>
      <c r="E568" s="993">
        <v>1232.6500000000001</v>
      </c>
      <c r="F568" s="1011">
        <f t="shared" si="10"/>
        <v>4930.6000000000004</v>
      </c>
      <c r="G568" s="843"/>
      <c r="H568" s="843"/>
      <c r="I568" s="844"/>
      <c r="J568" s="844"/>
    </row>
    <row r="569" spans="1:10" s="656" customFormat="1" ht="12.75" customHeight="1">
      <c r="A569" s="995">
        <v>2.7</v>
      </c>
      <c r="B569" s="996" t="s">
        <v>935</v>
      </c>
      <c r="C569" s="1004">
        <v>2</v>
      </c>
      <c r="D569" s="994" t="s">
        <v>3</v>
      </c>
      <c r="E569" s="993">
        <v>137.38999999999999</v>
      </c>
      <c r="F569" s="1011">
        <f t="shared" si="10"/>
        <v>274.77999999999997</v>
      </c>
      <c r="G569" s="843"/>
      <c r="H569" s="843"/>
      <c r="I569" s="844"/>
      <c r="J569" s="844"/>
    </row>
    <row r="570" spans="1:10" s="656" customFormat="1" ht="12.75" customHeight="1">
      <c r="A570" s="995">
        <v>2.8</v>
      </c>
      <c r="B570" s="996" t="s">
        <v>936</v>
      </c>
      <c r="C570" s="1004">
        <v>10</v>
      </c>
      <c r="D570" s="994" t="s">
        <v>3</v>
      </c>
      <c r="E570" s="993">
        <v>576.23</v>
      </c>
      <c r="F570" s="1011">
        <f t="shared" si="10"/>
        <v>5762.3</v>
      </c>
      <c r="G570" s="843"/>
      <c r="H570" s="843"/>
      <c r="I570" s="844"/>
      <c r="J570" s="844"/>
    </row>
    <row r="571" spans="1:10" s="656" customFormat="1" ht="12.75" customHeight="1">
      <c r="A571" s="995">
        <v>2.9</v>
      </c>
      <c r="B571" s="996" t="s">
        <v>937</v>
      </c>
      <c r="C571" s="1004">
        <v>3</v>
      </c>
      <c r="D571" s="994" t="s">
        <v>3</v>
      </c>
      <c r="E571" s="993">
        <v>206.82</v>
      </c>
      <c r="F571" s="1011">
        <f t="shared" si="10"/>
        <v>620.46</v>
      </c>
      <c r="G571" s="843"/>
      <c r="H571" s="843"/>
      <c r="I571" s="844"/>
      <c r="J571" s="844"/>
    </row>
    <row r="572" spans="1:10" s="656" customFormat="1" ht="12.75" customHeight="1">
      <c r="A572" s="999">
        <v>2.1</v>
      </c>
      <c r="B572" s="996" t="s">
        <v>938</v>
      </c>
      <c r="C572" s="1004">
        <v>20</v>
      </c>
      <c r="D572" s="994" t="s">
        <v>3</v>
      </c>
      <c r="E572" s="993">
        <v>93.7</v>
      </c>
      <c r="F572" s="1011">
        <f t="shared" si="10"/>
        <v>1874</v>
      </c>
      <c r="G572" s="843"/>
      <c r="H572" s="843"/>
      <c r="I572" s="844"/>
      <c r="J572" s="844"/>
    </row>
    <row r="573" spans="1:10" s="656" customFormat="1" ht="12.75" customHeight="1">
      <c r="A573" s="995">
        <v>2.11</v>
      </c>
      <c r="B573" s="996" t="s">
        <v>939</v>
      </c>
      <c r="C573" s="1004">
        <v>40</v>
      </c>
      <c r="D573" s="994" t="s">
        <v>800</v>
      </c>
      <c r="E573" s="993">
        <v>130</v>
      </c>
      <c r="F573" s="1011">
        <f t="shared" si="10"/>
        <v>5200</v>
      </c>
      <c r="G573" s="843"/>
      <c r="H573" s="843"/>
      <c r="I573" s="844"/>
      <c r="J573" s="844"/>
    </row>
    <row r="574" spans="1:10" s="656" customFormat="1" ht="12.75" customHeight="1">
      <c r="A574" s="999">
        <v>2.12</v>
      </c>
      <c r="B574" s="996" t="s">
        <v>940</v>
      </c>
      <c r="C574" s="1004">
        <v>2</v>
      </c>
      <c r="D574" s="994" t="s">
        <v>3</v>
      </c>
      <c r="E574" s="993">
        <v>227.15</v>
      </c>
      <c r="F574" s="1011">
        <f t="shared" si="10"/>
        <v>454.3</v>
      </c>
      <c r="G574" s="843"/>
      <c r="H574" s="843"/>
      <c r="I574" s="844"/>
      <c r="J574" s="844"/>
    </row>
    <row r="575" spans="1:10" s="656" customFormat="1" ht="12.75" customHeight="1">
      <c r="A575" s="995">
        <v>2.13</v>
      </c>
      <c r="B575" s="996" t="s">
        <v>941</v>
      </c>
      <c r="C575" s="1004">
        <v>2</v>
      </c>
      <c r="D575" s="994" t="s">
        <v>3</v>
      </c>
      <c r="E575" s="993">
        <v>420.24</v>
      </c>
      <c r="F575" s="1011">
        <f t="shared" si="10"/>
        <v>840.48</v>
      </c>
      <c r="G575" s="843"/>
      <c r="H575" s="843"/>
      <c r="I575" s="844"/>
      <c r="J575" s="844"/>
    </row>
    <row r="576" spans="1:10" s="656" customFormat="1" ht="12.75" customHeight="1">
      <c r="A576" s="999">
        <v>2.14</v>
      </c>
      <c r="B576" s="996" t="s">
        <v>942</v>
      </c>
      <c r="C576" s="1004">
        <v>250</v>
      </c>
      <c r="D576" s="994" t="s">
        <v>800</v>
      </c>
      <c r="E576" s="993">
        <v>55.35</v>
      </c>
      <c r="F576" s="1011">
        <f t="shared" si="10"/>
        <v>13837.5</v>
      </c>
      <c r="G576" s="843"/>
      <c r="H576" s="843"/>
      <c r="I576" s="844"/>
      <c r="J576" s="844"/>
    </row>
    <row r="577" spans="1:10" s="656" customFormat="1" ht="12.75" customHeight="1">
      <c r="A577" s="995">
        <v>2.15</v>
      </c>
      <c r="B577" s="996" t="s">
        <v>943</v>
      </c>
      <c r="C577" s="1004">
        <v>250</v>
      </c>
      <c r="D577" s="994" t="s">
        <v>800</v>
      </c>
      <c r="E577" s="993">
        <v>34.409999999999997</v>
      </c>
      <c r="F577" s="1011">
        <f t="shared" si="10"/>
        <v>8602.5</v>
      </c>
      <c r="G577" s="843"/>
      <c r="H577" s="843"/>
      <c r="I577" s="844"/>
      <c r="J577" s="844"/>
    </row>
    <row r="578" spans="1:10" s="656" customFormat="1" ht="12.75" customHeight="1">
      <c r="A578" s="999">
        <v>2.16</v>
      </c>
      <c r="B578" s="996" t="s">
        <v>944</v>
      </c>
      <c r="C578" s="1004">
        <v>500</v>
      </c>
      <c r="D578" s="994" t="s">
        <v>800</v>
      </c>
      <c r="E578" s="993">
        <v>22.82</v>
      </c>
      <c r="F578" s="1011">
        <f t="shared" si="10"/>
        <v>11410</v>
      </c>
      <c r="G578" s="843"/>
      <c r="H578" s="843"/>
      <c r="I578" s="844"/>
      <c r="J578" s="844"/>
    </row>
    <row r="579" spans="1:10" s="656" customFormat="1" ht="12.75" customHeight="1">
      <c r="A579" s="995">
        <v>2.17</v>
      </c>
      <c r="B579" s="996" t="s">
        <v>945</v>
      </c>
      <c r="C579" s="1004">
        <v>2000</v>
      </c>
      <c r="D579" s="994" t="s">
        <v>800</v>
      </c>
      <c r="E579" s="993">
        <v>13.7</v>
      </c>
      <c r="F579" s="1011">
        <f t="shared" si="10"/>
        <v>27400</v>
      </c>
      <c r="G579" s="843"/>
      <c r="H579" s="843"/>
      <c r="I579" s="844"/>
      <c r="J579" s="844"/>
    </row>
    <row r="580" spans="1:10" s="656" customFormat="1" ht="12.75" customHeight="1">
      <c r="A580" s="999">
        <v>2.1800000000000002</v>
      </c>
      <c r="B580" s="996" t="s">
        <v>946</v>
      </c>
      <c r="C580" s="1004">
        <v>1</v>
      </c>
      <c r="D580" s="994" t="s">
        <v>3</v>
      </c>
      <c r="E580" s="993">
        <v>54000</v>
      </c>
      <c r="F580" s="1011">
        <f t="shared" si="10"/>
        <v>54000</v>
      </c>
      <c r="G580" s="843"/>
      <c r="H580" s="843"/>
      <c r="I580" s="844"/>
      <c r="J580" s="844"/>
    </row>
    <row r="581" spans="1:10" s="656" customFormat="1" ht="25.5" customHeight="1">
      <c r="A581" s="995">
        <v>2.19</v>
      </c>
      <c r="B581" s="998" t="s">
        <v>947</v>
      </c>
      <c r="C581" s="1004">
        <v>1</v>
      </c>
      <c r="D581" s="994" t="s">
        <v>3</v>
      </c>
      <c r="E581" s="993">
        <v>12680</v>
      </c>
      <c r="F581" s="1011">
        <f t="shared" si="10"/>
        <v>12680</v>
      </c>
      <c r="G581" s="843"/>
      <c r="H581" s="843"/>
      <c r="I581" s="844"/>
      <c r="J581" s="844"/>
    </row>
    <row r="582" spans="1:10" s="656" customFormat="1" ht="25.5" customHeight="1">
      <c r="A582" s="999">
        <v>2.2000000000000002</v>
      </c>
      <c r="B582" s="998" t="s">
        <v>948</v>
      </c>
      <c r="C582" s="1004">
        <v>1</v>
      </c>
      <c r="D582" s="994" t="s">
        <v>3</v>
      </c>
      <c r="E582" s="993">
        <v>6600</v>
      </c>
      <c r="F582" s="1011">
        <f t="shared" si="10"/>
        <v>6600</v>
      </c>
      <c r="G582" s="843"/>
      <c r="H582" s="843"/>
      <c r="I582" s="844"/>
      <c r="J582" s="844"/>
    </row>
    <row r="583" spans="1:10" s="656" customFormat="1" ht="12.75" customHeight="1">
      <c r="A583" s="995">
        <v>2.21</v>
      </c>
      <c r="B583" s="998" t="s">
        <v>949</v>
      </c>
      <c r="C583" s="1005">
        <v>6</v>
      </c>
      <c r="D583" s="1006" t="s">
        <v>3</v>
      </c>
      <c r="E583" s="1007">
        <v>3000</v>
      </c>
      <c r="F583" s="1346">
        <f t="shared" si="10"/>
        <v>18000</v>
      </c>
      <c r="G583" s="843"/>
      <c r="H583" s="843"/>
      <c r="I583" s="844"/>
      <c r="J583" s="844"/>
    </row>
    <row r="584" spans="1:10" s="656" customFormat="1" ht="12.75" customHeight="1">
      <c r="A584" s="999">
        <v>2.2200000000000002</v>
      </c>
      <c r="B584" s="996" t="s">
        <v>950</v>
      </c>
      <c r="C584" s="1004">
        <v>5</v>
      </c>
      <c r="D584" s="994" t="s">
        <v>3</v>
      </c>
      <c r="E584" s="993">
        <v>14800</v>
      </c>
      <c r="F584" s="1011">
        <f>+C584*E584</f>
        <v>74000</v>
      </c>
      <c r="G584" s="843"/>
      <c r="H584" s="843"/>
      <c r="I584" s="844"/>
      <c r="J584" s="844"/>
    </row>
    <row r="585" spans="1:10" s="656" customFormat="1" ht="12.75" customHeight="1">
      <c r="A585" s="995">
        <v>2.23</v>
      </c>
      <c r="B585" s="1008" t="s">
        <v>951</v>
      </c>
      <c r="C585" s="1004">
        <v>5</v>
      </c>
      <c r="D585" s="994" t="s">
        <v>3</v>
      </c>
      <c r="E585" s="993">
        <v>7500</v>
      </c>
      <c r="F585" s="1011">
        <f>+C585*E585</f>
        <v>37500</v>
      </c>
      <c r="G585" s="843"/>
      <c r="H585" s="843"/>
      <c r="I585" s="844"/>
      <c r="J585" s="844"/>
    </row>
    <row r="586" spans="1:10" s="656" customFormat="1" ht="12.75" customHeight="1">
      <c r="A586" s="999">
        <v>2.2400000000000002</v>
      </c>
      <c r="B586" s="1008" t="s">
        <v>952</v>
      </c>
      <c r="C586" s="1004">
        <v>3</v>
      </c>
      <c r="D586" s="994" t="s">
        <v>3</v>
      </c>
      <c r="E586" s="993">
        <v>7850</v>
      </c>
      <c r="F586" s="1011">
        <f>+C586*E586</f>
        <v>23550</v>
      </c>
      <c r="G586" s="843"/>
      <c r="H586" s="843"/>
      <c r="I586" s="844"/>
      <c r="J586" s="844"/>
    </row>
    <row r="587" spans="1:10" s="656" customFormat="1" ht="12.75" customHeight="1">
      <c r="A587" s="995">
        <v>2.25</v>
      </c>
      <c r="B587" s="1008" t="s">
        <v>926</v>
      </c>
      <c r="C587" s="1009">
        <v>5</v>
      </c>
      <c r="D587" s="1010" t="s">
        <v>3</v>
      </c>
      <c r="E587" s="1011">
        <v>2500</v>
      </c>
      <c r="F587" s="1011">
        <f>+C587*E587</f>
        <v>12500</v>
      </c>
      <c r="G587" s="843"/>
      <c r="H587" s="843"/>
      <c r="I587" s="844"/>
      <c r="J587" s="844"/>
    </row>
    <row r="588" spans="1:10" s="656" customFormat="1" ht="12.75" customHeight="1">
      <c r="A588" s="999">
        <v>2.2599999999999998</v>
      </c>
      <c r="B588" s="1008" t="s">
        <v>953</v>
      </c>
      <c r="C588" s="1009">
        <v>5</v>
      </c>
      <c r="D588" s="1010" t="s">
        <v>3</v>
      </c>
      <c r="E588" s="1011">
        <v>1200</v>
      </c>
      <c r="F588" s="1011">
        <f>+C588*E588</f>
        <v>6000</v>
      </c>
      <c r="G588" s="843"/>
      <c r="H588" s="843"/>
      <c r="I588" s="844"/>
      <c r="J588" s="844"/>
    </row>
    <row r="589" spans="1:10" s="656" customFormat="1" ht="12.75" customHeight="1">
      <c r="A589" s="995">
        <v>2.27</v>
      </c>
      <c r="B589" s="996" t="s">
        <v>1223</v>
      </c>
      <c r="C589" s="1004">
        <v>1</v>
      </c>
      <c r="D589" s="994" t="s">
        <v>3</v>
      </c>
      <c r="E589" s="993">
        <v>500</v>
      </c>
      <c r="F589" s="1011">
        <f>ROUND(C589*E589,2)</f>
        <v>500</v>
      </c>
      <c r="G589" s="843"/>
      <c r="H589" s="843"/>
      <c r="I589" s="844"/>
      <c r="J589" s="844"/>
    </row>
    <row r="590" spans="1:10" s="656" customFormat="1" ht="12.75" customHeight="1">
      <c r="A590" s="999">
        <v>2.2799999999999998</v>
      </c>
      <c r="B590" s="996" t="s">
        <v>1224</v>
      </c>
      <c r="C590" s="1004">
        <v>2</v>
      </c>
      <c r="D590" s="994" t="s">
        <v>3</v>
      </c>
      <c r="E590" s="993">
        <v>200</v>
      </c>
      <c r="F590" s="1011">
        <f>ROUND(C590*E590,2)</f>
        <v>400</v>
      </c>
      <c r="G590" s="843"/>
      <c r="H590" s="843"/>
      <c r="I590" s="844"/>
      <c r="J590" s="844"/>
    </row>
    <row r="591" spans="1:10" s="656" customFormat="1" ht="12.75" customHeight="1">
      <c r="A591" s="995">
        <v>2.29</v>
      </c>
      <c r="B591" s="996" t="s">
        <v>955</v>
      </c>
      <c r="C591" s="1004">
        <v>1</v>
      </c>
      <c r="D591" s="994" t="s">
        <v>42</v>
      </c>
      <c r="E591" s="993">
        <v>65000</v>
      </c>
      <c r="F591" s="1011">
        <f>ROUND(C591*E591,2)</f>
        <v>65000</v>
      </c>
      <c r="G591" s="843"/>
      <c r="H591" s="843"/>
      <c r="I591" s="844"/>
      <c r="J591" s="844"/>
    </row>
    <row r="592" spans="1:10" s="656" customFormat="1" ht="12.75" customHeight="1">
      <c r="A592" s="995"/>
      <c r="B592" s="996"/>
      <c r="C592" s="1004"/>
      <c r="D592" s="994"/>
      <c r="E592" s="993"/>
      <c r="F592" s="1011"/>
      <c r="G592" s="843"/>
      <c r="H592" s="843"/>
      <c r="I592" s="844"/>
      <c r="J592" s="844"/>
    </row>
    <row r="593" spans="1:10" s="656" customFormat="1" ht="12.75" customHeight="1">
      <c r="A593" s="1012">
        <v>3</v>
      </c>
      <c r="B593" s="991" t="s">
        <v>956</v>
      </c>
      <c r="C593" s="1013"/>
      <c r="D593" s="1001"/>
      <c r="E593" s="993"/>
      <c r="F593" s="1011">
        <f t="shared" ref="F593:F607" si="11">+C593*E593</f>
        <v>0</v>
      </c>
      <c r="G593" s="843"/>
      <c r="H593" s="843"/>
      <c r="I593" s="844"/>
      <c r="J593" s="844"/>
    </row>
    <row r="594" spans="1:10" s="656" customFormat="1" ht="38.25" customHeight="1">
      <c r="A594" s="1014">
        <v>3.1</v>
      </c>
      <c r="B594" s="998" t="s">
        <v>957</v>
      </c>
      <c r="C594" s="1004">
        <v>1</v>
      </c>
      <c r="D594" s="994" t="s">
        <v>61</v>
      </c>
      <c r="E594" s="993">
        <v>294840</v>
      </c>
      <c r="F594" s="1011">
        <f t="shared" si="11"/>
        <v>294840</v>
      </c>
      <c r="G594" s="843"/>
      <c r="H594" s="843"/>
      <c r="I594" s="844"/>
      <c r="J594" s="844"/>
    </row>
    <row r="595" spans="1:10" s="656" customFormat="1" ht="12.75" customHeight="1">
      <c r="A595" s="1014">
        <v>3.2</v>
      </c>
      <c r="B595" s="996" t="s">
        <v>958</v>
      </c>
      <c r="C595" s="1004">
        <v>1</v>
      </c>
      <c r="D595" s="994" t="s">
        <v>61</v>
      </c>
      <c r="E595" s="993">
        <v>40000</v>
      </c>
      <c r="F595" s="1011">
        <f t="shared" si="11"/>
        <v>40000</v>
      </c>
      <c r="G595" s="843"/>
      <c r="H595" s="843"/>
      <c r="I595" s="844"/>
      <c r="J595" s="844"/>
    </row>
    <row r="596" spans="1:10" s="656" customFormat="1" ht="25.5" customHeight="1">
      <c r="A596" s="1014">
        <v>3.3</v>
      </c>
      <c r="B596" s="998" t="s">
        <v>959</v>
      </c>
      <c r="C596" s="1004">
        <v>1</v>
      </c>
      <c r="D596" s="994" t="s">
        <v>3</v>
      </c>
      <c r="E596" s="993">
        <v>54300</v>
      </c>
      <c r="F596" s="1011">
        <f t="shared" si="11"/>
        <v>54300</v>
      </c>
      <c r="G596" s="843"/>
      <c r="H596" s="843"/>
      <c r="I596" s="844"/>
      <c r="J596" s="844"/>
    </row>
    <row r="597" spans="1:10" s="656" customFormat="1" ht="12.75" customHeight="1">
      <c r="A597" s="1014">
        <v>3.4</v>
      </c>
      <c r="B597" s="996" t="s">
        <v>960</v>
      </c>
      <c r="C597" s="1004">
        <v>1</v>
      </c>
      <c r="D597" s="994" t="s">
        <v>3</v>
      </c>
      <c r="E597" s="993">
        <v>18000</v>
      </c>
      <c r="F597" s="1011">
        <f t="shared" si="11"/>
        <v>18000</v>
      </c>
      <c r="G597" s="843"/>
      <c r="H597" s="843"/>
      <c r="I597" s="844"/>
      <c r="J597" s="1376"/>
    </row>
    <row r="598" spans="1:10" s="656" customFormat="1" ht="12.75" customHeight="1">
      <c r="A598" s="1014">
        <v>3.5</v>
      </c>
      <c r="B598" s="996" t="s">
        <v>961</v>
      </c>
      <c r="C598" s="1004">
        <v>1</v>
      </c>
      <c r="D598" s="994" t="s">
        <v>3</v>
      </c>
      <c r="E598" s="993">
        <v>14000</v>
      </c>
      <c r="F598" s="1011">
        <f t="shared" si="11"/>
        <v>14000</v>
      </c>
      <c r="G598" s="843"/>
      <c r="H598" s="843"/>
      <c r="I598" s="844"/>
      <c r="J598" s="844"/>
    </row>
    <row r="599" spans="1:10" s="656" customFormat="1" ht="12.75" customHeight="1">
      <c r="A599" s="1014">
        <v>3.6</v>
      </c>
      <c r="B599" s="996" t="s">
        <v>962</v>
      </c>
      <c r="C599" s="1004">
        <v>200</v>
      </c>
      <c r="D599" s="994" t="s">
        <v>800</v>
      </c>
      <c r="E599" s="993">
        <v>34.409999999999997</v>
      </c>
      <c r="F599" s="1011">
        <f t="shared" si="11"/>
        <v>6882</v>
      </c>
      <c r="G599" s="843"/>
      <c r="H599" s="843"/>
      <c r="I599" s="844"/>
      <c r="J599" s="844"/>
    </row>
    <row r="600" spans="1:10" s="656" customFormat="1" ht="12.75" customHeight="1">
      <c r="A600" s="1014">
        <v>3.7</v>
      </c>
      <c r="B600" s="996" t="s">
        <v>963</v>
      </c>
      <c r="C600" s="1004">
        <v>1</v>
      </c>
      <c r="D600" s="994" t="s">
        <v>3</v>
      </c>
      <c r="E600" s="993">
        <v>1232.6500000000001</v>
      </c>
      <c r="F600" s="1011">
        <f t="shared" si="11"/>
        <v>1232.6500000000001</v>
      </c>
      <c r="G600" s="843"/>
      <c r="H600" s="843"/>
      <c r="I600" s="844"/>
      <c r="J600" s="844"/>
    </row>
    <row r="601" spans="1:10" s="656" customFormat="1" ht="12.75" customHeight="1">
      <c r="A601" s="1014">
        <v>3.8</v>
      </c>
      <c r="B601" s="996" t="s">
        <v>964</v>
      </c>
      <c r="C601" s="1004">
        <v>1</v>
      </c>
      <c r="D601" s="994" t="s">
        <v>3</v>
      </c>
      <c r="E601" s="993">
        <v>137.38999999999999</v>
      </c>
      <c r="F601" s="1011">
        <f t="shared" si="11"/>
        <v>137.38999999999999</v>
      </c>
      <c r="G601" s="843"/>
      <c r="H601" s="843"/>
      <c r="I601" s="844"/>
      <c r="J601" s="844"/>
    </row>
    <row r="602" spans="1:10" s="656" customFormat="1" ht="12.75" customHeight="1">
      <c r="A602" s="1014">
        <v>3.9</v>
      </c>
      <c r="B602" s="996" t="s">
        <v>965</v>
      </c>
      <c r="C602" s="1004">
        <v>4</v>
      </c>
      <c r="D602" s="994" t="s">
        <v>3</v>
      </c>
      <c r="E602" s="993">
        <v>45</v>
      </c>
      <c r="F602" s="1011">
        <f t="shared" si="11"/>
        <v>180</v>
      </c>
      <c r="G602" s="843"/>
      <c r="H602" s="843"/>
      <c r="I602" s="844"/>
      <c r="J602" s="844"/>
    </row>
    <row r="603" spans="1:10" s="656" customFormat="1" ht="12.75" customHeight="1">
      <c r="A603" s="1015">
        <v>3.1</v>
      </c>
      <c r="B603" s="996" t="s">
        <v>966</v>
      </c>
      <c r="C603" s="1004">
        <v>1</v>
      </c>
      <c r="D603" s="994" t="s">
        <v>3</v>
      </c>
      <c r="E603" s="993">
        <v>4000</v>
      </c>
      <c r="F603" s="1011">
        <f t="shared" si="11"/>
        <v>4000</v>
      </c>
      <c r="G603" s="843"/>
      <c r="H603" s="843"/>
      <c r="I603" s="844"/>
      <c r="J603" s="844"/>
    </row>
    <row r="604" spans="1:10" s="656" customFormat="1" ht="12.75" customHeight="1">
      <c r="A604" s="1015">
        <v>3.11</v>
      </c>
      <c r="B604" s="996" t="s">
        <v>967</v>
      </c>
      <c r="C604" s="1004">
        <v>1</v>
      </c>
      <c r="D604" s="994" t="s">
        <v>3</v>
      </c>
      <c r="E604" s="993">
        <v>12800</v>
      </c>
      <c r="F604" s="1011">
        <f t="shared" si="11"/>
        <v>12800</v>
      </c>
      <c r="G604" s="843"/>
      <c r="H604" s="843"/>
      <c r="I604" s="844"/>
      <c r="J604" s="844"/>
    </row>
    <row r="605" spans="1:10" s="656" customFormat="1" ht="12.75" customHeight="1">
      <c r="A605" s="1015">
        <v>3.12</v>
      </c>
      <c r="B605" s="996" t="s">
        <v>954</v>
      </c>
      <c r="C605" s="1004">
        <v>1</v>
      </c>
      <c r="D605" s="994" t="s">
        <v>3</v>
      </c>
      <c r="E605" s="993">
        <v>500</v>
      </c>
      <c r="F605" s="1011">
        <f t="shared" si="11"/>
        <v>500</v>
      </c>
      <c r="G605" s="843"/>
      <c r="H605" s="843"/>
      <c r="I605" s="844"/>
      <c r="J605" s="844"/>
    </row>
    <row r="606" spans="1:10" s="656" customFormat="1" ht="12.75" customHeight="1">
      <c r="A606" s="1015">
        <v>3.13</v>
      </c>
      <c r="B606" s="996" t="s">
        <v>968</v>
      </c>
      <c r="C606" s="1004">
        <v>1</v>
      </c>
      <c r="D606" s="994" t="s">
        <v>3</v>
      </c>
      <c r="E606" s="993">
        <v>200</v>
      </c>
      <c r="F606" s="1011">
        <f t="shared" si="11"/>
        <v>200</v>
      </c>
      <c r="G606" s="843"/>
      <c r="H606" s="843"/>
      <c r="I606" s="844"/>
      <c r="J606" s="844"/>
    </row>
    <row r="607" spans="1:10" s="656" customFormat="1" ht="25.5" customHeight="1">
      <c r="A607" s="1015">
        <v>3.14</v>
      </c>
      <c r="B607" s="998" t="s">
        <v>969</v>
      </c>
      <c r="C607" s="1004">
        <v>1</v>
      </c>
      <c r="D607" s="994" t="s">
        <v>970</v>
      </c>
      <c r="E607" s="993">
        <v>450000</v>
      </c>
      <c r="F607" s="1011">
        <f t="shared" si="11"/>
        <v>450000</v>
      </c>
      <c r="G607" s="843"/>
      <c r="H607" s="843"/>
      <c r="I607" s="844"/>
      <c r="J607" s="844"/>
    </row>
    <row r="608" spans="1:10" s="656" customFormat="1" ht="18" customHeight="1">
      <c r="A608" s="845"/>
      <c r="B608" s="846" t="s">
        <v>971</v>
      </c>
      <c r="C608" s="847">
        <v>0</v>
      </c>
      <c r="D608" s="848"/>
      <c r="E608" s="849"/>
      <c r="F608" s="1347" t="e">
        <f>SUM(F63:F607)</f>
        <v>#REF!</v>
      </c>
      <c r="G608" s="850"/>
      <c r="H608" s="850"/>
      <c r="I608" s="850"/>
      <c r="J608" s="850"/>
    </row>
    <row r="609" spans="1:10" s="656" customFormat="1">
      <c r="A609" s="807"/>
      <c r="B609" s="808"/>
      <c r="C609" s="809"/>
      <c r="D609" s="810"/>
      <c r="E609" s="811"/>
      <c r="F609" s="1348"/>
      <c r="G609" s="812"/>
      <c r="H609" s="812"/>
      <c r="I609" s="812"/>
      <c r="J609" s="812"/>
    </row>
    <row r="610" spans="1:10" s="656" customFormat="1" ht="45" customHeight="1">
      <c r="A610" s="807" t="s">
        <v>10</v>
      </c>
      <c r="B610" s="851" t="s">
        <v>1009</v>
      </c>
      <c r="C610" s="809"/>
      <c r="D610" s="810"/>
      <c r="E610" s="811"/>
      <c r="F610" s="1348"/>
      <c r="G610" s="812"/>
      <c r="H610" s="812"/>
      <c r="I610" s="812"/>
      <c r="J610" s="812"/>
    </row>
    <row r="611" spans="1:10" s="656" customFormat="1">
      <c r="A611" s="807"/>
      <c r="B611" s="808"/>
      <c r="C611" s="1029"/>
      <c r="D611" s="810"/>
      <c r="E611" s="1032"/>
      <c r="F611" s="1348"/>
      <c r="G611" s="812"/>
      <c r="H611" s="812"/>
      <c r="I611" s="812"/>
      <c r="J611" s="812"/>
    </row>
    <row r="612" spans="1:10" s="656" customFormat="1">
      <c r="A612" s="813" t="s">
        <v>548</v>
      </c>
      <c r="B612" s="745" t="s">
        <v>37</v>
      </c>
      <c r="C612" s="1030">
        <v>862</v>
      </c>
      <c r="D612" s="814" t="s">
        <v>1</v>
      </c>
      <c r="E612" s="1032">
        <v>15</v>
      </c>
      <c r="F612" s="1349">
        <f t="shared" ref="F612:F635" si="12">+ROUND((E612*C612),2)</f>
        <v>12930</v>
      </c>
      <c r="G612" s="812"/>
      <c r="H612" s="812"/>
      <c r="I612" s="812"/>
      <c r="J612" s="812"/>
    </row>
    <row r="613" spans="1:10" s="656" customFormat="1">
      <c r="A613" s="813"/>
      <c r="B613" s="816"/>
      <c r="C613" s="1030"/>
      <c r="D613" s="810"/>
      <c r="E613" s="1032"/>
      <c r="F613" s="1349">
        <f t="shared" si="12"/>
        <v>0</v>
      </c>
      <c r="G613" s="812"/>
      <c r="H613" s="812"/>
      <c r="I613" s="812"/>
      <c r="J613" s="812"/>
    </row>
    <row r="614" spans="1:10" s="656" customFormat="1">
      <c r="A614" s="817" t="s">
        <v>549</v>
      </c>
      <c r="B614" s="818" t="s">
        <v>38</v>
      </c>
      <c r="C614" s="1031"/>
      <c r="D614" s="810"/>
      <c r="E614" s="1032"/>
      <c r="F614" s="1349">
        <f t="shared" si="12"/>
        <v>0</v>
      </c>
      <c r="G614" s="812"/>
      <c r="H614" s="812"/>
      <c r="I614" s="812"/>
      <c r="J614" s="812"/>
    </row>
    <row r="615" spans="1:10" s="655" customFormat="1">
      <c r="A615" s="1204" t="s">
        <v>1182</v>
      </c>
      <c r="B615" s="1205" t="s">
        <v>1179</v>
      </c>
      <c r="C615" s="805">
        <f>+'MT-C'!I57</f>
        <v>615.38</v>
      </c>
      <c r="D615" s="1206" t="s">
        <v>2</v>
      </c>
      <c r="E615" s="1207">
        <v>154.53</v>
      </c>
      <c r="F615" s="1331">
        <f t="shared" ref="F615:F621" si="13">+ROUND(C615*E615,2)</f>
        <v>95094.67</v>
      </c>
      <c r="G615" s="1362"/>
      <c r="H615" s="1363"/>
      <c r="I615" s="1364"/>
    </row>
    <row r="616" spans="1:10" s="655" customFormat="1" ht="25.5">
      <c r="A616" s="1204" t="s">
        <v>1183</v>
      </c>
      <c r="B616" s="1205" t="s">
        <v>1180</v>
      </c>
      <c r="C616" s="805">
        <f>+'MT-C'!I56</f>
        <v>263.74</v>
      </c>
      <c r="D616" s="1206" t="s">
        <v>2</v>
      </c>
      <c r="E616" s="1207">
        <v>1125.8</v>
      </c>
      <c r="F616" s="1331">
        <f t="shared" si="13"/>
        <v>296918.49</v>
      </c>
      <c r="G616" s="1362"/>
      <c r="H616" s="1363"/>
      <c r="I616" s="1364"/>
    </row>
    <row r="617" spans="1:10" s="655" customFormat="1">
      <c r="A617" s="1204">
        <v>2.2000000000000002</v>
      </c>
      <c r="B617" s="1205" t="s">
        <v>1181</v>
      </c>
      <c r="C617" s="805">
        <f>+C612*0.85</f>
        <v>732.7</v>
      </c>
      <c r="D617" s="1206" t="s">
        <v>11</v>
      </c>
      <c r="E617" s="1207">
        <v>28.5</v>
      </c>
      <c r="F617" s="1331">
        <f t="shared" si="13"/>
        <v>20881.95</v>
      </c>
      <c r="G617" s="1362"/>
      <c r="H617" s="1363"/>
      <c r="I617" s="1364"/>
    </row>
    <row r="618" spans="1:10" s="655" customFormat="1">
      <c r="A618" s="1211">
        <v>2.2999999999999998</v>
      </c>
      <c r="B618" s="1212" t="s">
        <v>4</v>
      </c>
      <c r="C618" s="805">
        <f>+'MT-C'!I26</f>
        <v>87.91</v>
      </c>
      <c r="D618" s="1206" t="s">
        <v>2</v>
      </c>
      <c r="E618" s="1207">
        <v>1108.8900000000001</v>
      </c>
      <c r="F618" s="1333">
        <f t="shared" si="13"/>
        <v>97482.52</v>
      </c>
      <c r="G618" s="1362"/>
    </row>
    <row r="619" spans="1:10" s="655" customFormat="1" ht="27.75" customHeight="1">
      <c r="A619" s="1211">
        <v>2.4</v>
      </c>
      <c r="B619" s="1213" t="s">
        <v>1185</v>
      </c>
      <c r="C619" s="805">
        <f>+C616*1.25</f>
        <v>329.68</v>
      </c>
      <c r="D619" s="1206" t="s">
        <v>2</v>
      </c>
      <c r="E619" s="1207">
        <v>668.95</v>
      </c>
      <c r="F619" s="1333">
        <f t="shared" si="13"/>
        <v>220539.44</v>
      </c>
      <c r="G619" s="1362"/>
    </row>
    <row r="620" spans="1:10" s="1378" customFormat="1" ht="25.5">
      <c r="A620" s="1214">
        <v>2.5</v>
      </c>
      <c r="B620" s="1205" t="s">
        <v>1184</v>
      </c>
      <c r="C620" s="805">
        <f>+'MT-C'!I28</f>
        <v>743.96</v>
      </c>
      <c r="D620" s="1206" t="s">
        <v>2</v>
      </c>
      <c r="E620" s="1207">
        <v>183.5</v>
      </c>
      <c r="F620" s="1333">
        <f t="shared" si="13"/>
        <v>136516.66</v>
      </c>
      <c r="G620" s="1377"/>
    </row>
    <row r="621" spans="1:10" s="1378" customFormat="1">
      <c r="A621" s="1211">
        <v>2.6</v>
      </c>
      <c r="B621" s="1212" t="s">
        <v>35</v>
      </c>
      <c r="C621" s="805">
        <f>+C616*1.4+C618*1.25+'MT-C'!I30</f>
        <v>648.07000000000005</v>
      </c>
      <c r="D621" s="1206" t="s">
        <v>2</v>
      </c>
      <c r="E621" s="1207">
        <v>165</v>
      </c>
      <c r="F621" s="1333">
        <f t="shared" si="13"/>
        <v>106931.55</v>
      </c>
      <c r="G621" s="1377"/>
    </row>
    <row r="622" spans="1:10" s="656" customFormat="1">
      <c r="A622" s="813"/>
      <c r="B622" s="522"/>
      <c r="C622" s="1030"/>
      <c r="D622" s="814"/>
      <c r="E622" s="1032"/>
      <c r="F622" s="1349">
        <f t="shared" si="12"/>
        <v>0</v>
      </c>
      <c r="G622" s="812"/>
      <c r="H622" s="812"/>
      <c r="I622" s="812"/>
      <c r="J622" s="812"/>
    </row>
    <row r="623" spans="1:10" s="656" customFormat="1">
      <c r="A623" s="817" t="s">
        <v>552</v>
      </c>
      <c r="B623" s="818" t="s">
        <v>553</v>
      </c>
      <c r="C623" s="1030"/>
      <c r="D623" s="810"/>
      <c r="E623" s="1032"/>
      <c r="F623" s="1349">
        <f t="shared" si="12"/>
        <v>0</v>
      </c>
      <c r="G623" s="812"/>
      <c r="H623" s="812"/>
      <c r="I623" s="812"/>
      <c r="J623" s="812"/>
    </row>
    <row r="624" spans="1:10" s="217" customFormat="1" ht="25.5">
      <c r="A624" s="1033" t="s">
        <v>554</v>
      </c>
      <c r="B624" s="1028" t="s">
        <v>982</v>
      </c>
      <c r="C624" s="1034">
        <f>+C612*1.02</f>
        <v>879.24</v>
      </c>
      <c r="D624" s="814" t="s">
        <v>1</v>
      </c>
      <c r="E624" s="1035">
        <v>526.78</v>
      </c>
      <c r="F624" s="1350">
        <f t="shared" si="12"/>
        <v>463166.05</v>
      </c>
      <c r="G624" s="1377"/>
      <c r="H624" s="1036"/>
      <c r="I624" s="1036"/>
      <c r="J624" s="1036"/>
    </row>
    <row r="625" spans="1:10" s="656" customFormat="1">
      <c r="A625" s="813"/>
      <c r="B625" s="816"/>
      <c r="C625" s="1030"/>
      <c r="D625" s="810"/>
      <c r="E625" s="1032"/>
      <c r="F625" s="1349">
        <f t="shared" si="12"/>
        <v>0</v>
      </c>
      <c r="G625" s="812"/>
      <c r="H625" s="812"/>
      <c r="I625" s="812"/>
      <c r="J625" s="812"/>
    </row>
    <row r="626" spans="1:10" s="656" customFormat="1">
      <c r="A626" s="817" t="s">
        <v>555</v>
      </c>
      <c r="B626" s="819" t="s">
        <v>556</v>
      </c>
      <c r="C626" s="1030"/>
      <c r="D626" s="810"/>
      <c r="E626" s="1032"/>
      <c r="F626" s="1349">
        <f t="shared" si="12"/>
        <v>0</v>
      </c>
      <c r="G626" s="812"/>
      <c r="H626" s="812"/>
      <c r="I626" s="812"/>
      <c r="J626" s="812"/>
    </row>
    <row r="627" spans="1:10" s="656" customFormat="1" ht="25.5">
      <c r="A627" s="813" t="s">
        <v>557</v>
      </c>
      <c r="B627" s="1028" t="s">
        <v>982</v>
      </c>
      <c r="C627" s="1030">
        <f>+C624</f>
        <v>879.24</v>
      </c>
      <c r="D627" s="727" t="s">
        <v>1</v>
      </c>
      <c r="E627" s="1032">
        <v>18.399999999999999</v>
      </c>
      <c r="F627" s="1349">
        <f t="shared" si="12"/>
        <v>16178.02</v>
      </c>
      <c r="G627" s="1377"/>
      <c r="H627" s="812"/>
      <c r="I627" s="812"/>
      <c r="J627" s="812"/>
    </row>
    <row r="628" spans="1:10" s="656" customFormat="1">
      <c r="A628" s="813"/>
      <c r="B628" s="816"/>
      <c r="C628" s="1030"/>
      <c r="D628" s="810"/>
      <c r="E628" s="1032"/>
      <c r="F628" s="1349">
        <f t="shared" si="12"/>
        <v>0</v>
      </c>
      <c r="G628" s="812"/>
      <c r="H628" s="812"/>
      <c r="I628" s="812"/>
      <c r="J628" s="812"/>
    </row>
    <row r="629" spans="1:10" s="656" customFormat="1">
      <c r="A629" s="817" t="s">
        <v>558</v>
      </c>
      <c r="B629" s="818" t="s">
        <v>559</v>
      </c>
      <c r="C629" s="1030"/>
      <c r="D629" s="1038"/>
      <c r="E629" s="1032"/>
      <c r="F629" s="1351"/>
      <c r="G629" s="812"/>
      <c r="H629" s="812"/>
      <c r="I629" s="812"/>
      <c r="J629" s="812"/>
    </row>
    <row r="630" spans="1:10" s="656" customFormat="1" ht="25.5">
      <c r="A630" s="813" t="s">
        <v>560</v>
      </c>
      <c r="B630" s="1217" t="s">
        <v>1199</v>
      </c>
      <c r="C630" s="1030">
        <v>3</v>
      </c>
      <c r="D630" s="810" t="s">
        <v>3</v>
      </c>
      <c r="E630" s="1032">
        <v>2119.35</v>
      </c>
      <c r="F630" s="1349">
        <f t="shared" si="12"/>
        <v>6358.05</v>
      </c>
      <c r="G630" s="1377"/>
      <c r="H630" s="812"/>
      <c r="I630" s="812"/>
      <c r="J630" s="812"/>
    </row>
    <row r="631" spans="1:10" s="656" customFormat="1" ht="25.5">
      <c r="A631" s="813" t="s">
        <v>561</v>
      </c>
      <c r="B631" s="1217" t="s">
        <v>1200</v>
      </c>
      <c r="C631" s="1030">
        <v>3</v>
      </c>
      <c r="D631" s="810" t="s">
        <v>3</v>
      </c>
      <c r="E631" s="1032">
        <v>2443.85</v>
      </c>
      <c r="F631" s="1349">
        <f t="shared" si="12"/>
        <v>7331.55</v>
      </c>
      <c r="G631" s="1377"/>
      <c r="H631" s="812"/>
      <c r="I631" s="812"/>
      <c r="J631" s="812"/>
    </row>
    <row r="632" spans="1:10" s="656" customFormat="1">
      <c r="A632" s="813" t="s">
        <v>562</v>
      </c>
      <c r="B632" s="816" t="s">
        <v>1201</v>
      </c>
      <c r="C632" s="1030">
        <f>6*2</f>
        <v>12</v>
      </c>
      <c r="D632" s="1038" t="s">
        <v>3</v>
      </c>
      <c r="E632" s="1032">
        <v>1566.25</v>
      </c>
      <c r="F632" s="1349">
        <f t="shared" si="12"/>
        <v>18795</v>
      </c>
      <c r="G632" s="1377"/>
      <c r="H632" s="812"/>
      <c r="I632" s="812"/>
      <c r="J632" s="812"/>
    </row>
    <row r="633" spans="1:10" s="656" customFormat="1">
      <c r="A633" s="1241" t="s">
        <v>563</v>
      </c>
      <c r="B633" s="1305" t="s">
        <v>564</v>
      </c>
      <c r="C633" s="1030">
        <v>6</v>
      </c>
      <c r="D633" s="1038" t="s">
        <v>3</v>
      </c>
      <c r="E633" s="1032">
        <f>0.1*5709.524</f>
        <v>570.95000000000005</v>
      </c>
      <c r="F633" s="1351">
        <f t="shared" si="12"/>
        <v>3425.7</v>
      </c>
      <c r="G633" s="1377"/>
      <c r="H633" s="812"/>
      <c r="I633" s="812"/>
      <c r="J633" s="812"/>
    </row>
    <row r="634" spans="1:10" s="656" customFormat="1">
      <c r="A634" s="813"/>
      <c r="B634" s="816"/>
      <c r="C634" s="1030"/>
      <c r="D634" s="1038"/>
      <c r="E634" s="1032"/>
      <c r="F634" s="1349">
        <f t="shared" si="12"/>
        <v>0</v>
      </c>
      <c r="G634" s="1377"/>
      <c r="H634" s="812"/>
      <c r="I634" s="812"/>
      <c r="J634" s="812"/>
    </row>
    <row r="635" spans="1:10" s="656" customFormat="1">
      <c r="A635" s="817" t="s">
        <v>565</v>
      </c>
      <c r="B635" s="818" t="s">
        <v>566</v>
      </c>
      <c r="C635" s="1030"/>
      <c r="D635" s="1038"/>
      <c r="E635" s="1032"/>
      <c r="F635" s="1349">
        <f t="shared" si="12"/>
        <v>0</v>
      </c>
      <c r="G635" s="1377"/>
      <c r="H635" s="812"/>
      <c r="I635" s="812"/>
      <c r="J635" s="812"/>
    </row>
    <row r="636" spans="1:10" s="655" customFormat="1">
      <c r="A636" s="1238">
        <v>7.1</v>
      </c>
      <c r="B636" s="1217" t="s">
        <v>1198</v>
      </c>
      <c r="C636" s="804">
        <v>1</v>
      </c>
      <c r="D636" s="1049" t="s">
        <v>3</v>
      </c>
      <c r="E636" s="1039">
        <v>38964.559999999998</v>
      </c>
      <c r="F636" s="1339">
        <f t="shared" ref="F636:F642" si="14">+ROUND(C636*E636,2)</f>
        <v>38964.559999999998</v>
      </c>
      <c r="G636" s="1377"/>
    </row>
    <row r="637" spans="1:10" s="655" customFormat="1">
      <c r="A637" s="1238">
        <v>7.2</v>
      </c>
      <c r="B637" s="1217" t="s">
        <v>1197</v>
      </c>
      <c r="C637" s="804">
        <v>6</v>
      </c>
      <c r="D637" s="1049" t="s">
        <v>3</v>
      </c>
      <c r="E637" s="804">
        <f>+E46</f>
        <v>14652.98</v>
      </c>
      <c r="F637" s="1339">
        <f t="shared" si="14"/>
        <v>87917.88</v>
      </c>
      <c r="G637" s="1377"/>
    </row>
    <row r="638" spans="1:10" s="655" customFormat="1">
      <c r="A638" s="1238">
        <v>7.3</v>
      </c>
      <c r="B638" s="1217" t="s">
        <v>1202</v>
      </c>
      <c r="C638" s="804">
        <v>2</v>
      </c>
      <c r="D638" s="1049" t="s">
        <v>3</v>
      </c>
      <c r="E638" s="1039">
        <v>40718.379999999997</v>
      </c>
      <c r="F638" s="1339">
        <f t="shared" si="14"/>
        <v>81436.759999999995</v>
      </c>
      <c r="G638" s="1377"/>
    </row>
    <row r="639" spans="1:10" s="655" customFormat="1" ht="14.25" customHeight="1">
      <c r="A639" s="1303">
        <v>7.4</v>
      </c>
      <c r="B639" s="1304" t="s">
        <v>414</v>
      </c>
      <c r="C639" s="804">
        <v>2</v>
      </c>
      <c r="D639" s="1049" t="s">
        <v>3</v>
      </c>
      <c r="E639" s="1039">
        <v>3500</v>
      </c>
      <c r="F639" s="1339">
        <f t="shared" si="14"/>
        <v>7000</v>
      </c>
      <c r="G639" s="1377"/>
    </row>
    <row r="640" spans="1:10" s="655" customFormat="1">
      <c r="A640" s="721">
        <v>8</v>
      </c>
      <c r="B640" s="722" t="s">
        <v>59</v>
      </c>
      <c r="C640" s="855"/>
      <c r="D640" s="730"/>
      <c r="E640" s="1051"/>
      <c r="F640" s="1330">
        <f t="shared" si="14"/>
        <v>0</v>
      </c>
      <c r="G640" s="1377"/>
    </row>
    <row r="641" spans="1:10" s="1365" customFormat="1">
      <c r="A641" s="1054">
        <v>8.1</v>
      </c>
      <c r="B641" s="853" t="s">
        <v>1186</v>
      </c>
      <c r="C641" s="1055">
        <f>+C612</f>
        <v>862</v>
      </c>
      <c r="D641" s="713" t="s">
        <v>1</v>
      </c>
      <c r="E641" s="1056">
        <v>10.01</v>
      </c>
      <c r="F641" s="1332">
        <f t="shared" si="14"/>
        <v>8628.6200000000008</v>
      </c>
      <c r="G641" s="1377"/>
    </row>
    <row r="642" spans="1:10" s="1365" customFormat="1" ht="11.25" customHeight="1">
      <c r="A642" s="1057"/>
      <c r="B642" s="1052"/>
      <c r="C642" s="1055"/>
      <c r="D642" s="713"/>
      <c r="E642" s="1056"/>
      <c r="F642" s="1332">
        <f t="shared" si="14"/>
        <v>0</v>
      </c>
      <c r="G642" s="1377"/>
    </row>
    <row r="643" spans="1:10" s="1365" customFormat="1" ht="38.25">
      <c r="A643" s="1058">
        <v>9</v>
      </c>
      <c r="B643" s="1053" t="s">
        <v>520</v>
      </c>
      <c r="C643" s="1059">
        <f>+C612</f>
        <v>862</v>
      </c>
      <c r="D643" s="1220" t="s">
        <v>1</v>
      </c>
      <c r="E643" s="1059">
        <v>23.11</v>
      </c>
      <c r="F643" s="1340">
        <f>ROUND(C643*E643,2)</f>
        <v>19920.82</v>
      </c>
      <c r="G643" s="1377"/>
      <c r="J643" s="1366"/>
    </row>
    <row r="644" spans="1:10" s="1365" customFormat="1" ht="12.75" customHeight="1">
      <c r="A644" s="1060"/>
      <c r="B644" s="1052"/>
      <c r="C644" s="1061"/>
      <c r="D644" s="1220"/>
      <c r="E644" s="1061"/>
      <c r="F644" s="1340"/>
      <c r="G644" s="1377"/>
    </row>
    <row r="645" spans="1:10" s="1365" customFormat="1" ht="12.75" customHeight="1">
      <c r="A645" s="1060">
        <v>10</v>
      </c>
      <c r="B645" s="1052" t="s">
        <v>462</v>
      </c>
      <c r="C645" s="1061">
        <f>+C643</f>
        <v>862</v>
      </c>
      <c r="D645" s="1220" t="s">
        <v>1</v>
      </c>
      <c r="E645" s="1061">
        <v>15</v>
      </c>
      <c r="F645" s="1340">
        <f>ROUND(C645*E645,2)</f>
        <v>12930</v>
      </c>
      <c r="G645" s="1377"/>
      <c r="J645" s="1366"/>
    </row>
    <row r="646" spans="1:10" s="656" customFormat="1">
      <c r="A646" s="820"/>
      <c r="B646" s="821" t="s">
        <v>972</v>
      </c>
      <c r="C646" s="822"/>
      <c r="D646" s="822"/>
      <c r="E646" s="823"/>
      <c r="F646" s="1352">
        <f>SUM(F612:F639)</f>
        <v>1717868.85</v>
      </c>
      <c r="G646" s="824"/>
      <c r="H646" s="824"/>
      <c r="I646" s="824"/>
      <c r="J646" s="824"/>
    </row>
    <row r="647" spans="1:10" s="656" customFormat="1">
      <c r="A647" s="813"/>
      <c r="B647" s="816"/>
      <c r="C647" s="810"/>
      <c r="D647" s="810"/>
      <c r="E647" s="811"/>
      <c r="F647" s="1353"/>
      <c r="G647" s="812"/>
      <c r="H647" s="812"/>
      <c r="I647" s="812"/>
      <c r="J647" s="812"/>
    </row>
    <row r="648" spans="1:10" s="1256" customFormat="1">
      <c r="A648" s="1249" t="s">
        <v>975</v>
      </c>
      <c r="B648" s="1250" t="s">
        <v>1212</v>
      </c>
      <c r="C648" s="1251"/>
      <c r="D648" s="1252"/>
      <c r="E648" s="1253"/>
      <c r="F648" s="1254"/>
      <c r="G648" s="1266"/>
      <c r="H648" s="1255"/>
      <c r="I648" s="1255"/>
    </row>
    <row r="649" spans="1:10" s="1256" customFormat="1">
      <c r="A649" s="1257"/>
      <c r="B649" s="1258"/>
      <c r="C649" s="1251"/>
      <c r="D649" s="1252"/>
      <c r="E649" s="1253"/>
      <c r="F649" s="1254"/>
      <c r="G649" s="1266"/>
      <c r="H649" s="1255"/>
      <c r="I649" s="1255"/>
    </row>
    <row r="650" spans="1:10" s="655" customFormat="1">
      <c r="A650" s="1421">
        <v>1</v>
      </c>
      <c r="B650" s="1422" t="s">
        <v>1251</v>
      </c>
      <c r="C650" s="1416"/>
      <c r="D650" s="1417"/>
      <c r="E650" s="1418"/>
      <c r="F650" s="1417"/>
      <c r="G650" s="1419"/>
      <c r="H650" s="1363"/>
      <c r="I650" s="1364"/>
    </row>
    <row r="651" spans="1:10" s="1256" customFormat="1">
      <c r="A651" s="1423">
        <v>1.1000000000000001</v>
      </c>
      <c r="B651" s="1424" t="s">
        <v>37</v>
      </c>
      <c r="C651" s="1425">
        <v>1</v>
      </c>
      <c r="D651" s="1426" t="s">
        <v>1100</v>
      </c>
      <c r="E651" s="1425">
        <v>3500</v>
      </c>
      <c r="F651" s="1427">
        <f t="shared" ref="F651:F680" si="15">ROUND((C651*E651),2)</f>
        <v>3500</v>
      </c>
      <c r="G651" s="1419"/>
      <c r="H651" s="1255"/>
      <c r="I651" s="1255"/>
    </row>
    <row r="652" spans="1:10" s="1256" customFormat="1">
      <c r="A652" s="1428"/>
      <c r="B652" s="1424"/>
      <c r="C652" s="1425"/>
      <c r="D652" s="1426"/>
      <c r="E652" s="1425"/>
      <c r="F652" s="1427"/>
      <c r="G652" s="1419"/>
      <c r="H652" s="1255"/>
      <c r="I652" s="1255"/>
    </row>
    <row r="653" spans="1:10" s="1256" customFormat="1">
      <c r="A653" s="1421">
        <v>2</v>
      </c>
      <c r="B653" s="1422" t="s">
        <v>38</v>
      </c>
      <c r="C653" s="1425"/>
      <c r="D653" s="1426"/>
      <c r="E653" s="1425"/>
      <c r="F653" s="1427"/>
      <c r="G653" s="1419"/>
      <c r="H653" s="1255"/>
      <c r="I653" s="1255"/>
    </row>
    <row r="654" spans="1:10" s="1256" customFormat="1">
      <c r="A654" s="1429">
        <v>2.1</v>
      </c>
      <c r="B654" s="1430" t="s">
        <v>1252</v>
      </c>
      <c r="C654" s="1431">
        <v>167.91</v>
      </c>
      <c r="D654" s="1432" t="s">
        <v>2</v>
      </c>
      <c r="E654" s="1431">
        <v>154.5</v>
      </c>
      <c r="F654" s="1433">
        <f t="shared" si="15"/>
        <v>25942.1</v>
      </c>
      <c r="G654" s="1419"/>
      <c r="H654" s="1255"/>
      <c r="I654" s="1255"/>
    </row>
    <row r="655" spans="1:10" s="1256" customFormat="1" ht="25.5">
      <c r="A655" s="1429">
        <v>2.2000000000000002</v>
      </c>
      <c r="B655" s="1430" t="s">
        <v>1253</v>
      </c>
      <c r="C655" s="1431">
        <v>24.77</v>
      </c>
      <c r="D655" s="1432" t="s">
        <v>2</v>
      </c>
      <c r="E655" s="1431">
        <v>183.68</v>
      </c>
      <c r="F655" s="1433">
        <f t="shared" si="15"/>
        <v>4549.75</v>
      </c>
      <c r="G655" s="1434"/>
      <c r="H655" s="1265"/>
      <c r="I655" s="1255"/>
    </row>
    <row r="656" spans="1:10" s="1256" customFormat="1">
      <c r="A656" s="1423">
        <v>2.2999999999999998</v>
      </c>
      <c r="B656" s="1424" t="s">
        <v>1254</v>
      </c>
      <c r="C656" s="1425">
        <v>178.92</v>
      </c>
      <c r="D656" s="1426" t="s">
        <v>2</v>
      </c>
      <c r="E656" s="1425">
        <v>165</v>
      </c>
      <c r="F656" s="1427">
        <f t="shared" si="15"/>
        <v>29521.8</v>
      </c>
      <c r="G656" s="1419"/>
      <c r="H656" s="1265"/>
      <c r="I656" s="1265"/>
    </row>
    <row r="657" spans="1:9" s="1256" customFormat="1">
      <c r="A657" s="1435"/>
      <c r="B657" s="1436"/>
      <c r="C657" s="1437">
        <v>0</v>
      </c>
      <c r="D657" s="1438"/>
      <c r="E657" s="1437"/>
      <c r="F657" s="1439">
        <f t="shared" si="15"/>
        <v>0</v>
      </c>
      <c r="G657" s="1419"/>
      <c r="H657" s="1265"/>
      <c r="I657" s="1255"/>
    </row>
    <row r="658" spans="1:9" s="1256" customFormat="1">
      <c r="A658" s="1421">
        <v>3</v>
      </c>
      <c r="B658" s="1422" t="s">
        <v>1255</v>
      </c>
      <c r="C658" s="1425">
        <v>0</v>
      </c>
      <c r="D658" s="1426"/>
      <c r="E658" s="1425"/>
      <c r="F658" s="1427">
        <f t="shared" si="15"/>
        <v>0</v>
      </c>
      <c r="G658" s="1419"/>
      <c r="H658" s="1265"/>
    </row>
    <row r="659" spans="1:9" s="1256" customFormat="1">
      <c r="A659" s="1429">
        <v>3.1</v>
      </c>
      <c r="B659" s="1430" t="s">
        <v>1256</v>
      </c>
      <c r="C659" s="1431">
        <v>6.53</v>
      </c>
      <c r="D659" s="1432" t="s">
        <v>2</v>
      </c>
      <c r="E659" s="1431">
        <v>10345.34</v>
      </c>
      <c r="F659" s="1433">
        <f t="shared" si="15"/>
        <v>67555.070000000007</v>
      </c>
      <c r="G659" s="1440"/>
      <c r="H659" s="1265"/>
      <c r="I659" s="1255"/>
    </row>
    <row r="660" spans="1:9" s="1256" customFormat="1">
      <c r="A660" s="1429">
        <v>3.2</v>
      </c>
      <c r="B660" s="1441" t="s">
        <v>1257</v>
      </c>
      <c r="C660" s="1431">
        <v>0.64</v>
      </c>
      <c r="D660" s="1432" t="s">
        <v>2</v>
      </c>
      <c r="E660" s="1431">
        <v>12624.54</v>
      </c>
      <c r="F660" s="1433">
        <f t="shared" si="15"/>
        <v>8079.71</v>
      </c>
      <c r="G660" s="1440"/>
      <c r="H660" s="1265"/>
      <c r="I660" s="1255"/>
    </row>
    <row r="661" spans="1:9" s="1256" customFormat="1">
      <c r="A661" s="1423">
        <v>3.3</v>
      </c>
      <c r="B661" s="1424" t="s">
        <v>1258</v>
      </c>
      <c r="C661" s="1425">
        <v>4.9400000000000004</v>
      </c>
      <c r="D661" s="1426" t="s">
        <v>2</v>
      </c>
      <c r="E661" s="1425">
        <v>12429.04</v>
      </c>
      <c r="F661" s="1427">
        <f t="shared" si="15"/>
        <v>61399.46</v>
      </c>
      <c r="G661" s="1440"/>
      <c r="H661" s="1265"/>
      <c r="I661" s="1255"/>
    </row>
    <row r="662" spans="1:9" s="1256" customFormat="1">
      <c r="A662" s="1423">
        <v>3.4</v>
      </c>
      <c r="B662" s="1424" t="s">
        <v>1259</v>
      </c>
      <c r="C662" s="1425">
        <v>14.38</v>
      </c>
      <c r="D662" s="1426" t="s">
        <v>2</v>
      </c>
      <c r="E662" s="1425">
        <v>20688.89</v>
      </c>
      <c r="F662" s="1427">
        <f t="shared" si="15"/>
        <v>297506.24</v>
      </c>
      <c r="G662" s="1440"/>
      <c r="H662" s="1265"/>
      <c r="I662" s="1255"/>
    </row>
    <row r="663" spans="1:9" s="1256" customFormat="1">
      <c r="A663" s="1423">
        <v>3.5</v>
      </c>
      <c r="B663" s="1424" t="s">
        <v>1260</v>
      </c>
      <c r="C663" s="1425">
        <v>1.1299999999999999</v>
      </c>
      <c r="D663" s="1426" t="s">
        <v>2</v>
      </c>
      <c r="E663" s="1425">
        <v>30616.99</v>
      </c>
      <c r="F663" s="1427">
        <f t="shared" si="15"/>
        <v>34597.199999999997</v>
      </c>
      <c r="G663" s="1440"/>
      <c r="H663" s="1265"/>
      <c r="I663" s="1255"/>
    </row>
    <row r="664" spans="1:9" s="1256" customFormat="1">
      <c r="A664" s="1423">
        <v>3.6</v>
      </c>
      <c r="B664" s="1424" t="s">
        <v>1261</v>
      </c>
      <c r="C664" s="1425">
        <v>0.81</v>
      </c>
      <c r="D664" s="1426" t="s">
        <v>2</v>
      </c>
      <c r="E664" s="1425">
        <v>24819.09</v>
      </c>
      <c r="F664" s="1427">
        <f t="shared" si="15"/>
        <v>20103.46</v>
      </c>
      <c r="G664" s="1440"/>
      <c r="H664" s="1265"/>
      <c r="I664" s="1255"/>
    </row>
    <row r="665" spans="1:9" s="1256" customFormat="1">
      <c r="A665" s="1423">
        <v>3.7</v>
      </c>
      <c r="B665" s="1424" t="s">
        <v>1262</v>
      </c>
      <c r="C665" s="1425">
        <v>5.86</v>
      </c>
      <c r="D665" s="1426" t="s">
        <v>2</v>
      </c>
      <c r="E665" s="1425">
        <v>14610.39</v>
      </c>
      <c r="F665" s="1427">
        <f t="shared" si="15"/>
        <v>85616.89</v>
      </c>
      <c r="G665" s="1440"/>
      <c r="H665" s="1255"/>
      <c r="I665" s="1255"/>
    </row>
    <row r="666" spans="1:9" s="1256" customFormat="1">
      <c r="A666" s="1423">
        <v>3.8</v>
      </c>
      <c r="B666" s="1424" t="s">
        <v>1263</v>
      </c>
      <c r="C666" s="1462">
        <v>3.82</v>
      </c>
      <c r="D666" s="1426" t="s">
        <v>2</v>
      </c>
      <c r="E666" s="1425">
        <v>5321.72</v>
      </c>
      <c r="F666" s="1427">
        <f t="shared" si="15"/>
        <v>20328.97</v>
      </c>
      <c r="G666" s="1440"/>
      <c r="H666" s="1255"/>
      <c r="I666" s="1255"/>
    </row>
    <row r="667" spans="1:9" s="1256" customFormat="1">
      <c r="A667" s="1442"/>
      <c r="B667" s="1443"/>
      <c r="C667" s="1425"/>
      <c r="D667" s="1426"/>
      <c r="E667" s="1425"/>
      <c r="F667" s="1427"/>
      <c r="G667" s="1419"/>
      <c r="H667" s="1265"/>
      <c r="I667" s="1265"/>
    </row>
    <row r="668" spans="1:9" s="1256" customFormat="1">
      <c r="A668" s="1421">
        <v>4</v>
      </c>
      <c r="B668" s="1422" t="s">
        <v>787</v>
      </c>
      <c r="C668" s="1425"/>
      <c r="D668" s="1426"/>
      <c r="E668" s="1425"/>
      <c r="F668" s="1427"/>
      <c r="G668" s="1419"/>
      <c r="H668" s="1255"/>
      <c r="I668" s="1255"/>
    </row>
    <row r="669" spans="1:9" s="1256" customFormat="1">
      <c r="A669" s="1423">
        <v>4.0999999999999996</v>
      </c>
      <c r="B669" s="1424" t="s">
        <v>165</v>
      </c>
      <c r="C669" s="1425">
        <v>61.1</v>
      </c>
      <c r="D669" s="1426" t="s">
        <v>11</v>
      </c>
      <c r="E669" s="1425">
        <v>279.08</v>
      </c>
      <c r="F669" s="1427">
        <f t="shared" si="15"/>
        <v>17051.79</v>
      </c>
      <c r="G669" s="1440"/>
      <c r="H669" s="1255"/>
      <c r="I669" s="1255"/>
    </row>
    <row r="670" spans="1:9" s="1256" customFormat="1">
      <c r="A670" s="1423">
        <v>4.2</v>
      </c>
      <c r="B670" s="1424" t="s">
        <v>152</v>
      </c>
      <c r="C670" s="1425">
        <v>66.89</v>
      </c>
      <c r="D670" s="1426" t="s">
        <v>11</v>
      </c>
      <c r="E670" s="1425">
        <v>321.97000000000003</v>
      </c>
      <c r="F670" s="1427">
        <f t="shared" si="15"/>
        <v>21536.57</v>
      </c>
      <c r="G670" s="1440"/>
      <c r="H670" s="1255"/>
      <c r="I670" s="1255"/>
    </row>
    <row r="671" spans="1:9" s="1256" customFormat="1">
      <c r="A671" s="1423">
        <v>4.3</v>
      </c>
      <c r="B671" s="1424" t="s">
        <v>889</v>
      </c>
      <c r="C671" s="1425">
        <v>39.82</v>
      </c>
      <c r="D671" s="1426" t="s">
        <v>11</v>
      </c>
      <c r="E671" s="1425">
        <v>469.61</v>
      </c>
      <c r="F671" s="1427">
        <f t="shared" si="15"/>
        <v>18699.87</v>
      </c>
      <c r="G671" s="1440"/>
      <c r="H671" s="1255"/>
      <c r="I671" s="1255"/>
    </row>
    <row r="672" spans="1:9" s="1256" customFormat="1">
      <c r="A672" s="1423">
        <v>4.4000000000000004</v>
      </c>
      <c r="B672" s="1424" t="s">
        <v>1264</v>
      </c>
      <c r="C672" s="1425">
        <v>33.76</v>
      </c>
      <c r="D672" s="1426" t="s">
        <v>11</v>
      </c>
      <c r="E672" s="1425">
        <v>509.09</v>
      </c>
      <c r="F672" s="1427">
        <f t="shared" si="15"/>
        <v>17186.88</v>
      </c>
      <c r="G672" s="1440"/>
      <c r="I672" s="1255"/>
    </row>
    <row r="673" spans="1:9" s="1256" customFormat="1">
      <c r="A673" s="1423">
        <v>4.5</v>
      </c>
      <c r="B673" s="1424" t="s">
        <v>177</v>
      </c>
      <c r="C673" s="1425">
        <v>42.24</v>
      </c>
      <c r="D673" s="1426" t="s">
        <v>1</v>
      </c>
      <c r="E673" s="1425">
        <v>82.24</v>
      </c>
      <c r="F673" s="1427">
        <f t="shared" si="15"/>
        <v>3473.82</v>
      </c>
      <c r="G673" s="1440"/>
      <c r="I673" s="1255"/>
    </row>
    <row r="674" spans="1:9" s="1256" customFormat="1">
      <c r="A674" s="1423">
        <v>4.5999999999999996</v>
      </c>
      <c r="B674" s="1424" t="s">
        <v>1265</v>
      </c>
      <c r="C674" s="1425">
        <v>106.71</v>
      </c>
      <c r="D674" s="1426" t="s">
        <v>11</v>
      </c>
      <c r="E674" s="1425">
        <v>55</v>
      </c>
      <c r="F674" s="1427">
        <f t="shared" si="15"/>
        <v>5869.05</v>
      </c>
      <c r="G674" s="1440"/>
      <c r="I674" s="1255"/>
    </row>
    <row r="675" spans="1:9" s="1256" customFormat="1">
      <c r="A675" s="1423">
        <v>4.7</v>
      </c>
      <c r="B675" s="1424" t="s">
        <v>1266</v>
      </c>
      <c r="C675" s="1425">
        <v>106.71</v>
      </c>
      <c r="D675" s="1426" t="s">
        <v>11</v>
      </c>
      <c r="E675" s="1425">
        <v>123.2</v>
      </c>
      <c r="F675" s="1427">
        <f t="shared" si="15"/>
        <v>13146.67</v>
      </c>
      <c r="G675" s="1440"/>
      <c r="H675" s="1255"/>
      <c r="I675" s="1255"/>
    </row>
    <row r="676" spans="1:9" s="1256" customFormat="1">
      <c r="A676" s="1442"/>
      <c r="B676" s="1424"/>
      <c r="C676" s="1425"/>
      <c r="D676" s="1426"/>
      <c r="E676" s="1425"/>
      <c r="F676" s="1427">
        <f t="shared" si="15"/>
        <v>0</v>
      </c>
      <c r="G676" s="1419"/>
      <c r="H676" s="1255"/>
      <c r="I676" s="1255"/>
    </row>
    <row r="677" spans="1:9" s="1256" customFormat="1">
      <c r="A677" s="1421">
        <v>5</v>
      </c>
      <c r="B677" s="1422" t="s">
        <v>1267</v>
      </c>
      <c r="C677" s="1425"/>
      <c r="D677" s="1426"/>
      <c r="E677" s="1425"/>
      <c r="F677" s="1427">
        <f t="shared" si="15"/>
        <v>0</v>
      </c>
      <c r="G677" s="1419"/>
      <c r="H677" s="1255"/>
      <c r="I677" s="1255"/>
    </row>
    <row r="678" spans="1:9" s="1256" customFormat="1">
      <c r="A678" s="1423">
        <v>5.0999999999999996</v>
      </c>
      <c r="B678" s="1424" t="s">
        <v>1268</v>
      </c>
      <c r="C678" s="1425">
        <v>20</v>
      </c>
      <c r="D678" s="1426" t="s">
        <v>118</v>
      </c>
      <c r="E678" s="1425">
        <v>250</v>
      </c>
      <c r="F678" s="1427">
        <f t="shared" si="15"/>
        <v>5000</v>
      </c>
      <c r="G678" s="1419"/>
      <c r="H678" s="1255"/>
      <c r="I678" s="1255"/>
    </row>
    <row r="679" spans="1:9" s="1256" customFormat="1">
      <c r="A679" s="1423">
        <v>5.2</v>
      </c>
      <c r="B679" s="1424" t="s">
        <v>1269</v>
      </c>
      <c r="C679" s="1425">
        <v>10</v>
      </c>
      <c r="D679" s="1426" t="s">
        <v>118</v>
      </c>
      <c r="E679" s="1425">
        <v>250</v>
      </c>
      <c r="F679" s="1427">
        <f t="shared" si="15"/>
        <v>2500</v>
      </c>
      <c r="G679" s="1419"/>
      <c r="H679" s="1255"/>
      <c r="I679" s="1255"/>
    </row>
    <row r="680" spans="1:9" s="1256" customFormat="1">
      <c r="A680" s="1423">
        <v>5.3</v>
      </c>
      <c r="B680" s="1424" t="s">
        <v>273</v>
      </c>
      <c r="C680" s="1425">
        <v>34.24</v>
      </c>
      <c r="D680" s="1426" t="s">
        <v>2</v>
      </c>
      <c r="E680" s="1425">
        <v>95</v>
      </c>
      <c r="F680" s="1427">
        <f t="shared" si="15"/>
        <v>3252.8</v>
      </c>
      <c r="G680" s="1419"/>
      <c r="H680" s="1255"/>
      <c r="I680" s="1255"/>
    </row>
    <row r="681" spans="1:9" s="1256" customFormat="1">
      <c r="A681" s="1423"/>
      <c r="B681" s="1424"/>
      <c r="C681" s="1425"/>
      <c r="D681" s="1426"/>
      <c r="E681" s="1425"/>
      <c r="F681" s="1427"/>
      <c r="G681" s="1419"/>
      <c r="H681" s="1255"/>
      <c r="I681" s="1255"/>
    </row>
    <row r="682" spans="1:9" s="1256" customFormat="1">
      <c r="A682" s="1444">
        <v>6</v>
      </c>
      <c r="B682" s="1424" t="s">
        <v>1270</v>
      </c>
      <c r="C682" s="1425">
        <v>34.24</v>
      </c>
      <c r="D682" s="1426" t="s">
        <v>2</v>
      </c>
      <c r="E682" s="1425">
        <v>55</v>
      </c>
      <c r="F682" s="1427">
        <f>ROUND((C682*E682),2)</f>
        <v>1883.2</v>
      </c>
      <c r="G682" s="1419"/>
      <c r="H682" s="1255"/>
      <c r="I682" s="1255"/>
    </row>
    <row r="683" spans="1:9" s="1256" customFormat="1" ht="25.5">
      <c r="A683" s="1445">
        <v>7</v>
      </c>
      <c r="B683" s="1441" t="s">
        <v>1271</v>
      </c>
      <c r="C683" s="1431">
        <v>98</v>
      </c>
      <c r="D683" s="1432" t="s">
        <v>1</v>
      </c>
      <c r="E683" s="1431">
        <v>714.5</v>
      </c>
      <c r="F683" s="1446">
        <f>ROUND((C683*E683),2)</f>
        <v>70021</v>
      </c>
      <c r="G683" s="1419"/>
      <c r="H683" s="1255"/>
      <c r="I683" s="1255"/>
    </row>
    <row r="684" spans="1:9" s="1256" customFormat="1">
      <c r="A684" s="1442"/>
      <c r="B684" s="1424"/>
      <c r="C684" s="1425"/>
      <c r="D684" s="1426"/>
      <c r="E684" s="1425"/>
      <c r="F684" s="1427">
        <f>ROUND((C684*E684),2)</f>
        <v>0</v>
      </c>
      <c r="G684" s="1419"/>
      <c r="H684" s="1255"/>
      <c r="I684" s="44"/>
    </row>
    <row r="685" spans="1:9" s="1256" customFormat="1">
      <c r="A685" s="1447">
        <v>8</v>
      </c>
      <c r="B685" s="1448" t="s">
        <v>1272</v>
      </c>
      <c r="C685" s="1425"/>
      <c r="D685" s="1426"/>
      <c r="E685" s="1425"/>
      <c r="F685" s="1427">
        <f>ROUND((C685*E685),2)</f>
        <v>0</v>
      </c>
      <c r="G685" s="1419"/>
      <c r="H685" s="1255"/>
      <c r="I685" s="1255"/>
    </row>
    <row r="686" spans="1:9" s="1256" customFormat="1" ht="25.5">
      <c r="A686" s="1449">
        <v>8.1</v>
      </c>
      <c r="B686" s="1441" t="s">
        <v>1273</v>
      </c>
      <c r="C686" s="1431">
        <v>6.1</v>
      </c>
      <c r="D686" s="1432" t="s">
        <v>13</v>
      </c>
      <c r="E686" s="1431">
        <v>4565.1099999999997</v>
      </c>
      <c r="F686" s="1431">
        <f>C686*E686</f>
        <v>27847.17</v>
      </c>
      <c r="G686" s="1419"/>
      <c r="H686" s="1255"/>
      <c r="I686" s="1255"/>
    </row>
    <row r="687" spans="1:9" s="1256" customFormat="1" ht="25.5">
      <c r="A687" s="1449">
        <v>8.1999999999999993</v>
      </c>
      <c r="B687" s="1441" t="s">
        <v>1274</v>
      </c>
      <c r="C687" s="1431">
        <v>6.1</v>
      </c>
      <c r="D687" s="1432" t="s">
        <v>13</v>
      </c>
      <c r="E687" s="1431">
        <v>3016.23</v>
      </c>
      <c r="F687" s="1431">
        <f>C687*E687</f>
        <v>18399</v>
      </c>
      <c r="G687" s="1419"/>
      <c r="H687" s="44"/>
      <c r="I687" s="1255"/>
    </row>
    <row r="688" spans="1:9" s="1256" customFormat="1">
      <c r="A688" s="1450">
        <v>8.3000000000000007</v>
      </c>
      <c r="B688" s="1430" t="s">
        <v>1275</v>
      </c>
      <c r="C688" s="1431">
        <v>1</v>
      </c>
      <c r="D688" s="1432" t="s">
        <v>3</v>
      </c>
      <c r="E688" s="1431">
        <v>4108.6000000000004</v>
      </c>
      <c r="F688" s="1433">
        <f t="shared" ref="F688:F703" si="16">ROUND((C688*E688),2)</f>
        <v>4108.6000000000004</v>
      </c>
      <c r="G688" s="1419"/>
      <c r="H688" s="1255"/>
      <c r="I688" s="1255"/>
    </row>
    <row r="689" spans="1:9" s="1256" customFormat="1">
      <c r="A689" s="1450">
        <v>8.4</v>
      </c>
      <c r="B689" s="1430" t="s">
        <v>1276</v>
      </c>
      <c r="C689" s="1431">
        <v>1</v>
      </c>
      <c r="D689" s="1432" t="s">
        <v>3</v>
      </c>
      <c r="E689" s="1431">
        <v>2714.61</v>
      </c>
      <c r="F689" s="1433">
        <f t="shared" si="16"/>
        <v>2714.61</v>
      </c>
      <c r="G689" s="1419"/>
      <c r="H689" s="1255"/>
      <c r="I689" s="1265"/>
    </row>
    <row r="690" spans="1:9" s="1256" customFormat="1">
      <c r="A690" s="1423">
        <v>8.5</v>
      </c>
      <c r="B690" s="1424" t="s">
        <v>1277</v>
      </c>
      <c r="C690" s="1451">
        <v>3</v>
      </c>
      <c r="D690" s="1426" t="s">
        <v>3</v>
      </c>
      <c r="E690" s="1425">
        <v>2948.22</v>
      </c>
      <c r="F690" s="1427">
        <f t="shared" si="16"/>
        <v>8844.66</v>
      </c>
      <c r="G690" s="1440"/>
      <c r="H690" s="1255"/>
      <c r="I690" s="1255"/>
    </row>
    <row r="691" spans="1:9" s="1256" customFormat="1">
      <c r="A691" s="1423">
        <v>8.6</v>
      </c>
      <c r="B691" s="1424" t="s">
        <v>1278</v>
      </c>
      <c r="C691" s="1451">
        <v>3</v>
      </c>
      <c r="D691" s="1426" t="s">
        <v>3</v>
      </c>
      <c r="E691" s="1425">
        <v>2390.48</v>
      </c>
      <c r="F691" s="1427">
        <f t="shared" si="16"/>
        <v>7171.44</v>
      </c>
      <c r="G691" s="1440"/>
      <c r="H691" s="1255"/>
      <c r="I691" s="1255"/>
    </row>
    <row r="692" spans="1:9" s="1256" customFormat="1">
      <c r="A692" s="1423">
        <v>8.6999999999999993</v>
      </c>
      <c r="B692" s="1424" t="s">
        <v>1279</v>
      </c>
      <c r="C692" s="1451">
        <v>1</v>
      </c>
      <c r="D692" s="1426" t="s">
        <v>3</v>
      </c>
      <c r="E692" s="1425">
        <v>5500</v>
      </c>
      <c r="F692" s="1427">
        <f t="shared" si="16"/>
        <v>5500</v>
      </c>
      <c r="G692" s="1452"/>
      <c r="H692" s="1255"/>
      <c r="I692" s="1255"/>
    </row>
    <row r="693" spans="1:9" s="1256" customFormat="1">
      <c r="A693" s="1423">
        <v>8.8000000000000007</v>
      </c>
      <c r="B693" s="1453" t="s">
        <v>1280</v>
      </c>
      <c r="C693" s="1451">
        <v>1</v>
      </c>
      <c r="D693" s="1426" t="s">
        <v>3</v>
      </c>
      <c r="E693" s="1425">
        <v>6000</v>
      </c>
      <c r="F693" s="1427">
        <f t="shared" si="16"/>
        <v>6000</v>
      </c>
      <c r="G693" s="1419"/>
      <c r="H693" s="1255"/>
      <c r="I693" s="1255"/>
    </row>
    <row r="694" spans="1:9" s="1256" customFormat="1">
      <c r="A694" s="1423">
        <v>8.9</v>
      </c>
      <c r="B694" s="1424" t="s">
        <v>1281</v>
      </c>
      <c r="C694" s="1451">
        <v>1</v>
      </c>
      <c r="D694" s="1426" t="s">
        <v>3</v>
      </c>
      <c r="E694" s="1425">
        <v>6658.74</v>
      </c>
      <c r="F694" s="1427">
        <f t="shared" si="16"/>
        <v>6658.74</v>
      </c>
      <c r="G694" s="1419"/>
      <c r="H694" s="1255"/>
      <c r="I694" s="1255"/>
    </row>
    <row r="695" spans="1:9" s="1256" customFormat="1">
      <c r="A695" s="1442">
        <v>8.1</v>
      </c>
      <c r="B695" s="1424" t="s">
        <v>1282</v>
      </c>
      <c r="C695" s="1451">
        <v>1</v>
      </c>
      <c r="D695" s="1426" t="s">
        <v>3</v>
      </c>
      <c r="E695" s="1425">
        <v>4500</v>
      </c>
      <c r="F695" s="1427">
        <f t="shared" si="16"/>
        <v>4500</v>
      </c>
      <c r="G695" s="1419"/>
      <c r="H695" s="1255"/>
      <c r="I695" s="1255"/>
    </row>
    <row r="696" spans="1:9" s="1256" customFormat="1">
      <c r="A696" s="1428"/>
      <c r="B696" s="1424"/>
      <c r="C696" s="1451"/>
      <c r="D696" s="1426"/>
      <c r="E696" s="1425"/>
      <c r="F696" s="1427">
        <f t="shared" si="16"/>
        <v>0</v>
      </c>
      <c r="G696" s="1419"/>
      <c r="H696" s="1255"/>
      <c r="I696" s="1255"/>
    </row>
    <row r="697" spans="1:9" s="1256" customFormat="1">
      <c r="A697" s="1454">
        <v>8.11</v>
      </c>
      <c r="B697" s="1448" t="s">
        <v>1283</v>
      </c>
      <c r="C697" s="1455"/>
      <c r="D697" s="1456"/>
      <c r="E697" s="1457"/>
      <c r="F697" s="1427">
        <f t="shared" si="16"/>
        <v>0</v>
      </c>
      <c r="G697" s="1419"/>
      <c r="H697" s="1255"/>
      <c r="I697" s="1255"/>
    </row>
    <row r="698" spans="1:9" s="1256" customFormat="1">
      <c r="A698" s="1458" t="s">
        <v>1284</v>
      </c>
      <c r="B698" s="1424" t="s">
        <v>1285</v>
      </c>
      <c r="C698" s="1451">
        <v>9.76</v>
      </c>
      <c r="D698" s="1426" t="s">
        <v>2</v>
      </c>
      <c r="E698" s="1425">
        <v>334.5</v>
      </c>
      <c r="F698" s="1427">
        <f t="shared" si="16"/>
        <v>3264.72</v>
      </c>
      <c r="G698" s="1452"/>
      <c r="H698" s="1255"/>
      <c r="I698" s="1255"/>
    </row>
    <row r="699" spans="1:9" s="1256" customFormat="1" ht="25.5">
      <c r="A699" s="1429" t="s">
        <v>1286</v>
      </c>
      <c r="B699" s="1430" t="s">
        <v>1287</v>
      </c>
      <c r="C699" s="1459">
        <v>9.06</v>
      </c>
      <c r="D699" s="1432" t="s">
        <v>2</v>
      </c>
      <c r="E699" s="1431">
        <v>183.68</v>
      </c>
      <c r="F699" s="1433">
        <f t="shared" si="16"/>
        <v>1664.14</v>
      </c>
      <c r="G699" s="1452"/>
      <c r="H699" s="1255"/>
      <c r="I699" s="1255"/>
    </row>
    <row r="700" spans="1:9" s="1256" customFormat="1">
      <c r="A700" s="1458" t="s">
        <v>1288</v>
      </c>
      <c r="B700" s="1424" t="s">
        <v>1289</v>
      </c>
      <c r="C700" s="1451">
        <v>0.83</v>
      </c>
      <c r="D700" s="1426" t="s">
        <v>2</v>
      </c>
      <c r="E700" s="1425">
        <v>165</v>
      </c>
      <c r="F700" s="1427">
        <f t="shared" si="16"/>
        <v>136.94999999999999</v>
      </c>
      <c r="G700" s="1452"/>
      <c r="H700" s="1255"/>
      <c r="I700" s="1255"/>
    </row>
    <row r="701" spans="1:9" s="1256" customFormat="1">
      <c r="A701" s="1435"/>
      <c r="B701" s="1460"/>
      <c r="C701" s="1461"/>
      <c r="D701" s="1438"/>
      <c r="E701" s="1437"/>
      <c r="F701" s="1439">
        <f t="shared" si="16"/>
        <v>0</v>
      </c>
      <c r="G701" s="1419"/>
      <c r="H701" s="1255"/>
      <c r="I701" s="1255"/>
    </row>
    <row r="702" spans="1:9" s="1379" customFormat="1">
      <c r="A702" s="1444">
        <v>9</v>
      </c>
      <c r="B702" s="1424" t="s">
        <v>766</v>
      </c>
      <c r="C702" s="1451">
        <v>24</v>
      </c>
      <c r="D702" s="1426" t="s">
        <v>11</v>
      </c>
      <c r="E702" s="1425">
        <v>764.79</v>
      </c>
      <c r="F702" s="1427">
        <f t="shared" si="16"/>
        <v>18354.96</v>
      </c>
      <c r="G702" s="1462"/>
    </row>
    <row r="703" spans="1:9" s="1379" customFormat="1">
      <c r="A703" s="1442"/>
      <c r="B703" s="1424"/>
      <c r="C703" s="1451"/>
      <c r="D703" s="1426"/>
      <c r="E703" s="1425"/>
      <c r="F703" s="1427">
        <f t="shared" si="16"/>
        <v>0</v>
      </c>
      <c r="G703" s="1419"/>
    </row>
    <row r="704" spans="1:9" s="1380" customFormat="1">
      <c r="A704" s="1447">
        <v>10</v>
      </c>
      <c r="B704" s="1448" t="s">
        <v>1290</v>
      </c>
      <c r="C704" s="1451"/>
      <c r="D704" s="1426"/>
      <c r="E704" s="1463"/>
      <c r="F704" s="1427"/>
      <c r="G704" s="1419"/>
    </row>
    <row r="705" spans="1:9" s="1256" customFormat="1" ht="25.5">
      <c r="A705" s="1464">
        <v>10.1</v>
      </c>
      <c r="B705" s="1465" t="s">
        <v>1291</v>
      </c>
      <c r="C705" s="1459">
        <v>1</v>
      </c>
      <c r="D705" s="1432" t="s">
        <v>3</v>
      </c>
      <c r="E705" s="1431">
        <v>6500</v>
      </c>
      <c r="F705" s="1466">
        <f>ROUND((C705*E705),2)</f>
        <v>6500</v>
      </c>
      <c r="G705" s="1419"/>
      <c r="H705" s="1255"/>
      <c r="I705" s="1255"/>
    </row>
    <row r="706" spans="1:9" s="1256" customFormat="1">
      <c r="A706" s="1442"/>
      <c r="B706" s="1467"/>
      <c r="C706" s="1451"/>
      <c r="D706" s="1426"/>
      <c r="E706" s="1463"/>
      <c r="F706" s="1427"/>
      <c r="G706" s="1419"/>
      <c r="H706" s="1255"/>
      <c r="I706" s="1255"/>
    </row>
    <row r="707" spans="1:9" s="1256" customFormat="1">
      <c r="A707" s="1468">
        <v>11</v>
      </c>
      <c r="B707" s="1469" t="s">
        <v>1292</v>
      </c>
      <c r="C707" s="1451">
        <v>1</v>
      </c>
      <c r="D707" s="1426" t="s">
        <v>3</v>
      </c>
      <c r="E707" s="1425">
        <v>5100</v>
      </c>
      <c r="F707" s="1470">
        <f>ROUND((C707*E707),2)</f>
        <v>5100</v>
      </c>
      <c r="G707" s="1419"/>
      <c r="H707" s="1255"/>
      <c r="I707" s="1255"/>
    </row>
    <row r="708" spans="1:9" s="1256" customFormat="1">
      <c r="A708" s="1442"/>
      <c r="B708" s="1467"/>
      <c r="C708" s="1451"/>
      <c r="D708" s="1426"/>
      <c r="E708" s="1463"/>
      <c r="F708" s="1427"/>
      <c r="G708" s="1419"/>
      <c r="H708" s="1255"/>
      <c r="I708" s="1255"/>
    </row>
    <row r="709" spans="1:9" s="1256" customFormat="1">
      <c r="A709" s="1414" t="s">
        <v>774</v>
      </c>
      <c r="B709" s="1420" t="s">
        <v>1293</v>
      </c>
      <c r="C709" s="1451"/>
      <c r="D709" s="1426"/>
      <c r="E709" s="1463"/>
      <c r="F709" s="1427"/>
      <c r="G709" s="1419"/>
      <c r="H709" s="1255"/>
      <c r="I709" s="1255"/>
    </row>
    <row r="710" spans="1:9" s="1256" customFormat="1">
      <c r="A710" s="1414"/>
      <c r="B710" s="1420"/>
      <c r="C710" s="1451"/>
      <c r="D710" s="1426"/>
      <c r="E710" s="1463"/>
      <c r="F710" s="1427"/>
      <c r="G710" s="1419"/>
      <c r="H710" s="1255"/>
      <c r="I710" s="1255"/>
    </row>
    <row r="711" spans="1:9" s="1247" customFormat="1" ht="12.75" customHeight="1">
      <c r="A711" s="1421">
        <v>1</v>
      </c>
      <c r="B711" s="1422" t="s">
        <v>1251</v>
      </c>
      <c r="C711" s="1418"/>
      <c r="D711" s="1541"/>
      <c r="E711" s="1418"/>
      <c r="F711" s="1417"/>
      <c r="G711" s="1419"/>
    </row>
    <row r="712" spans="1:9" s="1380" customFormat="1">
      <c r="A712" s="1423">
        <v>1.1000000000000001</v>
      </c>
      <c r="B712" s="1424" t="s">
        <v>37</v>
      </c>
      <c r="C712" s="1425">
        <v>1</v>
      </c>
      <c r="D712" s="1426" t="s">
        <v>1100</v>
      </c>
      <c r="E712" s="1425">
        <v>1500</v>
      </c>
      <c r="F712" s="1427">
        <f>ROUND((C712*E712),2)</f>
        <v>1500</v>
      </c>
      <c r="G712" s="1419"/>
    </row>
    <row r="713" spans="1:9" s="1380" customFormat="1">
      <c r="A713" s="1442"/>
      <c r="B713" s="1471"/>
      <c r="C713" s="1451"/>
      <c r="D713" s="1426"/>
      <c r="E713" s="1463"/>
      <c r="F713" s="1427"/>
      <c r="G713" s="1419"/>
    </row>
    <row r="714" spans="1:9" s="1380" customFormat="1">
      <c r="A714" s="1447">
        <v>2</v>
      </c>
      <c r="B714" s="1448" t="s">
        <v>1294</v>
      </c>
      <c r="C714" s="1455"/>
      <c r="D714" s="1456"/>
      <c r="E714" s="1457"/>
      <c r="F714" s="1427">
        <f>ROUND((C714*E714),2)</f>
        <v>0</v>
      </c>
      <c r="G714" s="1419"/>
    </row>
    <row r="715" spans="1:9" s="1380" customFormat="1">
      <c r="A715" s="1458">
        <v>2.1</v>
      </c>
      <c r="B715" s="1424" t="s">
        <v>1295</v>
      </c>
      <c r="C715" s="1451">
        <v>26.46</v>
      </c>
      <c r="D715" s="1426" t="s">
        <v>1296</v>
      </c>
      <c r="E715" s="1425">
        <v>887.78</v>
      </c>
      <c r="F715" s="1427">
        <f>ROUND((C715*E715),2)</f>
        <v>23490.66</v>
      </c>
      <c r="G715" s="1472"/>
    </row>
    <row r="716" spans="1:9" s="1380" customFormat="1">
      <c r="A716" s="1442"/>
      <c r="B716" s="1471"/>
      <c r="C716" s="1451"/>
      <c r="D716" s="1426"/>
      <c r="E716" s="1463"/>
      <c r="F716" s="1427"/>
      <c r="G716" s="1473"/>
    </row>
    <row r="717" spans="1:9" s="1380" customFormat="1">
      <c r="A717" s="1421">
        <v>3</v>
      </c>
      <c r="B717" s="1422" t="s">
        <v>1255</v>
      </c>
      <c r="C717" s="1425">
        <v>0</v>
      </c>
      <c r="D717" s="1426"/>
      <c r="E717" s="1425"/>
      <c r="F717" s="1427">
        <f>ROUND((C717*E717),2)</f>
        <v>0</v>
      </c>
      <c r="G717" s="1473"/>
    </row>
    <row r="718" spans="1:9" s="1380" customFormat="1">
      <c r="A718" s="1423">
        <v>3.1</v>
      </c>
      <c r="B718" s="1424" t="s">
        <v>1297</v>
      </c>
      <c r="C718" s="1425">
        <v>0.33</v>
      </c>
      <c r="D718" s="1426" t="s">
        <v>2</v>
      </c>
      <c r="E718" s="1474">
        <v>25181.69</v>
      </c>
      <c r="F718" s="1427">
        <f>ROUND((C718*E718),2)</f>
        <v>8309.9599999999991</v>
      </c>
      <c r="G718" s="1475"/>
    </row>
    <row r="719" spans="1:9" s="1380" customFormat="1">
      <c r="A719" s="1423">
        <v>3.2</v>
      </c>
      <c r="B719" s="1424" t="s">
        <v>1298</v>
      </c>
      <c r="C719" s="1425">
        <v>1.97</v>
      </c>
      <c r="D719" s="1426" t="s">
        <v>2</v>
      </c>
      <c r="E719" s="1425">
        <v>14610.39</v>
      </c>
      <c r="F719" s="1427">
        <f>ROUND((C719*E719),2)</f>
        <v>28782.47</v>
      </c>
      <c r="G719" s="1475"/>
    </row>
    <row r="720" spans="1:9" s="1380" customFormat="1">
      <c r="A720" s="1442"/>
      <c r="B720" s="1471"/>
      <c r="C720" s="1451"/>
      <c r="D720" s="1426"/>
      <c r="E720" s="1463"/>
      <c r="F720" s="1427"/>
      <c r="G720" s="1473"/>
    </row>
    <row r="721" spans="1:10" s="1380" customFormat="1">
      <c r="A721" s="1421">
        <v>4</v>
      </c>
      <c r="B721" s="1422" t="s">
        <v>787</v>
      </c>
      <c r="C721" s="1425"/>
      <c r="D721" s="1426"/>
      <c r="E721" s="1425"/>
      <c r="F721" s="1427">
        <f t="shared" ref="F721:F727" si="17">ROUND((C721*E721),2)</f>
        <v>0</v>
      </c>
      <c r="G721" s="1419"/>
    </row>
    <row r="722" spans="1:10" s="1380" customFormat="1">
      <c r="A722" s="1423">
        <v>4.0999999999999996</v>
      </c>
      <c r="B722" s="1424" t="s">
        <v>165</v>
      </c>
      <c r="C722" s="1425">
        <v>27.7</v>
      </c>
      <c r="D722" s="1426" t="s">
        <v>11</v>
      </c>
      <c r="E722" s="1425">
        <v>279.08</v>
      </c>
      <c r="F722" s="1427">
        <f t="shared" si="17"/>
        <v>7730.52</v>
      </c>
      <c r="G722" s="1419"/>
    </row>
    <row r="723" spans="1:10" s="1381" customFormat="1">
      <c r="A723" s="1423">
        <v>4.2</v>
      </c>
      <c r="B723" s="1424" t="s">
        <v>152</v>
      </c>
      <c r="C723" s="1425">
        <v>38.299999999999997</v>
      </c>
      <c r="D723" s="1426" t="s">
        <v>11</v>
      </c>
      <c r="E723" s="1425">
        <v>321.97000000000003</v>
      </c>
      <c r="F723" s="1427">
        <f t="shared" si="17"/>
        <v>12331.45</v>
      </c>
      <c r="G723" s="1419"/>
    </row>
    <row r="724" spans="1:10" s="1081" customFormat="1" ht="14.25" customHeight="1">
      <c r="A724" s="1423">
        <v>4.3</v>
      </c>
      <c r="B724" s="1424" t="s">
        <v>889</v>
      </c>
      <c r="C724" s="1425">
        <v>8.58</v>
      </c>
      <c r="D724" s="1426" t="s">
        <v>11</v>
      </c>
      <c r="E724" s="1425">
        <v>469.61</v>
      </c>
      <c r="F724" s="1427">
        <f t="shared" si="17"/>
        <v>4029.25</v>
      </c>
      <c r="G724" s="1419"/>
    </row>
    <row r="725" spans="1:10" s="1063" customFormat="1">
      <c r="A725" s="1423">
        <v>4.4000000000000004</v>
      </c>
      <c r="B725" s="1424" t="s">
        <v>177</v>
      </c>
      <c r="C725" s="1425">
        <v>54.24</v>
      </c>
      <c r="D725" s="1426" t="s">
        <v>1</v>
      </c>
      <c r="E725" s="1425">
        <v>82.24</v>
      </c>
      <c r="F725" s="1427">
        <f t="shared" si="17"/>
        <v>4460.7</v>
      </c>
      <c r="G725" s="1419"/>
    </row>
    <row r="726" spans="1:10" s="1381" customFormat="1">
      <c r="A726" s="1423">
        <v>4.5</v>
      </c>
      <c r="B726" s="1424" t="s">
        <v>1265</v>
      </c>
      <c r="C726" s="1425">
        <v>67.55</v>
      </c>
      <c r="D726" s="1426" t="s">
        <v>11</v>
      </c>
      <c r="E726" s="1425">
        <v>55</v>
      </c>
      <c r="F726" s="1427">
        <f t="shared" si="17"/>
        <v>3715.25</v>
      </c>
      <c r="G726" s="1419"/>
    </row>
    <row r="727" spans="1:10">
      <c r="A727" s="1423">
        <v>4.5999999999999996</v>
      </c>
      <c r="B727" s="1424" t="s">
        <v>1266</v>
      </c>
      <c r="C727" s="1425">
        <v>67.55</v>
      </c>
      <c r="D727" s="1426" t="s">
        <v>11</v>
      </c>
      <c r="E727" s="1425">
        <v>123.2</v>
      </c>
      <c r="F727" s="1427">
        <f t="shared" si="17"/>
        <v>8322.16</v>
      </c>
      <c r="G727" s="1419"/>
      <c r="H727" s="44"/>
      <c r="I727" s="44"/>
      <c r="J727" s="44"/>
    </row>
    <row r="728" spans="1:10">
      <c r="A728" s="1442"/>
      <c r="B728" s="1471"/>
      <c r="C728" s="1451"/>
      <c r="D728" s="1426"/>
      <c r="E728" s="1463"/>
      <c r="F728" s="1427"/>
      <c r="G728" s="1419"/>
      <c r="H728" s="44"/>
      <c r="I728" s="44"/>
      <c r="J728" s="44"/>
    </row>
    <row r="729" spans="1:10">
      <c r="A729" s="1421">
        <v>5</v>
      </c>
      <c r="B729" s="1422" t="s">
        <v>1267</v>
      </c>
      <c r="C729" s="1425">
        <v>0</v>
      </c>
      <c r="D729" s="1426"/>
      <c r="E729" s="1425"/>
      <c r="F729" s="1427">
        <f>ROUND((C729*E729),2)</f>
        <v>0</v>
      </c>
      <c r="G729" s="1419"/>
      <c r="H729" s="44"/>
      <c r="I729" s="44"/>
      <c r="J729" s="44"/>
    </row>
    <row r="730" spans="1:10">
      <c r="A730" s="1423">
        <v>5.0999999999999996</v>
      </c>
      <c r="B730" s="1424" t="s">
        <v>1299</v>
      </c>
      <c r="C730" s="1425">
        <v>2</v>
      </c>
      <c r="D730" s="1426" t="s">
        <v>118</v>
      </c>
      <c r="E730" s="1425">
        <v>250</v>
      </c>
      <c r="F730" s="1427">
        <f>ROUND((C730*E730),2)</f>
        <v>500</v>
      </c>
      <c r="G730" s="1419"/>
      <c r="H730" s="44"/>
      <c r="I730" s="44"/>
      <c r="J730" s="44"/>
    </row>
    <row r="731" spans="1:10">
      <c r="A731" s="1423">
        <v>5.2</v>
      </c>
      <c r="B731" s="1424" t="s">
        <v>273</v>
      </c>
      <c r="C731" s="1425">
        <v>2.2999999999999998</v>
      </c>
      <c r="D731" s="1426" t="s">
        <v>2</v>
      </c>
      <c r="E731" s="1425">
        <v>95</v>
      </c>
      <c r="F731" s="1427">
        <f>ROUND((C731*E731),2)</f>
        <v>218.5</v>
      </c>
      <c r="G731" s="1419"/>
      <c r="H731" s="44"/>
      <c r="I731" s="44"/>
      <c r="J731" s="44"/>
    </row>
    <row r="732" spans="1:10">
      <c r="A732" s="1423"/>
      <c r="B732" s="1424"/>
      <c r="C732" s="1425"/>
      <c r="D732" s="1426"/>
      <c r="E732" s="1425"/>
      <c r="F732" s="1427"/>
      <c r="G732" s="1419"/>
      <c r="H732" s="44"/>
      <c r="I732" s="44"/>
      <c r="J732" s="44"/>
    </row>
    <row r="733" spans="1:10">
      <c r="A733" s="1444">
        <v>6</v>
      </c>
      <c r="B733" s="1424" t="s">
        <v>1270</v>
      </c>
      <c r="C733" s="1425">
        <v>34.24</v>
      </c>
      <c r="D733" s="1426" t="s">
        <v>2</v>
      </c>
      <c r="E733" s="1425">
        <v>55</v>
      </c>
      <c r="F733" s="1427">
        <f>ROUND((C733*E733),2)</f>
        <v>1883.2</v>
      </c>
      <c r="G733" s="1419"/>
      <c r="H733" s="44"/>
      <c r="I733" s="44"/>
      <c r="J733" s="44"/>
    </row>
    <row r="734" spans="1:10">
      <c r="A734" s="1442"/>
      <c r="B734" s="1471"/>
      <c r="C734" s="1451"/>
      <c r="D734" s="1426"/>
      <c r="E734" s="1463"/>
      <c r="F734" s="1427"/>
      <c r="G734" s="1419"/>
      <c r="H734" s="44"/>
      <c r="I734" s="44"/>
      <c r="J734" s="44"/>
    </row>
    <row r="735" spans="1:10">
      <c r="A735" s="1414" t="s">
        <v>851</v>
      </c>
      <c r="B735" s="1420" t="s">
        <v>1300</v>
      </c>
      <c r="C735" s="1451"/>
      <c r="D735" s="1426"/>
      <c r="E735" s="1463"/>
      <c r="F735" s="1427"/>
      <c r="G735" s="1419"/>
      <c r="H735" s="44"/>
      <c r="I735" s="44"/>
      <c r="J735" s="44"/>
    </row>
    <row r="736" spans="1:10">
      <c r="A736" s="1442"/>
      <c r="B736" s="1471"/>
      <c r="C736" s="1451"/>
      <c r="D736" s="1426"/>
      <c r="E736" s="1463"/>
      <c r="F736" s="1427"/>
      <c r="G736" s="1419"/>
      <c r="H736" s="44"/>
      <c r="I736" s="44"/>
      <c r="J736" s="44"/>
    </row>
    <row r="737" spans="1:10">
      <c r="A737" s="1444">
        <v>1</v>
      </c>
      <c r="B737" s="1424" t="s">
        <v>1301</v>
      </c>
      <c r="C737" s="1451">
        <v>76.8</v>
      </c>
      <c r="D737" s="1426" t="s">
        <v>11</v>
      </c>
      <c r="E737" s="1425">
        <v>110</v>
      </c>
      <c r="F737" s="1427">
        <f>ROUND((C737*E737),2)</f>
        <v>8448</v>
      </c>
      <c r="G737" s="1419"/>
      <c r="H737" s="44"/>
      <c r="I737" s="44"/>
      <c r="J737" s="44"/>
    </row>
    <row r="738" spans="1:10">
      <c r="A738" s="1442"/>
      <c r="B738" s="1471"/>
      <c r="C738" s="1451"/>
      <c r="D738" s="1426"/>
      <c r="E738" s="1463"/>
      <c r="F738" s="1427"/>
      <c r="G738" s="1419"/>
      <c r="H738" s="44"/>
      <c r="I738" s="44"/>
      <c r="J738" s="44"/>
    </row>
    <row r="739" spans="1:10">
      <c r="A739" s="1476">
        <v>2</v>
      </c>
      <c r="B739" s="1477" t="s">
        <v>1302</v>
      </c>
      <c r="C739" s="1478"/>
      <c r="D739" s="1479"/>
      <c r="E739" s="1480"/>
      <c r="F739" s="1427">
        <f>ROUND((C739*E739),2)</f>
        <v>0</v>
      </c>
      <c r="G739" s="1419"/>
      <c r="H739" s="839"/>
      <c r="I739" s="839"/>
      <c r="J739" s="839"/>
    </row>
    <row r="740" spans="1:10" ht="25.5">
      <c r="A740" s="1481">
        <v>2.1</v>
      </c>
      <c r="B740" s="1430" t="s">
        <v>1303</v>
      </c>
      <c r="C740" s="1451">
        <v>42.4</v>
      </c>
      <c r="D740" s="1426" t="s">
        <v>1</v>
      </c>
      <c r="E740" s="1425">
        <v>4018.89</v>
      </c>
      <c r="F740" s="1482">
        <f>ROUND((C740*E740),2)</f>
        <v>170400.94</v>
      </c>
      <c r="G740" s="1452"/>
      <c r="H740" s="50"/>
      <c r="I740" s="50"/>
      <c r="J740" s="50"/>
    </row>
    <row r="741" spans="1:10">
      <c r="A741" s="1423">
        <v>2.2000000000000002</v>
      </c>
      <c r="B741" s="1424" t="s">
        <v>1304</v>
      </c>
      <c r="C741" s="1451">
        <v>1</v>
      </c>
      <c r="D741" s="1426" t="s">
        <v>3</v>
      </c>
      <c r="E741" s="1425">
        <v>36294.92</v>
      </c>
      <c r="F741" s="1427">
        <f>ROUND((C741*E741),2)</f>
        <v>36294.92</v>
      </c>
      <c r="G741" s="1452"/>
      <c r="H741" s="50"/>
      <c r="I741" s="50"/>
      <c r="J741" s="50"/>
    </row>
    <row r="742" spans="1:10">
      <c r="A742" s="1423">
        <v>2.2999999999999998</v>
      </c>
      <c r="B742" s="1424" t="s">
        <v>1305</v>
      </c>
      <c r="C742" s="1451">
        <v>11</v>
      </c>
      <c r="D742" s="1426" t="s">
        <v>3</v>
      </c>
      <c r="E742" s="1425">
        <v>6816.64</v>
      </c>
      <c r="F742" s="1427">
        <f>ROUND((C742*E742),2)</f>
        <v>74983.039999999994</v>
      </c>
      <c r="G742" s="1452"/>
      <c r="H742" s="50"/>
      <c r="I742" s="50"/>
      <c r="J742" s="50"/>
    </row>
    <row r="743" spans="1:10">
      <c r="A743" s="1423">
        <v>2.4</v>
      </c>
      <c r="B743" s="1424" t="s">
        <v>1306</v>
      </c>
      <c r="C743" s="1451">
        <v>5</v>
      </c>
      <c r="D743" s="1426" t="s">
        <v>3</v>
      </c>
      <c r="E743" s="1425">
        <v>508.19</v>
      </c>
      <c r="F743" s="1427">
        <f>ROUND((C743*E743),2)</f>
        <v>2540.9499999999998</v>
      </c>
      <c r="G743" s="1452"/>
      <c r="H743" s="50"/>
      <c r="I743" s="50"/>
      <c r="J743" s="50"/>
    </row>
    <row r="744" spans="1:10">
      <c r="A744" s="1444"/>
      <c r="B744" s="1424"/>
      <c r="C744" s="1451"/>
      <c r="D744" s="1426"/>
      <c r="E744" s="1425"/>
      <c r="F744" s="1427"/>
      <c r="G744" s="1419"/>
      <c r="H744" s="50"/>
      <c r="I744" s="50"/>
      <c r="J744" s="50"/>
    </row>
    <row r="745" spans="1:10">
      <c r="A745" s="1444">
        <v>3</v>
      </c>
      <c r="B745" s="1424" t="s">
        <v>1307</v>
      </c>
      <c r="C745" s="1451">
        <v>1</v>
      </c>
      <c r="D745" s="1426" t="s">
        <v>3</v>
      </c>
      <c r="E745" s="1425">
        <v>15000</v>
      </c>
      <c r="F745" s="1427">
        <f>ROUND((C745*E745),2)</f>
        <v>15000</v>
      </c>
      <c r="G745" s="1419"/>
      <c r="H745" s="50"/>
      <c r="I745" s="50"/>
      <c r="J745" s="50"/>
    </row>
    <row r="746" spans="1:10" s="1" customFormat="1">
      <c r="A746" s="1444">
        <v>4</v>
      </c>
      <c r="B746" s="1424" t="s">
        <v>979</v>
      </c>
      <c r="C746" s="1451">
        <v>1</v>
      </c>
      <c r="D746" s="1426" t="s">
        <v>3</v>
      </c>
      <c r="E746" s="1425">
        <v>8000</v>
      </c>
      <c r="F746" s="1427">
        <f>ROUND((C746*E746),2)</f>
        <v>8000</v>
      </c>
      <c r="G746" s="1473"/>
      <c r="H746" s="1209"/>
      <c r="I746" s="1210"/>
    </row>
    <row r="747" spans="1:10" s="1" customFormat="1">
      <c r="A747" s="1444">
        <v>5</v>
      </c>
      <c r="B747" s="1424" t="s">
        <v>876</v>
      </c>
      <c r="C747" s="1451">
        <v>1</v>
      </c>
      <c r="D747" s="1426" t="s">
        <v>3</v>
      </c>
      <c r="E747" s="1425">
        <v>3500</v>
      </c>
      <c r="F747" s="1427">
        <f>ROUND((C747*E747),2)</f>
        <v>3500</v>
      </c>
      <c r="G747" s="1419"/>
      <c r="H747" s="1209"/>
      <c r="I747" s="1210"/>
    </row>
    <row r="748" spans="1:10">
      <c r="A748" s="1257"/>
      <c r="B748" s="1258"/>
      <c r="C748" s="1542"/>
      <c r="D748" s="1543"/>
      <c r="E748" s="1253"/>
      <c r="F748" s="1254"/>
      <c r="G748" s="1377"/>
      <c r="H748" s="1"/>
      <c r="I748" s="1"/>
      <c r="J748" s="50"/>
    </row>
    <row r="749" spans="1:10" ht="24">
      <c r="A749" s="1485" t="s">
        <v>10</v>
      </c>
      <c r="B749" s="1420" t="s">
        <v>1308</v>
      </c>
      <c r="C749" s="1418"/>
      <c r="D749" s="1541"/>
      <c r="E749" s="1418"/>
      <c r="F749" s="1417"/>
      <c r="G749" s="1473"/>
      <c r="H749" s="1"/>
      <c r="I749" s="1"/>
      <c r="J749" s="50"/>
    </row>
    <row r="750" spans="1:10">
      <c r="A750" s="1414"/>
      <c r="B750" s="1415"/>
      <c r="C750" s="1418"/>
      <c r="D750" s="1541"/>
      <c r="E750" s="1418"/>
      <c r="F750" s="1417"/>
      <c r="G750" s="1473"/>
      <c r="H750" s="1"/>
      <c r="I750" s="1"/>
      <c r="J750" s="50"/>
    </row>
    <row r="751" spans="1:10">
      <c r="A751" s="1486">
        <v>1</v>
      </c>
      <c r="B751" s="1527" t="s">
        <v>1309</v>
      </c>
      <c r="C751" s="1487"/>
      <c r="D751" s="1488"/>
      <c r="E751" s="1489"/>
      <c r="F751" s="1490"/>
      <c r="G751" s="1473"/>
      <c r="H751" s="1"/>
      <c r="I751" s="1"/>
      <c r="J751" s="50"/>
    </row>
    <row r="752" spans="1:10">
      <c r="A752" s="1491">
        <v>1.1000000000000001</v>
      </c>
      <c r="B752" s="1492" t="s">
        <v>1310</v>
      </c>
      <c r="C752" s="1493">
        <v>1</v>
      </c>
      <c r="D752" s="1494" t="s">
        <v>3</v>
      </c>
      <c r="E752" s="1509">
        <v>23600</v>
      </c>
      <c r="F752" s="1427">
        <f t="shared" ref="F752:F761" si="18">ROUND((C752*E752),2)</f>
        <v>23600</v>
      </c>
      <c r="G752" s="1473"/>
      <c r="H752" s="1"/>
      <c r="I752" s="1"/>
      <c r="J752" s="657"/>
    </row>
    <row r="753" spans="1:10">
      <c r="A753" s="1491">
        <v>1.2</v>
      </c>
      <c r="B753" s="1492" t="s">
        <v>1311</v>
      </c>
      <c r="C753" s="1493">
        <v>1</v>
      </c>
      <c r="D753" s="1494" t="s">
        <v>3</v>
      </c>
      <c r="E753" s="1509">
        <v>14600</v>
      </c>
      <c r="F753" s="1427">
        <f t="shared" si="18"/>
        <v>14600</v>
      </c>
      <c r="G753" s="1473"/>
      <c r="H753" s="1"/>
      <c r="I753" s="1"/>
      <c r="J753" s="656"/>
    </row>
    <row r="754" spans="1:10">
      <c r="A754" s="1491">
        <v>1.3</v>
      </c>
      <c r="B754" s="1495" t="s">
        <v>1312</v>
      </c>
      <c r="C754" s="1496">
        <v>50</v>
      </c>
      <c r="D754" s="1497" t="s">
        <v>800</v>
      </c>
      <c r="E754" s="1509">
        <v>17.12</v>
      </c>
      <c r="F754" s="1427">
        <f t="shared" si="18"/>
        <v>856</v>
      </c>
      <c r="G754" s="1473"/>
      <c r="H754" s="1"/>
      <c r="I754" s="1"/>
      <c r="J754" s="656"/>
    </row>
    <row r="755" spans="1:10" ht="25.5">
      <c r="A755" s="1498">
        <v>1.4</v>
      </c>
      <c r="B755" s="1499" t="s">
        <v>1313</v>
      </c>
      <c r="C755" s="1500">
        <v>1</v>
      </c>
      <c r="D755" s="1494" t="s">
        <v>3</v>
      </c>
      <c r="E755" s="1528">
        <v>42440</v>
      </c>
      <c r="F755" s="1482">
        <f t="shared" si="18"/>
        <v>42440</v>
      </c>
      <c r="G755" s="1473"/>
      <c r="H755" s="1"/>
      <c r="I755" s="1"/>
      <c r="J755" s="656"/>
    </row>
    <row r="756" spans="1:10">
      <c r="A756" s="1491">
        <v>1.5</v>
      </c>
      <c r="B756" s="1492" t="s">
        <v>1314</v>
      </c>
      <c r="C756" s="1496">
        <v>1</v>
      </c>
      <c r="D756" s="1501" t="s">
        <v>3</v>
      </c>
      <c r="E756" s="1529">
        <v>4143.0600000000004</v>
      </c>
      <c r="F756" s="1427">
        <f t="shared" si="18"/>
        <v>4143.0600000000004</v>
      </c>
      <c r="G756" s="1473"/>
      <c r="H756" s="1"/>
      <c r="I756" s="1"/>
      <c r="J756" s="656"/>
    </row>
    <row r="757" spans="1:10">
      <c r="A757" s="1491">
        <v>1.6</v>
      </c>
      <c r="B757" s="1492" t="s">
        <v>1315</v>
      </c>
      <c r="C757" s="1493">
        <v>1</v>
      </c>
      <c r="D757" s="1502" t="s">
        <v>3</v>
      </c>
      <c r="E757" s="1509">
        <v>3402.66</v>
      </c>
      <c r="F757" s="1427">
        <f t="shared" si="18"/>
        <v>3402.66</v>
      </c>
      <c r="G757" s="1473"/>
      <c r="H757" s="46"/>
      <c r="I757" s="656"/>
      <c r="J757" s="656"/>
    </row>
    <row r="758" spans="1:10">
      <c r="A758" s="1491">
        <v>1.7</v>
      </c>
      <c r="B758" s="1492" t="s">
        <v>1316</v>
      </c>
      <c r="C758" s="1493">
        <v>2</v>
      </c>
      <c r="D758" s="1502" t="s">
        <v>3</v>
      </c>
      <c r="E758" s="1509">
        <v>1302.1500000000001</v>
      </c>
      <c r="F758" s="1427">
        <f t="shared" si="18"/>
        <v>2604.3000000000002</v>
      </c>
      <c r="G758" s="1473"/>
      <c r="H758" s="53"/>
      <c r="I758" s="50"/>
      <c r="J758" s="50"/>
    </row>
    <row r="759" spans="1:10">
      <c r="A759" s="1491">
        <v>1.8</v>
      </c>
      <c r="B759" s="1503" t="s">
        <v>1317</v>
      </c>
      <c r="C759" s="1493">
        <v>1</v>
      </c>
      <c r="D759" s="1502" t="s">
        <v>3</v>
      </c>
      <c r="E759" s="1509">
        <v>8245</v>
      </c>
      <c r="F759" s="1427">
        <f t="shared" si="18"/>
        <v>8245</v>
      </c>
      <c r="G759" s="1473"/>
      <c r="H759" s="1"/>
      <c r="I759" s="1"/>
      <c r="J759" s="656"/>
    </row>
    <row r="760" spans="1:10">
      <c r="A760" s="1491">
        <v>1.9</v>
      </c>
      <c r="B760" s="1492" t="s">
        <v>1318</v>
      </c>
      <c r="C760" s="1493">
        <v>2</v>
      </c>
      <c r="D760" s="1502" t="s">
        <v>3</v>
      </c>
      <c r="E760" s="1509">
        <v>1200</v>
      </c>
      <c r="F760" s="1427">
        <f t="shared" si="18"/>
        <v>2400</v>
      </c>
      <c r="G760" s="1473"/>
      <c r="H760" s="1"/>
      <c r="I760" s="1"/>
      <c r="J760" s="656"/>
    </row>
    <row r="761" spans="1:10">
      <c r="A761" s="1504">
        <v>1.1000000000000001</v>
      </c>
      <c r="B761" s="1505" t="s">
        <v>1319</v>
      </c>
      <c r="C761" s="1506">
        <v>1</v>
      </c>
      <c r="D761" s="1501" t="s">
        <v>3</v>
      </c>
      <c r="E761" s="1530">
        <v>16000</v>
      </c>
      <c r="F761" s="1427">
        <f t="shared" si="18"/>
        <v>16000</v>
      </c>
      <c r="G761" s="1475"/>
      <c r="H761" s="1"/>
      <c r="I761" s="1"/>
      <c r="J761" s="656"/>
    </row>
    <row r="762" spans="1:10">
      <c r="A762" s="1507"/>
      <c r="B762" s="1505"/>
      <c r="C762" s="1506"/>
      <c r="D762" s="1501"/>
      <c r="E762" s="1530"/>
      <c r="F762" s="1427"/>
      <c r="G762" s="1475"/>
      <c r="H762" s="49"/>
      <c r="I762" s="49"/>
      <c r="J762" s="49"/>
    </row>
    <row r="763" spans="1:10">
      <c r="A763" s="1508">
        <v>2</v>
      </c>
      <c r="B763" s="1531" t="s">
        <v>1320</v>
      </c>
      <c r="C763" s="1493"/>
      <c r="D763" s="1502"/>
      <c r="E763" s="1509"/>
      <c r="F763" s="1510"/>
      <c r="G763" s="1473"/>
      <c r="H763" s="49"/>
      <c r="I763" s="49"/>
      <c r="J763" s="49"/>
    </row>
    <row r="764" spans="1:10" ht="25.5">
      <c r="A764" s="1511">
        <v>2.1</v>
      </c>
      <c r="B764" s="1499" t="s">
        <v>1321</v>
      </c>
      <c r="C764" s="1493">
        <v>1</v>
      </c>
      <c r="D764" s="1502" t="s">
        <v>3</v>
      </c>
      <c r="E764" s="1509">
        <v>3256.45</v>
      </c>
      <c r="F764" s="1433">
        <f t="shared" ref="F764:F776" si="19">ROUND((C764*E764),2)</f>
        <v>3256.45</v>
      </c>
      <c r="G764" s="1473"/>
      <c r="H764" s="49"/>
      <c r="I764" s="49"/>
      <c r="J764" s="49"/>
    </row>
    <row r="765" spans="1:10" ht="25.5">
      <c r="A765" s="1511">
        <v>2.2000000000000002</v>
      </c>
      <c r="B765" s="1499" t="s">
        <v>1322</v>
      </c>
      <c r="C765" s="1512">
        <v>2</v>
      </c>
      <c r="D765" s="1494" t="s">
        <v>3</v>
      </c>
      <c r="E765" s="1532">
        <v>5283.24</v>
      </c>
      <c r="F765" s="1482">
        <f t="shared" si="19"/>
        <v>10566.48</v>
      </c>
      <c r="G765" s="1473"/>
      <c r="H765" s="49"/>
      <c r="I765" s="49"/>
      <c r="J765" s="49"/>
    </row>
    <row r="766" spans="1:10">
      <c r="A766" s="1511">
        <v>2.2999999999999998</v>
      </c>
      <c r="B766" s="1499" t="s">
        <v>1323</v>
      </c>
      <c r="C766" s="1512">
        <v>1</v>
      </c>
      <c r="D766" s="1494" t="s">
        <v>3</v>
      </c>
      <c r="E766" s="1532">
        <v>846.2</v>
      </c>
      <c r="F766" s="1482">
        <f t="shared" si="19"/>
        <v>846.2</v>
      </c>
      <c r="G766" s="1473"/>
      <c r="H766" s="49"/>
      <c r="I766" s="49"/>
      <c r="J766" s="49"/>
    </row>
    <row r="767" spans="1:10">
      <c r="A767" s="1511">
        <v>2.4</v>
      </c>
      <c r="B767" s="1499" t="s">
        <v>1324</v>
      </c>
      <c r="C767" s="1512">
        <v>2</v>
      </c>
      <c r="D767" s="1494" t="s">
        <v>3</v>
      </c>
      <c r="E767" s="1532">
        <v>4560.8500000000004</v>
      </c>
      <c r="F767" s="1482">
        <f t="shared" si="19"/>
        <v>9121.7000000000007</v>
      </c>
      <c r="G767" s="1473"/>
      <c r="H767" s="49"/>
      <c r="I767" s="49"/>
      <c r="J767" s="49"/>
    </row>
    <row r="768" spans="1:10">
      <c r="A768" s="1511">
        <v>2.5</v>
      </c>
      <c r="B768" s="1499" t="s">
        <v>1325</v>
      </c>
      <c r="C768" s="1493">
        <v>1</v>
      </c>
      <c r="D768" s="1502" t="s">
        <v>3</v>
      </c>
      <c r="E768" s="1509">
        <v>268.27999999999997</v>
      </c>
      <c r="F768" s="1433">
        <f t="shared" si="19"/>
        <v>268.27999999999997</v>
      </c>
      <c r="G768" s="1473"/>
      <c r="H768" s="49"/>
      <c r="I768" s="49"/>
      <c r="J768" s="49"/>
    </row>
    <row r="769" spans="1:10">
      <c r="A769" s="1511">
        <v>2.6</v>
      </c>
      <c r="B769" s="1499" t="s">
        <v>41</v>
      </c>
      <c r="C769" s="1493">
        <v>1</v>
      </c>
      <c r="D769" s="1502" t="s">
        <v>3</v>
      </c>
      <c r="E769" s="1509">
        <v>8000</v>
      </c>
      <c r="F769" s="1433">
        <f t="shared" si="19"/>
        <v>8000</v>
      </c>
      <c r="G769" s="1473"/>
      <c r="H769" s="49"/>
      <c r="I769" s="49"/>
      <c r="J769" s="49"/>
    </row>
    <row r="770" spans="1:10" ht="63.75">
      <c r="A770" s="1511">
        <v>2.8</v>
      </c>
      <c r="B770" s="1499" t="s">
        <v>1326</v>
      </c>
      <c r="C770" s="1512">
        <v>4</v>
      </c>
      <c r="D770" s="1494" t="s">
        <v>1</v>
      </c>
      <c r="E770" s="1532">
        <v>1254</v>
      </c>
      <c r="F770" s="1482">
        <f t="shared" si="19"/>
        <v>5016</v>
      </c>
      <c r="G770" s="1473"/>
      <c r="H770" s="49"/>
      <c r="I770" s="49"/>
      <c r="J770" s="49"/>
    </row>
    <row r="771" spans="1:10" ht="51">
      <c r="A771" s="1511">
        <v>2.9</v>
      </c>
      <c r="B771" s="1499" t="s">
        <v>1327</v>
      </c>
      <c r="C771" s="1512">
        <v>3</v>
      </c>
      <c r="D771" s="1494" t="s">
        <v>1</v>
      </c>
      <c r="E771" s="1532">
        <v>1254</v>
      </c>
      <c r="F771" s="1482">
        <f t="shared" si="19"/>
        <v>3762</v>
      </c>
      <c r="G771" s="1473"/>
      <c r="H771" s="49"/>
      <c r="I771" s="49"/>
      <c r="J771" s="49"/>
    </row>
    <row r="772" spans="1:10" ht="63.75">
      <c r="A772" s="1513">
        <v>2.1</v>
      </c>
      <c r="B772" s="1499" t="s">
        <v>1328</v>
      </c>
      <c r="C772" s="1512">
        <v>10</v>
      </c>
      <c r="D772" s="1494" t="s">
        <v>1</v>
      </c>
      <c r="E772" s="1532">
        <v>702</v>
      </c>
      <c r="F772" s="1482">
        <f t="shared" si="19"/>
        <v>7020</v>
      </c>
      <c r="G772" s="1473"/>
      <c r="H772" s="53"/>
      <c r="I772" s="50"/>
      <c r="J772" s="50"/>
    </row>
    <row r="773" spans="1:10" ht="63.75">
      <c r="A773" s="1513">
        <v>2.11</v>
      </c>
      <c r="B773" s="1499" t="s">
        <v>1329</v>
      </c>
      <c r="C773" s="1512">
        <v>6</v>
      </c>
      <c r="D773" s="1494" t="s">
        <v>1</v>
      </c>
      <c r="E773" s="1532">
        <v>1350</v>
      </c>
      <c r="F773" s="1482">
        <f t="shared" si="19"/>
        <v>8100</v>
      </c>
      <c r="G773" s="1473"/>
      <c r="H773" s="656"/>
      <c r="I773" s="656"/>
      <c r="J773" s="656"/>
    </row>
    <row r="774" spans="1:10" ht="51">
      <c r="A774" s="1513">
        <v>2.12</v>
      </c>
      <c r="B774" s="1499" t="s">
        <v>1330</v>
      </c>
      <c r="C774" s="1512">
        <v>8</v>
      </c>
      <c r="D774" s="1494" t="s">
        <v>1</v>
      </c>
      <c r="E774" s="1532">
        <v>615</v>
      </c>
      <c r="F774" s="1482">
        <f t="shared" si="19"/>
        <v>4920</v>
      </c>
      <c r="G774" s="1473"/>
      <c r="H774" s="655"/>
      <c r="I774" s="655"/>
      <c r="J774" s="655"/>
    </row>
    <row r="775" spans="1:10" ht="38.25">
      <c r="A775" s="1513">
        <v>2.13</v>
      </c>
      <c r="B775" s="1499" t="s">
        <v>1331</v>
      </c>
      <c r="C775" s="1512">
        <v>2</v>
      </c>
      <c r="D775" s="1494" t="s">
        <v>1</v>
      </c>
      <c r="E775" s="1532">
        <v>450</v>
      </c>
      <c r="F775" s="1482">
        <f t="shared" si="19"/>
        <v>900</v>
      </c>
      <c r="G775" s="1473"/>
      <c r="H775" s="658"/>
      <c r="I775" s="659"/>
      <c r="J775" s="659"/>
    </row>
    <row r="776" spans="1:10" ht="51">
      <c r="A776" s="1513">
        <v>2.14</v>
      </c>
      <c r="B776" s="1499" t="s">
        <v>1332</v>
      </c>
      <c r="C776" s="1512">
        <v>50</v>
      </c>
      <c r="D776" s="1494" t="s">
        <v>1</v>
      </c>
      <c r="E776" s="1532">
        <v>350</v>
      </c>
      <c r="F776" s="1482">
        <f t="shared" si="19"/>
        <v>17500</v>
      </c>
      <c r="G776" s="1473"/>
      <c r="H776" s="46"/>
      <c r="I776" s="656"/>
      <c r="J776" s="656"/>
    </row>
    <row r="777" spans="1:10">
      <c r="A777" s="1511"/>
      <c r="B777" s="1499"/>
      <c r="C777" s="1493"/>
      <c r="D777" s="1502"/>
      <c r="E777" s="1509"/>
      <c r="F777" s="1433"/>
      <c r="G777" s="1473"/>
      <c r="H777" s="46"/>
      <c r="I777" s="656"/>
      <c r="J777" s="656"/>
    </row>
    <row r="778" spans="1:10">
      <c r="A778" s="1514">
        <v>3</v>
      </c>
      <c r="B778" s="1422" t="s">
        <v>1333</v>
      </c>
      <c r="C778" s="1515"/>
      <c r="D778" s="1516"/>
      <c r="E778" s="1517"/>
      <c r="F778" s="1518"/>
      <c r="G778" s="1473"/>
      <c r="H778" s="46"/>
      <c r="I778" s="656"/>
      <c r="J778" s="656"/>
    </row>
    <row r="779" spans="1:10" ht="25.5">
      <c r="A779" s="1519">
        <v>3.1</v>
      </c>
      <c r="B779" s="1520" t="s">
        <v>1334</v>
      </c>
      <c r="C779" s="1521">
        <v>2</v>
      </c>
      <c r="D779" s="1522" t="s">
        <v>3</v>
      </c>
      <c r="E779" s="1533">
        <v>37425.15</v>
      </c>
      <c r="F779" s="1510">
        <f t="shared" ref="F779:F793" si="20">ROUND(C779*E779,2)</f>
        <v>74850.3</v>
      </c>
      <c r="G779" s="1473"/>
      <c r="H779" s="46"/>
      <c r="I779" s="656"/>
      <c r="J779" s="656"/>
    </row>
    <row r="780" spans="1:10">
      <c r="A780" s="1519">
        <v>3.2</v>
      </c>
      <c r="B780" s="1520" t="s">
        <v>1335</v>
      </c>
      <c r="C780" s="1515">
        <v>2</v>
      </c>
      <c r="D780" s="1523" t="s">
        <v>3</v>
      </c>
      <c r="E780" s="1517">
        <v>6500</v>
      </c>
      <c r="F780" s="1518">
        <f t="shared" si="20"/>
        <v>13000</v>
      </c>
      <c r="G780" s="1473"/>
      <c r="H780" s="46"/>
      <c r="I780" s="656"/>
      <c r="J780" s="656"/>
    </row>
    <row r="781" spans="1:10">
      <c r="A781" s="1519">
        <v>3.3</v>
      </c>
      <c r="B781" s="1534" t="s">
        <v>1336</v>
      </c>
      <c r="C781" s="1515">
        <v>1</v>
      </c>
      <c r="D781" s="1516" t="s">
        <v>3</v>
      </c>
      <c r="E781" s="1517">
        <v>1405.45</v>
      </c>
      <c r="F781" s="1518">
        <f t="shared" si="20"/>
        <v>1405.45</v>
      </c>
      <c r="G781" s="1473"/>
      <c r="H781" s="46"/>
      <c r="I781" s="656"/>
      <c r="J781" s="656"/>
    </row>
    <row r="782" spans="1:10">
      <c r="A782" s="1519">
        <v>3.4</v>
      </c>
      <c r="B782" s="1534" t="s">
        <v>1337</v>
      </c>
      <c r="C782" s="1515">
        <v>2</v>
      </c>
      <c r="D782" s="1516" t="s">
        <v>3</v>
      </c>
      <c r="E782" s="1517">
        <v>1104.24</v>
      </c>
      <c r="F782" s="1518">
        <f t="shared" si="20"/>
        <v>2208.48</v>
      </c>
      <c r="G782" s="1473"/>
      <c r="H782" s="658"/>
      <c r="I782" s="659"/>
      <c r="J782" s="659"/>
    </row>
    <row r="783" spans="1:10">
      <c r="A783" s="1519">
        <v>3.5</v>
      </c>
      <c r="B783" s="1534" t="s">
        <v>1338</v>
      </c>
      <c r="C783" s="1515">
        <v>8</v>
      </c>
      <c r="D783" s="1516" t="s">
        <v>3</v>
      </c>
      <c r="E783" s="1517">
        <v>1104.24</v>
      </c>
      <c r="F783" s="1518">
        <f t="shared" si="20"/>
        <v>8833.92</v>
      </c>
      <c r="G783" s="1473"/>
      <c r="H783" s="658"/>
      <c r="I783" s="659"/>
      <c r="J783" s="659"/>
    </row>
    <row r="784" spans="1:10">
      <c r="A784" s="1519">
        <v>3.6</v>
      </c>
      <c r="B784" s="1534" t="s">
        <v>1339</v>
      </c>
      <c r="C784" s="1515">
        <v>2</v>
      </c>
      <c r="D784" s="1516" t="s">
        <v>3</v>
      </c>
      <c r="E784" s="1517">
        <v>1104.24</v>
      </c>
      <c r="F784" s="1518">
        <f t="shared" si="20"/>
        <v>2208.48</v>
      </c>
      <c r="G784" s="1473"/>
      <c r="H784" s="46"/>
      <c r="I784" s="656"/>
      <c r="J784" s="656"/>
    </row>
    <row r="785" spans="1:10" ht="25.5">
      <c r="A785" s="1519">
        <v>3.7</v>
      </c>
      <c r="B785" s="1534" t="s">
        <v>1340</v>
      </c>
      <c r="C785" s="1515">
        <v>4</v>
      </c>
      <c r="D785" s="1516" t="s">
        <v>3</v>
      </c>
      <c r="E785" s="1517">
        <v>23180.77</v>
      </c>
      <c r="F785" s="1518">
        <f t="shared" si="20"/>
        <v>92723.08</v>
      </c>
      <c r="G785" s="1473"/>
      <c r="H785" s="46"/>
      <c r="I785" s="656"/>
      <c r="J785" s="656"/>
    </row>
    <row r="786" spans="1:10">
      <c r="A786" s="1519">
        <v>3.8</v>
      </c>
      <c r="B786" s="1534" t="s">
        <v>1341</v>
      </c>
      <c r="C786" s="1515">
        <v>2</v>
      </c>
      <c r="D786" s="1516" t="s">
        <v>3</v>
      </c>
      <c r="E786" s="1517">
        <v>17593.939999999999</v>
      </c>
      <c r="F786" s="1518">
        <f t="shared" si="20"/>
        <v>35187.879999999997</v>
      </c>
      <c r="G786" s="1473"/>
      <c r="H786" s="46"/>
      <c r="I786" s="656"/>
      <c r="J786" s="656"/>
    </row>
    <row r="787" spans="1:10">
      <c r="A787" s="1519">
        <v>3.9</v>
      </c>
      <c r="B787" s="1534" t="s">
        <v>1342</v>
      </c>
      <c r="C787" s="1515">
        <v>2</v>
      </c>
      <c r="D787" s="1516" t="s">
        <v>3</v>
      </c>
      <c r="E787" s="1517">
        <v>17593.939999999999</v>
      </c>
      <c r="F787" s="1518">
        <f t="shared" si="20"/>
        <v>35187.879999999997</v>
      </c>
      <c r="G787" s="1473"/>
      <c r="H787" s="46"/>
      <c r="I787" s="656"/>
      <c r="J787" s="656"/>
    </row>
    <row r="788" spans="1:10">
      <c r="A788" s="1524">
        <v>3.1</v>
      </c>
      <c r="B788" s="1535" t="s">
        <v>1343</v>
      </c>
      <c r="C788" s="1515">
        <v>2</v>
      </c>
      <c r="D788" s="1516" t="s">
        <v>3</v>
      </c>
      <c r="E788" s="1517">
        <v>13483.62</v>
      </c>
      <c r="F788" s="1518">
        <f t="shared" si="20"/>
        <v>26967.24</v>
      </c>
      <c r="G788" s="1473"/>
      <c r="H788" s="46"/>
      <c r="I788" s="656"/>
      <c r="J788" s="656"/>
    </row>
    <row r="789" spans="1:10" ht="25.5">
      <c r="A789" s="1519">
        <v>3.11</v>
      </c>
      <c r="B789" s="1536" t="s">
        <v>1344</v>
      </c>
      <c r="C789" s="1515">
        <v>2</v>
      </c>
      <c r="D789" s="1516" t="s">
        <v>3</v>
      </c>
      <c r="E789" s="1517">
        <v>2850.2</v>
      </c>
      <c r="F789" s="1518">
        <f t="shared" si="20"/>
        <v>5700.4</v>
      </c>
      <c r="G789" s="1473"/>
      <c r="H789" s="46"/>
      <c r="I789" s="656"/>
      <c r="J789" s="656"/>
    </row>
    <row r="790" spans="1:10">
      <c r="A790" s="1519">
        <v>3.12</v>
      </c>
      <c r="B790" s="1537" t="s">
        <v>1345</v>
      </c>
      <c r="C790" s="1521">
        <v>2</v>
      </c>
      <c r="D790" s="1522" t="s">
        <v>3</v>
      </c>
      <c r="E790" s="1544">
        <v>2360.64</v>
      </c>
      <c r="F790" s="1510">
        <f t="shared" si="20"/>
        <v>4721.28</v>
      </c>
      <c r="G790" s="1473"/>
      <c r="H790" s="46"/>
      <c r="I790" s="656"/>
      <c r="J790" s="656"/>
    </row>
    <row r="791" spans="1:10">
      <c r="A791" s="1524">
        <v>3.13</v>
      </c>
      <c r="B791" s="1534" t="s">
        <v>1346</v>
      </c>
      <c r="C791" s="1515">
        <v>3</v>
      </c>
      <c r="D791" s="1516" t="s">
        <v>3</v>
      </c>
      <c r="E791" s="1517">
        <v>649.94000000000005</v>
      </c>
      <c r="F791" s="1518">
        <f t="shared" si="20"/>
        <v>1949.82</v>
      </c>
      <c r="G791" s="1473"/>
      <c r="H791" s="46"/>
      <c r="I791" s="656"/>
      <c r="J791" s="656"/>
    </row>
    <row r="792" spans="1:10">
      <c r="A792" s="1519">
        <v>3.14</v>
      </c>
      <c r="B792" s="1537" t="s">
        <v>1347</v>
      </c>
      <c r="C792" s="1515">
        <v>1</v>
      </c>
      <c r="D792" s="1516" t="s">
        <v>3</v>
      </c>
      <c r="E792" s="1517">
        <v>7391.23</v>
      </c>
      <c r="F792" s="1518">
        <f t="shared" si="20"/>
        <v>7391.23</v>
      </c>
      <c r="G792" s="1473"/>
      <c r="H792" s="46"/>
      <c r="I792" s="656"/>
      <c r="J792" s="656"/>
    </row>
    <row r="793" spans="1:10">
      <c r="A793" s="1519">
        <v>3.15</v>
      </c>
      <c r="B793" s="1534" t="s">
        <v>1348</v>
      </c>
      <c r="C793" s="1515">
        <v>2</v>
      </c>
      <c r="D793" s="1516" t="s">
        <v>3</v>
      </c>
      <c r="E793" s="1517">
        <v>4957.25</v>
      </c>
      <c r="F793" s="1518">
        <f t="shared" si="20"/>
        <v>9914.5</v>
      </c>
      <c r="G793" s="1473"/>
      <c r="H793" s="46"/>
      <c r="I793" s="656"/>
      <c r="J793" s="656"/>
    </row>
    <row r="794" spans="1:10">
      <c r="A794" s="1519"/>
      <c r="B794" s="1534"/>
      <c r="C794" s="1515"/>
      <c r="D794" s="1516"/>
      <c r="E794" s="1517"/>
      <c r="F794" s="1518"/>
      <c r="G794" s="1473"/>
      <c r="H794" s="46"/>
      <c r="I794" s="656"/>
      <c r="J794" s="656"/>
    </row>
    <row r="795" spans="1:10">
      <c r="A795" s="1525">
        <v>4</v>
      </c>
      <c r="B795" s="1531" t="s">
        <v>1349</v>
      </c>
      <c r="C795" s="1493"/>
      <c r="D795" s="1502"/>
      <c r="E795" s="1509"/>
      <c r="F795" s="1433"/>
      <c r="G795" s="1473"/>
      <c r="H795" s="660"/>
      <c r="I795" s="661"/>
      <c r="J795" s="660"/>
    </row>
    <row r="796" spans="1:10">
      <c r="A796" s="1526">
        <v>4.0999999999999996</v>
      </c>
      <c r="B796" s="1499" t="s">
        <v>1350</v>
      </c>
      <c r="C796" s="1493">
        <v>2</v>
      </c>
      <c r="D796" s="1502" t="s">
        <v>3</v>
      </c>
      <c r="E796" s="1509">
        <v>1128.6400000000001</v>
      </c>
      <c r="F796" s="1433">
        <f>ROUND((C796*E796),2)</f>
        <v>2257.2800000000002</v>
      </c>
      <c r="G796" s="1473"/>
      <c r="H796" s="660"/>
      <c r="I796" s="661"/>
      <c r="J796" s="660"/>
    </row>
    <row r="797" spans="1:10">
      <c r="A797" s="1526">
        <v>4.2</v>
      </c>
      <c r="B797" s="1499" t="s">
        <v>1351</v>
      </c>
      <c r="C797" s="1493">
        <v>1</v>
      </c>
      <c r="D797" s="1502" t="s">
        <v>3</v>
      </c>
      <c r="E797" s="1509">
        <v>1494.35</v>
      </c>
      <c r="F797" s="1433">
        <f>ROUND((C797*E797),2)</f>
        <v>1494.35</v>
      </c>
      <c r="G797" s="1473"/>
      <c r="H797" s="660"/>
      <c r="I797" s="661"/>
      <c r="J797" s="660"/>
    </row>
    <row r="798" spans="1:10">
      <c r="A798" s="1526">
        <v>4.3</v>
      </c>
      <c r="B798" s="1499" t="s">
        <v>1352</v>
      </c>
      <c r="C798" s="1493">
        <v>2</v>
      </c>
      <c r="D798" s="1502" t="s">
        <v>3</v>
      </c>
      <c r="E798" s="1509">
        <v>1166.98</v>
      </c>
      <c r="F798" s="1433">
        <f>ROUND((C798*E798),2)</f>
        <v>2333.96</v>
      </c>
      <c r="G798" s="1473"/>
      <c r="H798" s="660"/>
      <c r="I798" s="661"/>
      <c r="J798" s="660"/>
    </row>
    <row r="799" spans="1:10">
      <c r="A799" s="1483"/>
      <c r="B799" s="1414"/>
      <c r="C799" s="1484"/>
      <c r="D799" s="1545"/>
      <c r="E799" s="1484"/>
      <c r="F799" s="1538"/>
      <c r="G799" s="1473"/>
      <c r="H799" s="660"/>
      <c r="I799" s="661"/>
      <c r="J799" s="660"/>
    </row>
    <row r="800" spans="1:10">
      <c r="A800" s="820"/>
      <c r="B800" s="821" t="s">
        <v>1353</v>
      </c>
      <c r="C800" s="822"/>
      <c r="D800" s="822"/>
      <c r="E800" s="823"/>
      <c r="F800" s="1352">
        <f>SUM(F651:F799)</f>
        <v>1915432.92</v>
      </c>
      <c r="G800" s="1382"/>
    </row>
    <row r="801" spans="1:10">
      <c r="A801" s="1262"/>
      <c r="B801" s="1262"/>
      <c r="C801" s="1259"/>
      <c r="D801" s="1260"/>
      <c r="E801" s="1261"/>
      <c r="F801" s="1354"/>
      <c r="G801" s="1377"/>
      <c r="H801" s="660"/>
      <c r="I801" s="661"/>
      <c r="J801" s="660"/>
    </row>
    <row r="802" spans="1:10">
      <c r="A802" s="48"/>
      <c r="B802" s="1267"/>
      <c r="C802" s="1263"/>
      <c r="D802" s="1264"/>
      <c r="E802" s="1261"/>
      <c r="F802" s="1354">
        <f>C802*E802</f>
        <v>0</v>
      </c>
      <c r="G802" s="1377"/>
      <c r="H802" s="46"/>
      <c r="I802" s="656"/>
      <c r="J802" s="656"/>
    </row>
    <row r="803" spans="1:10">
      <c r="A803" s="1313">
        <v>10</v>
      </c>
      <c r="B803" s="1314" t="s">
        <v>1203</v>
      </c>
      <c r="C803" s="1315"/>
      <c r="D803" s="1200"/>
      <c r="E803" s="1315"/>
      <c r="F803" s="1356">
        <f>C803*E803</f>
        <v>0</v>
      </c>
      <c r="G803" s="1377"/>
      <c r="H803" s="46"/>
      <c r="I803" s="656"/>
      <c r="J803" s="656"/>
    </row>
    <row r="804" spans="1:10">
      <c r="A804" s="52">
        <f>+A803+0.01</f>
        <v>10.01</v>
      </c>
      <c r="B804" s="1316" t="s">
        <v>1204</v>
      </c>
      <c r="C804" s="1315">
        <v>24.42</v>
      </c>
      <c r="D804" s="1200" t="s">
        <v>2</v>
      </c>
      <c r="E804" s="1315">
        <v>85</v>
      </c>
      <c r="F804" s="1356">
        <f>C804*E804</f>
        <v>2075.6999999999998</v>
      </c>
      <c r="G804" s="1377"/>
    </row>
    <row r="805" spans="1:10">
      <c r="A805" s="52">
        <f>+A804+0.01</f>
        <v>10.02</v>
      </c>
      <c r="B805" s="1316" t="s">
        <v>4</v>
      </c>
      <c r="C805" s="1315">
        <v>2.2000000000000002</v>
      </c>
      <c r="D805" s="1200" t="s">
        <v>2</v>
      </c>
      <c r="E805" s="1315">
        <v>1108.8900000000001</v>
      </c>
      <c r="F805" s="1356">
        <f>C805*E805</f>
        <v>2439.56</v>
      </c>
      <c r="G805" s="1377"/>
    </row>
    <row r="806" spans="1:10">
      <c r="A806" s="52">
        <f>+A805+0.01</f>
        <v>10.029999999999999</v>
      </c>
      <c r="B806" s="1316" t="s">
        <v>1205</v>
      </c>
      <c r="C806" s="1315">
        <v>0</v>
      </c>
      <c r="D806" s="1200" t="s">
        <v>2</v>
      </c>
      <c r="E806" s="1315">
        <v>37</v>
      </c>
      <c r="F806" s="1356">
        <f>C806*E806</f>
        <v>0</v>
      </c>
      <c r="G806" s="1377"/>
    </row>
    <row r="807" spans="1:10">
      <c r="A807" s="775"/>
      <c r="B807" s="1316"/>
      <c r="C807" s="1315"/>
      <c r="D807" s="1200"/>
      <c r="E807" s="1315"/>
      <c r="F807" s="1356"/>
      <c r="G807" s="1377"/>
    </row>
    <row r="808" spans="1:10">
      <c r="A808" s="1245"/>
      <c r="B808" s="1246"/>
      <c r="C808" s="1242"/>
      <c r="D808" s="1243"/>
      <c r="E808" s="1248"/>
      <c r="F808" s="1357"/>
      <c r="G808" s="1244"/>
    </row>
    <row r="809" spans="1:10">
      <c r="A809" s="1069"/>
      <c r="B809" s="1068"/>
      <c r="C809" s="1064"/>
      <c r="D809" s="1065"/>
      <c r="E809" s="1064"/>
      <c r="F809" s="1355"/>
      <c r="G809" s="1066"/>
    </row>
    <row r="810" spans="1:10">
      <c r="A810" s="1072">
        <v>10</v>
      </c>
      <c r="B810" s="1073" t="s">
        <v>748</v>
      </c>
      <c r="C810" s="1071"/>
      <c r="D810" s="1411"/>
      <c r="E810" s="1071"/>
      <c r="F810" s="1358"/>
      <c r="G810" s="1066"/>
    </row>
    <row r="811" spans="1:10" s="1037" customFormat="1">
      <c r="A811" s="1067">
        <v>10.1</v>
      </c>
      <c r="B811" s="1068" t="s">
        <v>1017</v>
      </c>
      <c r="C811" s="1064">
        <v>1</v>
      </c>
      <c r="D811" s="1065" t="s">
        <v>3</v>
      </c>
      <c r="E811" s="1064">
        <v>9500</v>
      </c>
      <c r="F811" s="1355">
        <f>ROUND((C811*E811),2)</f>
        <v>9500</v>
      </c>
      <c r="G811" s="1377"/>
    </row>
    <row r="812" spans="1:10">
      <c r="A812" s="1067">
        <v>10.199999999999999</v>
      </c>
      <c r="B812" s="1068" t="s">
        <v>1018</v>
      </c>
      <c r="C812" s="1064">
        <v>1</v>
      </c>
      <c r="D812" s="1065" t="s">
        <v>3</v>
      </c>
      <c r="E812" s="1064">
        <v>8500</v>
      </c>
      <c r="F812" s="1355">
        <f>ROUND((C812*E812),2)</f>
        <v>8500</v>
      </c>
      <c r="G812" s="1377"/>
    </row>
    <row r="813" spans="1:10">
      <c r="A813" s="1067">
        <v>10.3</v>
      </c>
      <c r="B813" s="1068" t="s">
        <v>1019</v>
      </c>
      <c r="C813" s="1064">
        <v>1</v>
      </c>
      <c r="D813" s="1065" t="s">
        <v>3</v>
      </c>
      <c r="E813" s="1064">
        <v>8000</v>
      </c>
      <c r="F813" s="1355">
        <f>ROUND((C813*E813),2)</f>
        <v>8000</v>
      </c>
      <c r="G813" s="1377"/>
    </row>
    <row r="814" spans="1:10">
      <c r="A814" s="1070"/>
      <c r="B814" s="1070"/>
      <c r="C814" s="1071"/>
      <c r="D814" s="1411"/>
      <c r="E814" s="1071"/>
      <c r="F814" s="1358"/>
      <c r="G814" s="1377"/>
    </row>
    <row r="815" spans="1:10">
      <c r="A815" s="1074">
        <v>11</v>
      </c>
      <c r="B815" s="1068" t="s">
        <v>1020</v>
      </c>
      <c r="C815" s="1064">
        <v>24</v>
      </c>
      <c r="D815" s="1065" t="s">
        <v>11</v>
      </c>
      <c r="E815" s="724">
        <v>666.47</v>
      </c>
      <c r="F815" s="1355">
        <f>ROUND((C815*E815),2)</f>
        <v>15995.28</v>
      </c>
      <c r="G815" s="1377"/>
    </row>
    <row r="816" spans="1:10">
      <c r="A816" s="1074">
        <v>12</v>
      </c>
      <c r="B816" s="1068" t="s">
        <v>1021</v>
      </c>
      <c r="C816" s="1064">
        <v>138.79</v>
      </c>
      <c r="D816" s="1065" t="s">
        <v>11</v>
      </c>
      <c r="E816" s="1064">
        <v>115</v>
      </c>
      <c r="F816" s="1355">
        <f>ROUND((C816*E816),2)</f>
        <v>15960.85</v>
      </c>
      <c r="G816" s="1377"/>
    </row>
    <row r="817" spans="1:10">
      <c r="A817" s="1075"/>
      <c r="B817" s="1070"/>
      <c r="C817" s="1071"/>
      <c r="D817" s="1411"/>
      <c r="E817" s="1071"/>
      <c r="F817" s="1358"/>
      <c r="G817" s="1377"/>
    </row>
    <row r="818" spans="1:10">
      <c r="A818" s="1076">
        <v>13</v>
      </c>
      <c r="B818" s="1068" t="s">
        <v>979</v>
      </c>
      <c r="C818" s="1064">
        <v>1</v>
      </c>
      <c r="D818" s="1065" t="s">
        <v>3</v>
      </c>
      <c r="E818" s="1064">
        <v>17500</v>
      </c>
      <c r="F818" s="1355">
        <f>ROUND((C818*E818),2)</f>
        <v>17500</v>
      </c>
      <c r="G818" s="1377"/>
    </row>
    <row r="819" spans="1:10">
      <c r="A819" s="1074">
        <v>14</v>
      </c>
      <c r="B819" s="1068" t="s">
        <v>1022</v>
      </c>
      <c r="C819" s="1064">
        <v>11</v>
      </c>
      <c r="D819" s="1065" t="s">
        <v>42</v>
      </c>
      <c r="E819" s="1064">
        <v>45000</v>
      </c>
      <c r="F819" s="1355">
        <f>ROUND((C819*E819),2)</f>
        <v>495000</v>
      </c>
      <c r="G819" s="1377"/>
      <c r="I819" s="699"/>
    </row>
    <row r="820" spans="1:10">
      <c r="A820" s="1074">
        <v>15</v>
      </c>
      <c r="B820" s="1068" t="s">
        <v>1023</v>
      </c>
      <c r="C820" s="1064">
        <v>1</v>
      </c>
      <c r="D820" s="1065" t="s">
        <v>42</v>
      </c>
      <c r="E820" s="1064">
        <v>12000</v>
      </c>
      <c r="F820" s="1355">
        <f>ROUND((C820*E820),2)</f>
        <v>12000</v>
      </c>
      <c r="G820" s="1377"/>
    </row>
    <row r="821" spans="1:10">
      <c r="A821" s="1077">
        <v>8</v>
      </c>
      <c r="B821" s="1078" t="s">
        <v>1024</v>
      </c>
      <c r="C821" s="1079">
        <v>1</v>
      </c>
      <c r="D821" s="1080" t="s">
        <v>3</v>
      </c>
      <c r="E821" s="724">
        <v>15075</v>
      </c>
      <c r="F821" s="1359">
        <f>ROUND(C821*E821,2)</f>
        <v>15075</v>
      </c>
      <c r="G821" s="1377"/>
    </row>
    <row r="822" spans="1:10">
      <c r="A822" s="820"/>
      <c r="B822" s="821" t="s">
        <v>1176</v>
      </c>
      <c r="C822" s="822"/>
      <c r="D822" s="822"/>
      <c r="E822" s="823"/>
      <c r="F822" s="1352">
        <f>SUM(F649:F807)</f>
        <v>3835381.1</v>
      </c>
      <c r="G822" s="1382"/>
    </row>
    <row r="823" spans="1:10">
      <c r="A823" s="1074"/>
      <c r="B823" s="1068"/>
      <c r="C823" s="1064"/>
      <c r="D823" s="1065"/>
      <c r="E823" s="1064"/>
      <c r="F823" s="1355"/>
      <c r="G823" s="1066"/>
      <c r="H823" s="7"/>
      <c r="I823" s="7"/>
      <c r="J823" s="7"/>
    </row>
    <row r="824" spans="1:10" ht="25.5">
      <c r="A824" s="825" t="s">
        <v>540</v>
      </c>
      <c r="B824" s="3" t="s">
        <v>567</v>
      </c>
      <c r="C824" s="826"/>
      <c r="D824" s="519"/>
      <c r="E824" s="811"/>
      <c r="F824" s="827"/>
      <c r="G824" s="44"/>
      <c r="H824" s="7"/>
      <c r="I824" s="7"/>
      <c r="J824" s="7"/>
    </row>
    <row r="825" spans="1:10">
      <c r="A825" s="828"/>
      <c r="B825" s="3"/>
      <c r="C825" s="826"/>
      <c r="D825" s="519"/>
      <c r="E825" s="811"/>
      <c r="F825" s="827"/>
      <c r="G825" s="44"/>
      <c r="H825" s="7"/>
      <c r="I825" s="7"/>
      <c r="J825" s="7"/>
    </row>
    <row r="826" spans="1:10">
      <c r="A826" s="828">
        <v>1</v>
      </c>
      <c r="B826" s="829" t="s">
        <v>568</v>
      </c>
      <c r="C826" s="876">
        <v>88.9</v>
      </c>
      <c r="D826" s="830" t="s">
        <v>1</v>
      </c>
      <c r="E826" s="878">
        <v>22.93</v>
      </c>
      <c r="F826" s="815">
        <f t="shared" ref="F826:F835" si="21">+ROUND((E826*C826),2)</f>
        <v>2038.48</v>
      </c>
      <c r="G826" s="1377"/>
      <c r="H826" s="7"/>
      <c r="I826" s="701"/>
      <c r="J826" s="7"/>
    </row>
    <row r="827" spans="1:10">
      <c r="A827" s="828">
        <v>2</v>
      </c>
      <c r="B827" s="829" t="s">
        <v>569</v>
      </c>
      <c r="C827" s="876">
        <v>0.04</v>
      </c>
      <c r="D827" s="830" t="s">
        <v>570</v>
      </c>
      <c r="E827" s="878">
        <v>16793.05</v>
      </c>
      <c r="F827" s="815">
        <f t="shared" si="21"/>
        <v>671.72</v>
      </c>
      <c r="G827" s="1377"/>
      <c r="H827" s="7"/>
      <c r="I827" s="7"/>
      <c r="J827" s="7"/>
    </row>
    <row r="828" spans="1:10">
      <c r="A828" s="828"/>
      <c r="B828" s="829"/>
      <c r="C828" s="876"/>
      <c r="D828" s="830"/>
      <c r="E828" s="878"/>
      <c r="F828" s="815">
        <f t="shared" si="21"/>
        <v>0</v>
      </c>
      <c r="G828" s="1377"/>
      <c r="H828" s="7"/>
      <c r="I828" s="7"/>
      <c r="J828" s="7"/>
    </row>
    <row r="829" spans="1:10">
      <c r="A829" s="831">
        <v>3</v>
      </c>
      <c r="B829" s="3" t="s">
        <v>38</v>
      </c>
      <c r="C829" s="876"/>
      <c r="D829" s="830"/>
      <c r="E829" s="878"/>
      <c r="F829" s="815">
        <f t="shared" si="21"/>
        <v>0</v>
      </c>
      <c r="G829" s="1377"/>
      <c r="H829" s="7"/>
      <c r="I829" s="7"/>
      <c r="J829" s="7"/>
    </row>
    <row r="830" spans="1:10">
      <c r="A830" s="828">
        <v>3.1</v>
      </c>
      <c r="B830" s="829" t="s">
        <v>571</v>
      </c>
      <c r="C830" s="876">
        <v>509.98</v>
      </c>
      <c r="D830" s="830" t="s">
        <v>2</v>
      </c>
      <c r="E830" s="878">
        <v>58.92</v>
      </c>
      <c r="F830" s="815">
        <f t="shared" si="21"/>
        <v>30048.02</v>
      </c>
      <c r="G830" s="1377"/>
      <c r="H830" s="7"/>
      <c r="I830" s="7"/>
      <c r="J830" s="7"/>
    </row>
    <row r="831" spans="1:10" ht="25.5">
      <c r="A831" s="828">
        <v>3.2</v>
      </c>
      <c r="B831" s="829" t="s">
        <v>572</v>
      </c>
      <c r="C831" s="876">
        <v>106.68</v>
      </c>
      <c r="D831" s="832" t="s">
        <v>2</v>
      </c>
      <c r="E831" s="878">
        <v>383.87</v>
      </c>
      <c r="F831" s="815">
        <f t="shared" si="21"/>
        <v>40951.25</v>
      </c>
      <c r="G831" s="1377"/>
      <c r="H831" s="7"/>
      <c r="I831" s="7"/>
      <c r="J831" s="7"/>
    </row>
    <row r="832" spans="1:10">
      <c r="A832" s="828">
        <v>3.3</v>
      </c>
      <c r="B832" s="829" t="s">
        <v>573</v>
      </c>
      <c r="C832" s="876">
        <v>106.68</v>
      </c>
      <c r="D832" s="830" t="s">
        <v>2</v>
      </c>
      <c r="E832" s="878">
        <v>26.55</v>
      </c>
      <c r="F832" s="815">
        <f t="shared" si="21"/>
        <v>2832.35</v>
      </c>
      <c r="G832" s="1377"/>
      <c r="H832" s="7"/>
      <c r="I832" s="7"/>
      <c r="J832" s="7"/>
    </row>
    <row r="833" spans="1:10">
      <c r="A833" s="828">
        <v>3.4</v>
      </c>
      <c r="B833" s="829" t="s">
        <v>574</v>
      </c>
      <c r="C833" s="876">
        <v>81.08</v>
      </c>
      <c r="D833" s="830" t="s">
        <v>2</v>
      </c>
      <c r="E833" s="878">
        <v>45.89</v>
      </c>
      <c r="F833" s="815">
        <f t="shared" si="21"/>
        <v>3720.76</v>
      </c>
      <c r="G833" s="1377"/>
      <c r="H833" s="7"/>
      <c r="I833" s="7"/>
      <c r="J833" s="7"/>
    </row>
    <row r="834" spans="1:10">
      <c r="A834" s="828"/>
      <c r="B834" s="829"/>
      <c r="C834" s="876"/>
      <c r="D834" s="830"/>
      <c r="E834" s="878"/>
      <c r="F834" s="815">
        <f t="shared" si="21"/>
        <v>0</v>
      </c>
      <c r="G834" s="1377"/>
      <c r="H834" s="7"/>
      <c r="I834" s="7"/>
      <c r="J834" s="7"/>
    </row>
    <row r="835" spans="1:10">
      <c r="A835" s="828">
        <v>4</v>
      </c>
      <c r="B835" s="829" t="s">
        <v>575</v>
      </c>
      <c r="C835" s="876">
        <f>C826*2</f>
        <v>177.8</v>
      </c>
      <c r="D835" s="830" t="s">
        <v>1</v>
      </c>
      <c r="E835" s="878">
        <v>12.96</v>
      </c>
      <c r="F835" s="815">
        <f t="shared" si="21"/>
        <v>2304.29</v>
      </c>
      <c r="G835" s="1377"/>
      <c r="H835" s="7"/>
      <c r="I835" s="7"/>
      <c r="J835" s="7"/>
    </row>
    <row r="836" spans="1:10">
      <c r="A836" s="833"/>
      <c r="B836" s="834" t="s">
        <v>973</v>
      </c>
      <c r="C836" s="835"/>
      <c r="D836" s="836"/>
      <c r="E836" s="837"/>
      <c r="F836" s="838">
        <f>SUM(F824:F835)</f>
        <v>82566.87</v>
      </c>
      <c r="G836" s="839"/>
      <c r="H836" s="7"/>
      <c r="I836" s="7"/>
      <c r="J836" s="7"/>
    </row>
    <row r="837" spans="1:10">
      <c r="A837" s="720"/>
      <c r="B837" s="28"/>
      <c r="C837" s="733"/>
      <c r="D837" s="9"/>
      <c r="E837" s="22"/>
      <c r="F837" s="39"/>
      <c r="G837" s="649"/>
      <c r="H837" s="7"/>
      <c r="I837" s="7"/>
      <c r="J837" s="7"/>
    </row>
    <row r="838" spans="1:10" ht="25.5">
      <c r="A838" s="1306" t="s">
        <v>997</v>
      </c>
      <c r="B838" s="1307" t="s">
        <v>1008</v>
      </c>
      <c r="C838" s="1308"/>
      <c r="D838" s="1309"/>
      <c r="E838" s="1310"/>
      <c r="F838" s="1311"/>
      <c r="G838" s="649"/>
      <c r="H838" s="7"/>
      <c r="I838" s="7"/>
      <c r="J838" s="7"/>
    </row>
    <row r="839" spans="1:10">
      <c r="A839" s="27"/>
      <c r="B839" s="51"/>
      <c r="C839" s="22"/>
      <c r="D839" s="9"/>
      <c r="E839" s="31"/>
      <c r="F839" s="39"/>
      <c r="G839" s="649"/>
      <c r="H839" s="7"/>
      <c r="I839" s="7"/>
      <c r="J839" s="7"/>
    </row>
    <row r="840" spans="1:10">
      <c r="A840" s="720">
        <v>1</v>
      </c>
      <c r="B840" s="28" t="s">
        <v>37</v>
      </c>
      <c r="C840" s="1045">
        <f>+'MT-G'!C26</f>
        <v>4812</v>
      </c>
      <c r="D840" s="9" t="s">
        <v>1</v>
      </c>
      <c r="E840" s="803">
        <v>5</v>
      </c>
      <c r="F840" s="39">
        <f>+ROUND(C840*E840,2)</f>
        <v>24060</v>
      </c>
      <c r="G840" s="1377"/>
      <c r="H840" s="7"/>
      <c r="I840" s="7"/>
      <c r="J840" s="7"/>
    </row>
    <row r="841" spans="1:10">
      <c r="A841" s="720"/>
      <c r="B841" s="28"/>
      <c r="C841" s="1045"/>
      <c r="D841" s="9"/>
      <c r="E841" s="803"/>
      <c r="F841" s="39"/>
      <c r="G841" s="1377"/>
      <c r="H841" s="7"/>
      <c r="I841" s="7"/>
      <c r="J841" s="7"/>
    </row>
    <row r="842" spans="1:10">
      <c r="A842" s="16">
        <v>2</v>
      </c>
      <c r="B842" s="711" t="s">
        <v>14</v>
      </c>
      <c r="C842" s="804"/>
      <c r="D842" s="10"/>
      <c r="E842" s="1039"/>
      <c r="F842" s="39">
        <f t="shared" ref="F842:F860" si="22">+ROUND(C842*E842,2)</f>
        <v>0</v>
      </c>
      <c r="G842" s="1377"/>
    </row>
    <row r="843" spans="1:10">
      <c r="A843" s="1204" t="s">
        <v>1182</v>
      </c>
      <c r="B843" s="1205" t="s">
        <v>1187</v>
      </c>
      <c r="C843" s="805">
        <f>+'MT-G'!I59</f>
        <v>4807.1899999999996</v>
      </c>
      <c r="D843" s="1206" t="s">
        <v>2</v>
      </c>
      <c r="E843" s="1207">
        <v>154.53</v>
      </c>
      <c r="F843" s="1040">
        <f t="shared" si="22"/>
        <v>742855.07</v>
      </c>
      <c r="G843" s="1377"/>
    </row>
    <row r="844" spans="1:10" ht="25.5">
      <c r="A844" s="1204" t="s">
        <v>1183</v>
      </c>
      <c r="B844" s="1205" t="s">
        <v>1188</v>
      </c>
      <c r="C844" s="805">
        <f>+'MT-G'!I58</f>
        <v>534.13</v>
      </c>
      <c r="D844" s="1206" t="s">
        <v>2</v>
      </c>
      <c r="E844" s="1207">
        <v>1125.8</v>
      </c>
      <c r="F844" s="1040">
        <f t="shared" si="22"/>
        <v>601323.55000000005</v>
      </c>
      <c r="G844" s="1377"/>
    </row>
    <row r="845" spans="1:10">
      <c r="A845" s="1204">
        <v>2.2000000000000002</v>
      </c>
      <c r="B845" s="1205" t="s">
        <v>1181</v>
      </c>
      <c r="C845" s="805">
        <f>+C840*0.85</f>
        <v>4090.2</v>
      </c>
      <c r="D845" s="1206" t="s">
        <v>11</v>
      </c>
      <c r="E845" s="1207">
        <v>28.5</v>
      </c>
      <c r="F845" s="1040">
        <f t="shared" si="22"/>
        <v>116570.7</v>
      </c>
      <c r="G845" s="1377"/>
    </row>
    <row r="846" spans="1:10">
      <c r="A846" s="715">
        <v>2.2000000000000002</v>
      </c>
      <c r="B846" s="716" t="s">
        <v>4</v>
      </c>
      <c r="C846" s="805">
        <f>+'MT-G'!I28</f>
        <v>409.02</v>
      </c>
      <c r="D846" s="713" t="s">
        <v>2</v>
      </c>
      <c r="E846" s="1207">
        <v>1108.8900000000001</v>
      </c>
      <c r="F846" s="32">
        <f t="shared" si="22"/>
        <v>453558.19</v>
      </c>
      <c r="G846" s="1377"/>
    </row>
    <row r="847" spans="1:10" ht="38.25">
      <c r="A847" s="715">
        <v>2.2999999999999998</v>
      </c>
      <c r="B847" s="717" t="s">
        <v>1221</v>
      </c>
      <c r="C847" s="805">
        <f>+C844*1.25</f>
        <v>667.66</v>
      </c>
      <c r="D847" s="713" t="s">
        <v>2</v>
      </c>
      <c r="E847" s="1207">
        <f>+E22</f>
        <v>668.95</v>
      </c>
      <c r="F847" s="32">
        <f t="shared" si="22"/>
        <v>446631.16</v>
      </c>
      <c r="G847" s="1377"/>
    </row>
    <row r="848" spans="1:10" ht="25.5">
      <c r="A848" s="12">
        <v>2.4</v>
      </c>
      <c r="B848" s="1205" t="s">
        <v>1184</v>
      </c>
      <c r="C848" s="805">
        <f>+'MT-G'!I30</f>
        <v>4351.97</v>
      </c>
      <c r="D848" s="713" t="s">
        <v>2</v>
      </c>
      <c r="E848" s="1207">
        <f>+E23</f>
        <v>183.5</v>
      </c>
      <c r="F848" s="32">
        <f t="shared" si="22"/>
        <v>798586.5</v>
      </c>
      <c r="G848" s="1377"/>
    </row>
    <row r="849" spans="1:7">
      <c r="A849" s="715">
        <v>2.5</v>
      </c>
      <c r="B849" s="716" t="s">
        <v>35</v>
      </c>
      <c r="C849" s="805">
        <f>+C844*1.4+'MT-G'!I32</f>
        <v>1935</v>
      </c>
      <c r="D849" s="713" t="s">
        <v>2</v>
      </c>
      <c r="E849" s="1207">
        <f>+E24</f>
        <v>165</v>
      </c>
      <c r="F849" s="32">
        <f t="shared" si="22"/>
        <v>319275</v>
      </c>
      <c r="G849" s="1377"/>
    </row>
    <row r="850" spans="1:7">
      <c r="A850" s="12"/>
      <c r="B850" s="28"/>
      <c r="C850" s="803"/>
      <c r="D850" s="9"/>
      <c r="E850" s="803"/>
      <c r="F850" s="32">
        <f t="shared" si="22"/>
        <v>0</v>
      </c>
      <c r="G850" s="1377"/>
    </row>
    <row r="851" spans="1:7">
      <c r="A851" s="718">
        <v>3</v>
      </c>
      <c r="B851" s="711" t="s">
        <v>25</v>
      </c>
      <c r="C851" s="804"/>
      <c r="D851" s="10"/>
      <c r="E851" s="1039"/>
      <c r="F851" s="32">
        <f t="shared" si="22"/>
        <v>0</v>
      </c>
      <c r="G851" s="1377"/>
    </row>
    <row r="852" spans="1:7">
      <c r="A852" s="17">
        <v>3.1</v>
      </c>
      <c r="B852" s="28" t="s">
        <v>1000</v>
      </c>
      <c r="C852" s="806">
        <f>890.37*1.03</f>
        <v>917.08</v>
      </c>
      <c r="D852" s="15" t="s">
        <v>1</v>
      </c>
      <c r="E852" s="806">
        <v>1138.07</v>
      </c>
      <c r="F852" s="32">
        <f t="shared" si="22"/>
        <v>1043701.24</v>
      </c>
      <c r="G852" s="1377"/>
    </row>
    <row r="853" spans="1:7">
      <c r="A853" s="17">
        <v>3.2</v>
      </c>
      <c r="B853" s="28" t="s">
        <v>1001</v>
      </c>
      <c r="C853" s="806">
        <f>2686.42*1.02</f>
        <v>2740.15</v>
      </c>
      <c r="D853" s="15" t="s">
        <v>1</v>
      </c>
      <c r="E853" s="806">
        <v>405.68</v>
      </c>
      <c r="F853" s="32">
        <f t="shared" si="22"/>
        <v>1111624.05</v>
      </c>
      <c r="G853" s="1377"/>
    </row>
    <row r="854" spans="1:7">
      <c r="A854" s="17">
        <v>3.3</v>
      </c>
      <c r="B854" s="28" t="s">
        <v>407</v>
      </c>
      <c r="C854" s="806">
        <f>2309.944*1.02</f>
        <v>2356.14</v>
      </c>
      <c r="D854" s="15" t="s">
        <v>1</v>
      </c>
      <c r="E854" s="806">
        <v>118.41</v>
      </c>
      <c r="F854" s="32">
        <f>+ROUND(C854*E854,2)</f>
        <v>278990.53999999998</v>
      </c>
      <c r="G854" s="1377"/>
    </row>
    <row r="855" spans="1:7">
      <c r="A855" s="719"/>
      <c r="B855" s="51"/>
      <c r="C855" s="803"/>
      <c r="D855" s="9"/>
      <c r="E855" s="803"/>
      <c r="F855" s="32">
        <f t="shared" si="22"/>
        <v>0</v>
      </c>
      <c r="G855" s="1377"/>
    </row>
    <row r="856" spans="1:7">
      <c r="A856" s="720">
        <v>4</v>
      </c>
      <c r="B856" s="51" t="s">
        <v>26</v>
      </c>
      <c r="C856" s="803"/>
      <c r="D856" s="9"/>
      <c r="E856" s="803"/>
      <c r="F856" s="39">
        <f t="shared" si="22"/>
        <v>0</v>
      </c>
      <c r="G856" s="1377"/>
    </row>
    <row r="857" spans="1:7">
      <c r="A857" s="17">
        <v>4.0999999999999996</v>
      </c>
      <c r="B857" s="28" t="s">
        <v>1000</v>
      </c>
      <c r="C857" s="806">
        <f>890.37*1.03</f>
        <v>917.08</v>
      </c>
      <c r="D857" s="15" t="s">
        <v>1</v>
      </c>
      <c r="E857" s="803">
        <v>27.87</v>
      </c>
      <c r="F857" s="32">
        <f>+ROUND(C857*E857,2)</f>
        <v>25559.02</v>
      </c>
      <c r="G857" s="1377"/>
    </row>
    <row r="858" spans="1:7">
      <c r="A858" s="17">
        <v>4.2</v>
      </c>
      <c r="B858" s="28" t="s">
        <v>999</v>
      </c>
      <c r="C858" s="806">
        <f>2686.42*1.02</f>
        <v>2740.15</v>
      </c>
      <c r="D858" s="15" t="s">
        <v>1</v>
      </c>
      <c r="E858" s="803">
        <v>18.399999999999999</v>
      </c>
      <c r="F858" s="32">
        <f>+ROUND(C858*E858,2)</f>
        <v>50418.76</v>
      </c>
      <c r="G858" s="1377"/>
    </row>
    <row r="859" spans="1:7">
      <c r="A859" s="17">
        <v>4.3</v>
      </c>
      <c r="B859" s="28" t="s">
        <v>998</v>
      </c>
      <c r="C859" s="806">
        <f>2309.944*1.02</f>
        <v>2356.14</v>
      </c>
      <c r="D859" s="15" t="s">
        <v>1</v>
      </c>
      <c r="E859" s="803">
        <v>17.46</v>
      </c>
      <c r="F859" s="32">
        <f>+ROUND(C859*E859,2)</f>
        <v>41138.199999999997</v>
      </c>
      <c r="G859" s="1377"/>
    </row>
    <row r="860" spans="1:7">
      <c r="A860" s="739"/>
      <c r="B860" s="740"/>
      <c r="C860" s="854"/>
      <c r="D860" s="741"/>
      <c r="E860" s="1050"/>
      <c r="F860" s="742">
        <f t="shared" si="22"/>
        <v>0</v>
      </c>
      <c r="G860" s="1377"/>
    </row>
    <row r="861" spans="1:7">
      <c r="A861" s="746">
        <v>5</v>
      </c>
      <c r="B861" s="744" t="s">
        <v>486</v>
      </c>
      <c r="C861" s="806"/>
      <c r="D861" s="1046"/>
      <c r="E861" s="1047"/>
      <c r="F861" s="1048"/>
      <c r="G861" s="1377"/>
    </row>
    <row r="862" spans="1:7" s="1037" customFormat="1" ht="25.5">
      <c r="A862" s="14">
        <v>5.0999999999999996</v>
      </c>
      <c r="B862" s="1053" t="s">
        <v>1506</v>
      </c>
      <c r="C862" s="1040">
        <v>3</v>
      </c>
      <c r="D862" s="814" t="s">
        <v>3</v>
      </c>
      <c r="E862" s="1221">
        <v>3779.15</v>
      </c>
      <c r="F862" s="1582">
        <f t="shared" ref="F862:F874" si="23">ROUND(C862*E862,2)</f>
        <v>11337.45</v>
      </c>
      <c r="G862" s="852"/>
    </row>
    <row r="863" spans="1:7" s="1037" customFormat="1" ht="25.5">
      <c r="A863" s="14">
        <v>5.2</v>
      </c>
      <c r="B863" s="1053" t="s">
        <v>1507</v>
      </c>
      <c r="C863" s="1040">
        <v>2</v>
      </c>
      <c r="D863" s="814" t="s">
        <v>3</v>
      </c>
      <c r="E863" s="1221">
        <v>3584.45</v>
      </c>
      <c r="F863" s="1582">
        <f t="shared" si="23"/>
        <v>7168.9</v>
      </c>
      <c r="G863" s="852"/>
    </row>
    <row r="864" spans="1:7" s="1037" customFormat="1" ht="25.5">
      <c r="A864" s="14">
        <v>5.3</v>
      </c>
      <c r="B864" s="1053" t="s">
        <v>1508</v>
      </c>
      <c r="C864" s="1040">
        <v>2</v>
      </c>
      <c r="D864" s="814" t="s">
        <v>3</v>
      </c>
      <c r="E864" s="1221">
        <v>2944.74</v>
      </c>
      <c r="F864" s="1582">
        <f t="shared" si="23"/>
        <v>5889.48</v>
      </c>
      <c r="G864" s="852"/>
    </row>
    <row r="865" spans="1:7" s="1037" customFormat="1" ht="25.5">
      <c r="A865" s="14">
        <v>5.4</v>
      </c>
      <c r="B865" s="1053" t="s">
        <v>1200</v>
      </c>
      <c r="C865" s="1040">
        <v>3</v>
      </c>
      <c r="D865" s="814" t="s">
        <v>3</v>
      </c>
      <c r="E865" s="1221">
        <v>2443.85</v>
      </c>
      <c r="F865" s="1582">
        <f t="shared" si="23"/>
        <v>7331.55</v>
      </c>
      <c r="G865" s="852"/>
    </row>
    <row r="866" spans="1:7" s="1037" customFormat="1" ht="25.5">
      <c r="A866" s="14">
        <v>5.5</v>
      </c>
      <c r="B866" s="1583" t="s">
        <v>1199</v>
      </c>
      <c r="C866" s="1040">
        <v>8</v>
      </c>
      <c r="D866" s="814" t="s">
        <v>3</v>
      </c>
      <c r="E866" s="1221">
        <v>2119.35</v>
      </c>
      <c r="F866" s="1582">
        <f t="shared" si="23"/>
        <v>16954.8</v>
      </c>
      <c r="G866" s="852"/>
    </row>
    <row r="867" spans="1:7" s="1037" customFormat="1" ht="25.5">
      <c r="A867" s="14">
        <v>5.6</v>
      </c>
      <c r="B867" s="1053" t="s">
        <v>1509</v>
      </c>
      <c r="C867" s="1040">
        <v>30</v>
      </c>
      <c r="D867" s="814" t="s">
        <v>3</v>
      </c>
      <c r="E867" s="1221">
        <v>2750.04</v>
      </c>
      <c r="F867" s="1582">
        <f t="shared" si="23"/>
        <v>82501.2</v>
      </c>
      <c r="G867" s="852"/>
    </row>
    <row r="868" spans="1:7" s="1037" customFormat="1" ht="25.5">
      <c r="A868" s="14">
        <v>5.7</v>
      </c>
      <c r="B868" s="1053" t="s">
        <v>1510</v>
      </c>
      <c r="C868" s="1040">
        <v>3</v>
      </c>
      <c r="D868" s="814" t="s">
        <v>3</v>
      </c>
      <c r="E868" s="1221">
        <v>1644.54</v>
      </c>
      <c r="F868" s="1582">
        <f t="shared" si="23"/>
        <v>4933.62</v>
      </c>
      <c r="G868" s="852"/>
    </row>
    <row r="869" spans="1:7" s="1037" customFormat="1">
      <c r="A869" s="14">
        <v>5.8</v>
      </c>
      <c r="B869" s="1053" t="s">
        <v>1511</v>
      </c>
      <c r="C869" s="1040">
        <v>8</v>
      </c>
      <c r="D869" s="814" t="s">
        <v>3</v>
      </c>
      <c r="E869" s="1221">
        <v>1449.38</v>
      </c>
      <c r="F869" s="1582">
        <f t="shared" si="23"/>
        <v>11595.04</v>
      </c>
      <c r="G869" s="852"/>
    </row>
    <row r="870" spans="1:7" s="1037" customFormat="1">
      <c r="A870" s="14">
        <v>5.9</v>
      </c>
      <c r="B870" s="1583" t="s">
        <v>1512</v>
      </c>
      <c r="C870" s="1040">
        <v>74</v>
      </c>
      <c r="D870" s="814" t="s">
        <v>3</v>
      </c>
      <c r="E870" s="1221">
        <v>1384.48</v>
      </c>
      <c r="F870" s="1582">
        <f t="shared" si="23"/>
        <v>102451.52</v>
      </c>
      <c r="G870" s="852"/>
    </row>
    <row r="871" spans="1:7" s="1037" customFormat="1">
      <c r="A871" s="1581">
        <v>5.0999999999999996</v>
      </c>
      <c r="B871" s="1053" t="s">
        <v>1201</v>
      </c>
      <c r="C871" s="1040">
        <v>32</v>
      </c>
      <c r="D871" s="814" t="s">
        <v>3</v>
      </c>
      <c r="E871" s="1221">
        <v>1566.25</v>
      </c>
      <c r="F871" s="1582">
        <f t="shared" si="23"/>
        <v>50120</v>
      </c>
      <c r="G871" s="852"/>
    </row>
    <row r="872" spans="1:7" s="1037" customFormat="1" ht="25.5">
      <c r="A872" s="1581">
        <v>5.1100000000000003</v>
      </c>
      <c r="B872" s="1053" t="s">
        <v>1513</v>
      </c>
      <c r="C872" s="1040">
        <v>1</v>
      </c>
      <c r="D872" s="814" t="s">
        <v>3</v>
      </c>
      <c r="E872" s="1221">
        <v>1405.45</v>
      </c>
      <c r="F872" s="1582">
        <f t="shared" si="23"/>
        <v>1405.45</v>
      </c>
      <c r="G872" s="852"/>
    </row>
    <row r="873" spans="1:7" s="1037" customFormat="1" ht="25.5">
      <c r="A873" s="1581">
        <v>5.12</v>
      </c>
      <c r="B873" s="1583" t="s">
        <v>410</v>
      </c>
      <c r="C873" s="1584"/>
      <c r="D873" s="814" t="s">
        <v>3</v>
      </c>
      <c r="E873" s="1585"/>
      <c r="F873" s="1582">
        <f t="shared" si="23"/>
        <v>0</v>
      </c>
      <c r="G873" s="852"/>
    </row>
    <row r="874" spans="1:7" s="1037" customFormat="1">
      <c r="A874" s="1581">
        <v>5.13</v>
      </c>
      <c r="B874" s="1053" t="s">
        <v>487</v>
      </c>
      <c r="C874" s="1040">
        <v>51</v>
      </c>
      <c r="D874" s="1220" t="s">
        <v>3</v>
      </c>
      <c r="E874" s="1040">
        <v>300</v>
      </c>
      <c r="F874" s="1040">
        <f t="shared" si="23"/>
        <v>15300</v>
      </c>
      <c r="G874" s="852"/>
    </row>
    <row r="875" spans="1:7">
      <c r="A875" s="17"/>
      <c r="B875" s="28"/>
      <c r="C875" s="1018"/>
      <c r="D875" s="15"/>
      <c r="E875" s="1026"/>
      <c r="F875" s="39"/>
      <c r="G875" s="649"/>
    </row>
    <row r="876" spans="1:7">
      <c r="A876" s="25">
        <v>6</v>
      </c>
      <c r="B876" s="51" t="s">
        <v>412</v>
      </c>
      <c r="C876" s="1018"/>
      <c r="D876" s="15"/>
      <c r="E876" s="1026"/>
      <c r="F876" s="39">
        <f>+ROUND(C876*E876,2)</f>
        <v>0</v>
      </c>
      <c r="G876" s="649"/>
    </row>
    <row r="877" spans="1:7" ht="25.5">
      <c r="A877" s="17">
        <v>6.1</v>
      </c>
      <c r="B877" s="710" t="s">
        <v>410</v>
      </c>
      <c r="C877" s="1018">
        <v>1</v>
      </c>
      <c r="D877" s="15" t="s">
        <v>3</v>
      </c>
      <c r="E877" s="1026">
        <v>1514.74</v>
      </c>
      <c r="F877" s="39">
        <f>+ROUND(C877*E877,2)</f>
        <v>1514.74</v>
      </c>
      <c r="G877" s="649"/>
    </row>
    <row r="878" spans="1:7">
      <c r="A878" s="17">
        <v>6.2</v>
      </c>
      <c r="B878" s="710" t="s">
        <v>411</v>
      </c>
      <c r="C878" s="1018">
        <v>3</v>
      </c>
      <c r="D878" s="15" t="s">
        <v>3</v>
      </c>
      <c r="E878" s="1026">
        <v>1384.48</v>
      </c>
      <c r="F878" s="39">
        <f>+ROUND(C878*E878,2)</f>
        <v>4153.4399999999996</v>
      </c>
      <c r="G878" s="649"/>
    </row>
    <row r="879" spans="1:7" ht="25.5">
      <c r="A879" s="17">
        <v>6.3</v>
      </c>
      <c r="B879" s="28" t="s">
        <v>413</v>
      </c>
      <c r="C879" s="1018">
        <v>1</v>
      </c>
      <c r="D879" s="15" t="s">
        <v>3</v>
      </c>
      <c r="E879" s="1026">
        <v>1500</v>
      </c>
      <c r="F879" s="39">
        <f>+ROUND(C879*E879,2)</f>
        <v>1500</v>
      </c>
      <c r="G879" s="649"/>
    </row>
    <row r="880" spans="1:7">
      <c r="A880" s="17">
        <v>6.4</v>
      </c>
      <c r="B880" s="18" t="s">
        <v>480</v>
      </c>
      <c r="C880" s="1016">
        <v>4</v>
      </c>
      <c r="D880" s="10" t="s">
        <v>47</v>
      </c>
      <c r="E880" s="1025">
        <v>397.75</v>
      </c>
      <c r="F880" s="47">
        <f>+ROUND(C880*E880,2)</f>
        <v>1591</v>
      </c>
      <c r="G880" s="649"/>
    </row>
    <row r="881" spans="1:7">
      <c r="A881" s="17"/>
      <c r="B881" s="18"/>
      <c r="C881" s="1016"/>
      <c r="D881" s="10"/>
      <c r="E881" s="1025"/>
      <c r="F881" s="47"/>
      <c r="G881" s="649"/>
    </row>
    <row r="882" spans="1:7">
      <c r="A882" s="721">
        <v>7</v>
      </c>
      <c r="B882" s="722" t="s">
        <v>39</v>
      </c>
      <c r="C882" s="1016"/>
      <c r="D882" s="10"/>
      <c r="E882" s="1025"/>
      <c r="F882" s="39">
        <f>+ROUND(C882*E882,2)</f>
        <v>0</v>
      </c>
      <c r="G882" s="649"/>
    </row>
    <row r="883" spans="1:7">
      <c r="A883" s="695">
        <v>7.1</v>
      </c>
      <c r="B883" s="18" t="s">
        <v>994</v>
      </c>
      <c r="C883" s="804">
        <v>23</v>
      </c>
      <c r="D883" s="10" t="s">
        <v>3</v>
      </c>
      <c r="E883" s="1039">
        <v>38964.559999999998</v>
      </c>
      <c r="F883" s="47">
        <f>+ROUND(C883*E883,2)</f>
        <v>896184.88</v>
      </c>
      <c r="G883" s="649"/>
    </row>
    <row r="884" spans="1:7">
      <c r="A884" s="695">
        <v>7.2</v>
      </c>
      <c r="B884" s="18" t="s">
        <v>983</v>
      </c>
      <c r="C884" s="804">
        <v>15</v>
      </c>
      <c r="D884" s="1049" t="s">
        <v>3</v>
      </c>
      <c r="E884" s="1039">
        <v>50772.81</v>
      </c>
      <c r="F884" s="47">
        <f>+ROUND(C884*E884,2)</f>
        <v>761592.15</v>
      </c>
      <c r="G884" s="649"/>
    </row>
    <row r="885" spans="1:7">
      <c r="A885" s="695">
        <v>7.2</v>
      </c>
      <c r="B885" s="18" t="s">
        <v>414</v>
      </c>
      <c r="C885" s="804">
        <f>+C884+C883</f>
        <v>38</v>
      </c>
      <c r="D885" s="1049" t="s">
        <v>3</v>
      </c>
      <c r="E885" s="1039">
        <v>3375</v>
      </c>
      <c r="F885" s="39">
        <f>+ROUND(C885*E885,2)</f>
        <v>128250</v>
      </c>
      <c r="G885" s="649"/>
    </row>
    <row r="886" spans="1:7">
      <c r="A886" s="17"/>
      <c r="B886" s="28"/>
      <c r="C886" s="1018"/>
      <c r="D886" s="15"/>
      <c r="E886" s="1026"/>
      <c r="F886" s="39"/>
      <c r="G886" s="649"/>
    </row>
    <row r="887" spans="1:7">
      <c r="A887" s="25">
        <v>8</v>
      </c>
      <c r="B887" s="51" t="s">
        <v>481</v>
      </c>
      <c r="C887" s="1018"/>
      <c r="D887" s="15"/>
      <c r="E887" s="1026"/>
      <c r="F887" s="39"/>
      <c r="G887" s="649"/>
    </row>
    <row r="888" spans="1:7">
      <c r="A888" s="734">
        <v>8.1</v>
      </c>
      <c r="B888" s="735" t="s">
        <v>484</v>
      </c>
      <c r="C888" s="1020"/>
      <c r="D888" s="723"/>
      <c r="E888" s="1019"/>
      <c r="F888" s="696"/>
      <c r="G888" s="649"/>
    </row>
    <row r="889" spans="1:7">
      <c r="A889" s="725" t="s">
        <v>493</v>
      </c>
      <c r="B889" s="697" t="s">
        <v>48</v>
      </c>
      <c r="C889" s="1021">
        <v>30</v>
      </c>
      <c r="D889" s="19" t="s">
        <v>3</v>
      </c>
      <c r="E889" s="1021">
        <v>230.1</v>
      </c>
      <c r="F889" s="696">
        <f t="shared" ref="F889:F900" si="24">ROUND(C889*E889,2)</f>
        <v>6903</v>
      </c>
      <c r="G889" s="649"/>
    </row>
    <row r="890" spans="1:7" ht="25.5">
      <c r="A890" s="725" t="s">
        <v>494</v>
      </c>
      <c r="B890" s="726" t="s">
        <v>53</v>
      </c>
      <c r="C890" s="1022">
        <f>6*30</f>
        <v>180</v>
      </c>
      <c r="D890" s="727" t="s">
        <v>1</v>
      </c>
      <c r="E890" s="1019">
        <v>28.32</v>
      </c>
      <c r="F890" s="696">
        <f t="shared" si="24"/>
        <v>5097.6000000000004</v>
      </c>
      <c r="G890" s="649"/>
    </row>
    <row r="891" spans="1:7">
      <c r="A891" s="725" t="s">
        <v>495</v>
      </c>
      <c r="B891" s="697" t="s">
        <v>49</v>
      </c>
      <c r="C891" s="1021">
        <v>30</v>
      </c>
      <c r="D891" s="19" t="s">
        <v>3</v>
      </c>
      <c r="E891" s="1021">
        <v>53.1</v>
      </c>
      <c r="F891" s="696">
        <f t="shared" si="24"/>
        <v>1593</v>
      </c>
      <c r="G891" s="649"/>
    </row>
    <row r="892" spans="1:7">
      <c r="A892" s="725" t="s">
        <v>496</v>
      </c>
      <c r="B892" s="697" t="s">
        <v>54</v>
      </c>
      <c r="C892" s="1021">
        <v>30</v>
      </c>
      <c r="D892" s="19" t="s">
        <v>3</v>
      </c>
      <c r="E892" s="1021">
        <v>53.1</v>
      </c>
      <c r="F892" s="696">
        <f t="shared" si="24"/>
        <v>1593</v>
      </c>
      <c r="G892" s="649"/>
    </row>
    <row r="893" spans="1:7">
      <c r="A893" s="725" t="s">
        <v>497</v>
      </c>
      <c r="B893" s="697" t="s">
        <v>55</v>
      </c>
      <c r="C893" s="1021">
        <v>30</v>
      </c>
      <c r="D893" s="19" t="s">
        <v>3</v>
      </c>
      <c r="E893" s="1021">
        <v>84.53</v>
      </c>
      <c r="F893" s="696">
        <f t="shared" si="24"/>
        <v>2535.9</v>
      </c>
      <c r="G893" s="649"/>
    </row>
    <row r="894" spans="1:7">
      <c r="A894" s="725" t="s">
        <v>498</v>
      </c>
      <c r="B894" s="697" t="s">
        <v>56</v>
      </c>
      <c r="C894" s="1021">
        <v>30</v>
      </c>
      <c r="D894" s="19" t="s">
        <v>3</v>
      </c>
      <c r="E894" s="1021">
        <v>1298</v>
      </c>
      <c r="F894" s="696">
        <f t="shared" si="24"/>
        <v>38940</v>
      </c>
      <c r="G894" s="649"/>
    </row>
    <row r="895" spans="1:7">
      <c r="A895" s="725" t="s">
        <v>499</v>
      </c>
      <c r="B895" s="697" t="s">
        <v>57</v>
      </c>
      <c r="C895" s="1021">
        <v>30</v>
      </c>
      <c r="D895" s="19" t="s">
        <v>13</v>
      </c>
      <c r="E895" s="1021">
        <v>28</v>
      </c>
      <c r="F895" s="696">
        <f t="shared" si="24"/>
        <v>840</v>
      </c>
      <c r="G895" s="649"/>
    </row>
    <row r="896" spans="1:7">
      <c r="A896" s="725" t="s">
        <v>500</v>
      </c>
      <c r="B896" s="697" t="s">
        <v>40</v>
      </c>
      <c r="C896" s="1021">
        <v>30</v>
      </c>
      <c r="D896" s="19" t="s">
        <v>3</v>
      </c>
      <c r="E896" s="1021">
        <v>100</v>
      </c>
      <c r="F896" s="696">
        <f t="shared" si="24"/>
        <v>3000</v>
      </c>
      <c r="G896" s="649"/>
    </row>
    <row r="897" spans="1:7">
      <c r="A897" s="725" t="s">
        <v>501</v>
      </c>
      <c r="B897" s="697" t="s">
        <v>50</v>
      </c>
      <c r="C897" s="1021">
        <v>30</v>
      </c>
      <c r="D897" s="19" t="s">
        <v>3</v>
      </c>
      <c r="E897" s="1021">
        <v>15</v>
      </c>
      <c r="F897" s="696">
        <f t="shared" si="24"/>
        <v>450</v>
      </c>
      <c r="G897" s="649"/>
    </row>
    <row r="898" spans="1:7">
      <c r="A898" s="725" t="s">
        <v>502</v>
      </c>
      <c r="B898" s="697" t="s">
        <v>58</v>
      </c>
      <c r="C898" s="1021">
        <v>30</v>
      </c>
      <c r="D898" s="19" t="s">
        <v>3</v>
      </c>
      <c r="E898" s="1021">
        <v>2.95</v>
      </c>
      <c r="F898" s="696">
        <f t="shared" si="24"/>
        <v>88.5</v>
      </c>
      <c r="G898" s="649"/>
    </row>
    <row r="899" spans="1:7">
      <c r="A899" s="725" t="s">
        <v>503</v>
      </c>
      <c r="B899" s="697" t="s">
        <v>51</v>
      </c>
      <c r="C899" s="1021">
        <f>1.98*30</f>
        <v>59.4</v>
      </c>
      <c r="D899" s="19" t="s">
        <v>2</v>
      </c>
      <c r="E899" s="1021">
        <v>406.79</v>
      </c>
      <c r="F899" s="696">
        <f t="shared" si="24"/>
        <v>24163.33</v>
      </c>
      <c r="G899" s="649"/>
    </row>
    <row r="900" spans="1:7">
      <c r="A900" s="725" t="s">
        <v>504</v>
      </c>
      <c r="B900" s="710" t="s">
        <v>457</v>
      </c>
      <c r="C900" s="1016">
        <v>30</v>
      </c>
      <c r="D900" s="10" t="s">
        <v>3</v>
      </c>
      <c r="E900" s="886">
        <v>280</v>
      </c>
      <c r="F900" s="728">
        <f t="shared" si="24"/>
        <v>8400</v>
      </c>
      <c r="G900" s="649"/>
    </row>
    <row r="901" spans="1:7">
      <c r="A901" s="725" t="s">
        <v>505</v>
      </c>
      <c r="B901" s="697" t="s">
        <v>52</v>
      </c>
      <c r="C901" s="1021">
        <v>30</v>
      </c>
      <c r="D901" s="19" t="s">
        <v>3</v>
      </c>
      <c r="E901" s="1021">
        <v>250</v>
      </c>
      <c r="F901" s="696">
        <f>ROUND(C901*E901,2)</f>
        <v>7500</v>
      </c>
      <c r="G901" s="649"/>
    </row>
    <row r="902" spans="1:7">
      <c r="A902" s="702"/>
      <c r="B902" s="703"/>
      <c r="C902" s="1023"/>
      <c r="D902" s="704"/>
      <c r="E902" s="1023"/>
      <c r="F902" s="705"/>
      <c r="G902" s="649"/>
    </row>
    <row r="903" spans="1:7">
      <c r="A903" s="734">
        <v>8.1999999999999993</v>
      </c>
      <c r="B903" s="735" t="s">
        <v>473</v>
      </c>
      <c r="C903" s="1020"/>
      <c r="D903" s="723"/>
      <c r="E903" s="1019"/>
      <c r="F903" s="696"/>
      <c r="G903" s="649"/>
    </row>
    <row r="904" spans="1:7">
      <c r="A904" s="725" t="s">
        <v>506</v>
      </c>
      <c r="B904" s="697" t="s">
        <v>48</v>
      </c>
      <c r="C904" s="1021">
        <v>30</v>
      </c>
      <c r="D904" s="19" t="s">
        <v>3</v>
      </c>
      <c r="E904" s="1021">
        <v>230.1</v>
      </c>
      <c r="F904" s="696">
        <f t="shared" ref="F904:F917" si="25">ROUND(C904*E904,2)</f>
        <v>6903</v>
      </c>
      <c r="G904" s="649"/>
    </row>
    <row r="905" spans="1:7" ht="25.5">
      <c r="A905" s="725" t="s">
        <v>507</v>
      </c>
      <c r="B905" s="726" t="s">
        <v>53</v>
      </c>
      <c r="C905" s="1022">
        <f>6*30</f>
        <v>180</v>
      </c>
      <c r="D905" s="727" t="s">
        <v>1</v>
      </c>
      <c r="E905" s="1019">
        <v>28.32</v>
      </c>
      <c r="F905" s="696">
        <f t="shared" si="25"/>
        <v>5097.6000000000004</v>
      </c>
      <c r="G905" s="649"/>
    </row>
    <row r="906" spans="1:7">
      <c r="A906" s="725" t="s">
        <v>508</v>
      </c>
      <c r="B906" s="697" t="s">
        <v>49</v>
      </c>
      <c r="C906" s="1021">
        <v>30</v>
      </c>
      <c r="D906" s="19" t="s">
        <v>3</v>
      </c>
      <c r="E906" s="1021">
        <v>53.1</v>
      </c>
      <c r="F906" s="696">
        <f t="shared" si="25"/>
        <v>1593</v>
      </c>
      <c r="G906" s="649"/>
    </row>
    <row r="907" spans="1:7">
      <c r="A907" s="725" t="s">
        <v>509</v>
      </c>
      <c r="B907" s="697" t="s">
        <v>474</v>
      </c>
      <c r="C907" s="1021">
        <v>30</v>
      </c>
      <c r="D907" s="19" t="s">
        <v>3</v>
      </c>
      <c r="E907" s="1021">
        <v>23.6</v>
      </c>
      <c r="F907" s="696">
        <f t="shared" si="25"/>
        <v>708</v>
      </c>
      <c r="G907" s="649"/>
    </row>
    <row r="908" spans="1:7">
      <c r="A908" s="725" t="s">
        <v>510</v>
      </c>
      <c r="B908" s="697" t="s">
        <v>55</v>
      </c>
      <c r="C908" s="1021">
        <v>30</v>
      </c>
      <c r="D908" s="19" t="s">
        <v>3</v>
      </c>
      <c r="E908" s="1021">
        <v>84.53</v>
      </c>
      <c r="F908" s="696">
        <f t="shared" si="25"/>
        <v>2535.9</v>
      </c>
      <c r="G908" s="649"/>
    </row>
    <row r="909" spans="1:7">
      <c r="A909" s="725" t="s">
        <v>511</v>
      </c>
      <c r="B909" s="697" t="s">
        <v>475</v>
      </c>
      <c r="C909" s="1021">
        <v>30</v>
      </c>
      <c r="D909" s="19" t="s">
        <v>3</v>
      </c>
      <c r="E909" s="1021">
        <v>265.5</v>
      </c>
      <c r="F909" s="696">
        <f t="shared" si="25"/>
        <v>7965</v>
      </c>
      <c r="G909" s="649"/>
    </row>
    <row r="910" spans="1:7">
      <c r="A910" s="725" t="s">
        <v>512</v>
      </c>
      <c r="B910" s="697" t="s">
        <v>476</v>
      </c>
      <c r="C910" s="1021">
        <v>30</v>
      </c>
      <c r="D910" s="19" t="s">
        <v>3</v>
      </c>
      <c r="E910" s="1021">
        <v>35.4</v>
      </c>
      <c r="F910" s="736">
        <f t="shared" si="25"/>
        <v>1062</v>
      </c>
      <c r="G910" s="649"/>
    </row>
    <row r="911" spans="1:7">
      <c r="A911" s="725" t="s">
        <v>513</v>
      </c>
      <c r="B911" s="697" t="s">
        <v>477</v>
      </c>
      <c r="C911" s="1021">
        <v>30</v>
      </c>
      <c r="D911" s="19" t="s">
        <v>3</v>
      </c>
      <c r="E911" s="1021">
        <v>17.7</v>
      </c>
      <c r="F911" s="736">
        <f t="shared" si="25"/>
        <v>531</v>
      </c>
      <c r="G911" s="649"/>
    </row>
    <row r="912" spans="1:7">
      <c r="A912" s="725" t="s">
        <v>514</v>
      </c>
      <c r="B912" s="697" t="s">
        <v>478</v>
      </c>
      <c r="C912" s="1021">
        <v>30</v>
      </c>
      <c r="D912" s="19" t="s">
        <v>3</v>
      </c>
      <c r="E912" s="1021">
        <v>239.92</v>
      </c>
      <c r="F912" s="736">
        <f t="shared" si="25"/>
        <v>7197.6</v>
      </c>
      <c r="G912" s="649"/>
    </row>
    <row r="913" spans="1:7">
      <c r="A913" s="725" t="s">
        <v>515</v>
      </c>
      <c r="B913" s="697" t="s">
        <v>479</v>
      </c>
      <c r="C913" s="1021">
        <v>30</v>
      </c>
      <c r="D913" s="19" t="s">
        <v>3</v>
      </c>
      <c r="E913" s="1021">
        <v>200</v>
      </c>
      <c r="F913" s="696">
        <f t="shared" si="25"/>
        <v>6000</v>
      </c>
      <c r="G913" s="649"/>
    </row>
    <row r="914" spans="1:7">
      <c r="A914" s="725" t="s">
        <v>516</v>
      </c>
      <c r="B914" s="697" t="s">
        <v>50</v>
      </c>
      <c r="C914" s="1021">
        <v>30</v>
      </c>
      <c r="D914" s="19" t="s">
        <v>3</v>
      </c>
      <c r="E914" s="1021">
        <v>15</v>
      </c>
      <c r="F914" s="696">
        <f t="shared" si="25"/>
        <v>450</v>
      </c>
      <c r="G914" s="649"/>
    </row>
    <row r="915" spans="1:7">
      <c r="A915" s="725" t="s">
        <v>517</v>
      </c>
      <c r="B915" s="697" t="s">
        <v>51</v>
      </c>
      <c r="C915" s="1021">
        <f>1.98*30</f>
        <v>59.4</v>
      </c>
      <c r="D915" s="19" t="s">
        <v>2</v>
      </c>
      <c r="E915" s="1021">
        <v>406.79</v>
      </c>
      <c r="F915" s="696">
        <f t="shared" si="25"/>
        <v>24163.33</v>
      </c>
      <c r="G915" s="649"/>
    </row>
    <row r="916" spans="1:7">
      <c r="A916" s="725" t="s">
        <v>518</v>
      </c>
      <c r="B916" s="710" t="s">
        <v>457</v>
      </c>
      <c r="C916" s="1016">
        <v>30</v>
      </c>
      <c r="D916" s="10" t="s">
        <v>3</v>
      </c>
      <c r="E916" s="886">
        <v>280</v>
      </c>
      <c r="F916" s="728">
        <f t="shared" si="25"/>
        <v>8400</v>
      </c>
      <c r="G916" s="649"/>
    </row>
    <row r="917" spans="1:7">
      <c r="A917" s="725" t="s">
        <v>519</v>
      </c>
      <c r="B917" s="697" t="s">
        <v>52</v>
      </c>
      <c r="C917" s="1021">
        <v>30</v>
      </c>
      <c r="D917" s="19" t="s">
        <v>3</v>
      </c>
      <c r="E917" s="1021">
        <v>200</v>
      </c>
      <c r="F917" s="696">
        <f t="shared" si="25"/>
        <v>6000</v>
      </c>
      <c r="G917" s="649"/>
    </row>
    <row r="918" spans="1:7">
      <c r="A918" s="698"/>
      <c r="B918" s="697"/>
      <c r="C918" s="1021"/>
      <c r="D918" s="19"/>
      <c r="E918" s="1021"/>
      <c r="F918" s="696"/>
      <c r="G918" s="649"/>
    </row>
    <row r="919" spans="1:7">
      <c r="A919" s="721">
        <v>9</v>
      </c>
      <c r="B919" s="722" t="s">
        <v>59</v>
      </c>
      <c r="C919" s="1024"/>
      <c r="D919" s="730"/>
      <c r="E919" s="1027"/>
      <c r="F919" s="39">
        <f>+ROUND(C919*E919,2)</f>
        <v>0</v>
      </c>
      <c r="G919" s="649"/>
    </row>
    <row r="920" spans="1:7">
      <c r="A920" s="17">
        <v>4.0999999999999996</v>
      </c>
      <c r="B920" s="28" t="s">
        <v>1000</v>
      </c>
      <c r="C920" s="806">
        <f>890.37*1.03</f>
        <v>917.08</v>
      </c>
      <c r="D920" s="15" t="s">
        <v>1</v>
      </c>
      <c r="E920" s="803">
        <v>16.760000000000002</v>
      </c>
      <c r="F920" s="32">
        <f>+ROUND(C920*E920,2)</f>
        <v>15370.26</v>
      </c>
      <c r="G920" s="649"/>
    </row>
    <row r="921" spans="1:7">
      <c r="A921" s="17">
        <v>4.2</v>
      </c>
      <c r="B921" s="28" t="s">
        <v>999</v>
      </c>
      <c r="C921" s="806">
        <f>2686.42*1.02</f>
        <v>2740.15</v>
      </c>
      <c r="D921" s="15" t="s">
        <v>1</v>
      </c>
      <c r="E921" s="803">
        <v>10.01</v>
      </c>
      <c r="F921" s="32">
        <f>+ROUND(C921*E921,2)</f>
        <v>27428.9</v>
      </c>
      <c r="G921" s="649"/>
    </row>
    <row r="922" spans="1:7">
      <c r="A922" s="17">
        <v>4.3</v>
      </c>
      <c r="B922" s="28" t="s">
        <v>998</v>
      </c>
      <c r="C922" s="806">
        <f>2309.944*1.02</f>
        <v>2356.14</v>
      </c>
      <c r="D922" s="15" t="s">
        <v>1</v>
      </c>
      <c r="E922" s="803">
        <v>7.63</v>
      </c>
      <c r="F922" s="32">
        <f>+ROUND(C922*E922,2)</f>
        <v>17977.349999999999</v>
      </c>
      <c r="G922" s="649"/>
    </row>
    <row r="923" spans="1:7">
      <c r="A923" s="695"/>
      <c r="B923" s="18"/>
      <c r="C923" s="1016"/>
      <c r="D923" s="10"/>
      <c r="E923" s="1025"/>
      <c r="F923" s="39"/>
      <c r="G923" s="649"/>
    </row>
    <row r="924" spans="1:7" ht="38.25">
      <c r="A924" s="732">
        <v>10</v>
      </c>
      <c r="B924" s="697" t="s">
        <v>520</v>
      </c>
      <c r="C924" s="1019">
        <f>+C840</f>
        <v>4812</v>
      </c>
      <c r="D924" s="727" t="s">
        <v>1</v>
      </c>
      <c r="E924" s="1019">
        <v>50.15</v>
      </c>
      <c r="F924" s="696">
        <f>ROUND(C924*E924,2)</f>
        <v>241321.8</v>
      </c>
      <c r="G924" s="649"/>
    </row>
    <row r="925" spans="1:7">
      <c r="A925" s="709"/>
      <c r="B925" s="29"/>
      <c r="C925" s="1017"/>
      <c r="D925" s="727"/>
      <c r="E925" s="1017"/>
      <c r="F925" s="696"/>
      <c r="G925" s="649"/>
    </row>
    <row r="926" spans="1:7">
      <c r="A926" s="709">
        <v>11</v>
      </c>
      <c r="B926" s="29" t="s">
        <v>462</v>
      </c>
      <c r="C926" s="803">
        <f>+C924</f>
        <v>4812</v>
      </c>
      <c r="D926" s="727" t="s">
        <v>1</v>
      </c>
      <c r="E926" s="1017">
        <v>21</v>
      </c>
      <c r="F926" s="696">
        <f>ROUND(C926*E926,2)</f>
        <v>101052</v>
      </c>
      <c r="G926" s="649"/>
    </row>
    <row r="927" spans="1:7">
      <c r="A927" s="663"/>
      <c r="B927" s="693" t="s">
        <v>974</v>
      </c>
      <c r="C927" s="665"/>
      <c r="D927" s="666"/>
      <c r="E927" s="665"/>
      <c r="F927" s="667">
        <f>SUM(F840:F926)</f>
        <v>8748928.2699999996</v>
      </c>
      <c r="G927" s="649"/>
    </row>
    <row r="928" spans="1:7">
      <c r="A928" s="720"/>
      <c r="B928" s="28"/>
      <c r="C928" s="733"/>
      <c r="D928" s="9"/>
      <c r="E928" s="22"/>
      <c r="F928" s="39"/>
      <c r="G928" s="649"/>
    </row>
    <row r="929" spans="1:7">
      <c r="A929" s="720"/>
      <c r="B929" s="28"/>
      <c r="C929" s="733"/>
      <c r="D929" s="9"/>
      <c r="E929" s="22"/>
      <c r="F929" s="39"/>
      <c r="G929" s="649"/>
    </row>
    <row r="930" spans="1:7">
      <c r="A930" s="720"/>
      <c r="B930" s="28"/>
      <c r="C930" s="733"/>
      <c r="D930" s="9"/>
      <c r="E930" s="22"/>
      <c r="F930" s="39"/>
      <c r="G930" s="649"/>
    </row>
    <row r="931" spans="1:7" ht="25.5">
      <c r="A931" s="708" t="s">
        <v>546</v>
      </c>
      <c r="B931" s="51" t="s">
        <v>1213</v>
      </c>
      <c r="C931" s="22"/>
      <c r="D931" s="9"/>
      <c r="E931" s="31"/>
      <c r="F931" s="39"/>
      <c r="G931" s="649"/>
    </row>
    <row r="932" spans="1:7">
      <c r="A932" s="27"/>
      <c r="B932" s="51"/>
      <c r="C932" s="22"/>
      <c r="D932" s="9"/>
      <c r="E932" s="31"/>
      <c r="F932" s="39"/>
      <c r="G932" s="649"/>
    </row>
    <row r="933" spans="1:7">
      <c r="A933" s="720">
        <v>1</v>
      </c>
      <c r="B933" s="28" t="s">
        <v>37</v>
      </c>
      <c r="C933" s="1045">
        <f>+'MT-G'!C26</f>
        <v>4812</v>
      </c>
      <c r="D933" s="9" t="s">
        <v>1</v>
      </c>
      <c r="E933" s="803">
        <v>15</v>
      </c>
      <c r="F933" s="39">
        <f t="shared" ref="F933:F948" si="26">+ROUND(C933*E933,2)</f>
        <v>72180</v>
      </c>
      <c r="G933" s="649"/>
    </row>
    <row r="934" spans="1:7">
      <c r="A934" s="720"/>
      <c r="B934" s="28"/>
      <c r="C934" s="1045"/>
      <c r="D934" s="9"/>
      <c r="E934" s="803"/>
      <c r="F934" s="39"/>
      <c r="G934" s="649"/>
    </row>
    <row r="935" spans="1:7">
      <c r="A935" s="16">
        <v>2</v>
      </c>
      <c r="B935" s="711" t="s">
        <v>14</v>
      </c>
      <c r="C935" s="804"/>
      <c r="D935" s="10"/>
      <c r="E935" s="1039"/>
      <c r="F935" s="39">
        <f t="shared" si="26"/>
        <v>0</v>
      </c>
      <c r="G935" s="649"/>
    </row>
    <row r="936" spans="1:7">
      <c r="A936" s="1204" t="s">
        <v>1182</v>
      </c>
      <c r="B936" s="1205" t="s">
        <v>1187</v>
      </c>
      <c r="C936" s="805">
        <f>+'MT-G'!I59</f>
        <v>4807.1899999999996</v>
      </c>
      <c r="D936" s="1206" t="s">
        <v>2</v>
      </c>
      <c r="E936" s="1207">
        <v>154.53</v>
      </c>
      <c r="F936" s="1040">
        <f t="shared" si="26"/>
        <v>742855.07</v>
      </c>
      <c r="G936" s="1208"/>
    </row>
    <row r="937" spans="1:7" ht="25.5">
      <c r="A937" s="1204" t="s">
        <v>1183</v>
      </c>
      <c r="B937" s="1205" t="s">
        <v>1188</v>
      </c>
      <c r="C937" s="805">
        <f>+'MT-G'!I58</f>
        <v>534.13</v>
      </c>
      <c r="D937" s="1206" t="s">
        <v>2</v>
      </c>
      <c r="E937" s="1207">
        <v>1125.8</v>
      </c>
      <c r="F937" s="1040">
        <f t="shared" si="26"/>
        <v>601323.55000000005</v>
      </c>
      <c r="G937" s="1208"/>
    </row>
    <row r="938" spans="1:7">
      <c r="A938" s="715">
        <v>2.2000000000000002</v>
      </c>
      <c r="B938" s="716" t="s">
        <v>4</v>
      </c>
      <c r="C938" s="805">
        <f>+'MT-G'!I28</f>
        <v>409.02</v>
      </c>
      <c r="D938" s="713" t="s">
        <v>2</v>
      </c>
      <c r="E938" s="1207">
        <v>1108.8900000000001</v>
      </c>
      <c r="F938" s="32">
        <f t="shared" si="26"/>
        <v>453558.19</v>
      </c>
      <c r="G938" s="649"/>
    </row>
    <row r="939" spans="1:7" ht="38.25">
      <c r="A939" s="715">
        <v>2.2999999999999998</v>
      </c>
      <c r="B939" s="717" t="s">
        <v>483</v>
      </c>
      <c r="C939" s="805">
        <f>+C937*1.25</f>
        <v>667.66</v>
      </c>
      <c r="D939" s="713" t="s">
        <v>2</v>
      </c>
      <c r="E939" s="1207">
        <v>668.95</v>
      </c>
      <c r="F939" s="32">
        <f t="shared" si="26"/>
        <v>446631.16</v>
      </c>
      <c r="G939" s="649"/>
    </row>
    <row r="940" spans="1:7" ht="25.5">
      <c r="A940" s="12">
        <v>2.4</v>
      </c>
      <c r="B940" s="18" t="s">
        <v>409</v>
      </c>
      <c r="C940" s="805">
        <f>+'MT-G'!I30</f>
        <v>4351.97</v>
      </c>
      <c r="D940" s="713" t="s">
        <v>2</v>
      </c>
      <c r="E940" s="1207">
        <v>183.5</v>
      </c>
      <c r="F940" s="32">
        <f t="shared" si="26"/>
        <v>798586.5</v>
      </c>
      <c r="G940" s="649"/>
    </row>
    <row r="941" spans="1:7">
      <c r="A941" s="715">
        <v>2.5</v>
      </c>
      <c r="B941" s="716" t="s">
        <v>35</v>
      </c>
      <c r="C941" s="805">
        <f>+C937*1.4+'MT-G'!I32</f>
        <v>1935</v>
      </c>
      <c r="D941" s="713" t="s">
        <v>2</v>
      </c>
      <c r="E941" s="1207">
        <v>165</v>
      </c>
      <c r="F941" s="32">
        <f t="shared" si="26"/>
        <v>319275</v>
      </c>
      <c r="G941" s="649"/>
    </row>
    <row r="942" spans="1:7">
      <c r="A942" s="12"/>
      <c r="B942" s="28"/>
      <c r="C942" s="803"/>
      <c r="D942" s="9"/>
      <c r="E942" s="803"/>
      <c r="F942" s="32">
        <f t="shared" si="26"/>
        <v>0</v>
      </c>
      <c r="G942" s="649"/>
    </row>
    <row r="943" spans="1:7">
      <c r="A943" s="718">
        <v>3</v>
      </c>
      <c r="B943" s="711" t="s">
        <v>25</v>
      </c>
      <c r="C943" s="804"/>
      <c r="D943" s="10"/>
      <c r="E943" s="1039"/>
      <c r="F943" s="32">
        <f t="shared" si="26"/>
        <v>0</v>
      </c>
      <c r="G943" s="649"/>
    </row>
    <row r="944" spans="1:7">
      <c r="A944" s="17">
        <v>3.1</v>
      </c>
      <c r="B944" s="28" t="s">
        <v>993</v>
      </c>
      <c r="C944" s="806">
        <f>+C933*1.04</f>
        <v>5004.4799999999996</v>
      </c>
      <c r="D944" s="15" t="s">
        <v>1</v>
      </c>
      <c r="E944" s="806">
        <v>3714.36</v>
      </c>
      <c r="F944" s="32">
        <f t="shared" si="26"/>
        <v>18588440.329999998</v>
      </c>
      <c r="G944" s="649"/>
    </row>
    <row r="945" spans="1:7">
      <c r="A945" s="719"/>
      <c r="B945" s="51"/>
      <c r="C945" s="803"/>
      <c r="D945" s="9"/>
      <c r="E945" s="803"/>
      <c r="F945" s="32">
        <f t="shared" si="26"/>
        <v>0</v>
      </c>
      <c r="G945" s="649"/>
    </row>
    <row r="946" spans="1:7">
      <c r="A946" s="720">
        <v>4</v>
      </c>
      <c r="B946" s="51" t="s">
        <v>26</v>
      </c>
      <c r="C946" s="803"/>
      <c r="D946" s="9"/>
      <c r="E946" s="803"/>
      <c r="F946" s="39">
        <f t="shared" si="26"/>
        <v>0</v>
      </c>
      <c r="G946" s="649"/>
    </row>
    <row r="947" spans="1:7">
      <c r="A947" s="17">
        <v>4.0999999999999996</v>
      </c>
      <c r="B947" s="28" t="s">
        <v>993</v>
      </c>
      <c r="C947" s="806">
        <f>+C944</f>
        <v>5004.4799999999996</v>
      </c>
      <c r="D947" s="1046" t="s">
        <v>1</v>
      </c>
      <c r="E947" s="1047">
        <v>55.55</v>
      </c>
      <c r="F947" s="39">
        <f>+ROUND(C947*E947,2)</f>
        <v>277998.86</v>
      </c>
      <c r="G947" s="649"/>
    </row>
    <row r="948" spans="1:7">
      <c r="A948" s="739"/>
      <c r="B948" s="740"/>
      <c r="C948" s="854"/>
      <c r="D948" s="741"/>
      <c r="E948" s="1050"/>
      <c r="F948" s="742">
        <f t="shared" si="26"/>
        <v>0</v>
      </c>
      <c r="G948" s="649"/>
    </row>
    <row r="949" spans="1:7">
      <c r="A949" s="746">
        <v>5</v>
      </c>
      <c r="B949" s="744" t="s">
        <v>486</v>
      </c>
      <c r="C949" s="806"/>
      <c r="D949" s="1046"/>
      <c r="E949" s="1047"/>
      <c r="F949" s="1048"/>
      <c r="G949" s="649"/>
    </row>
    <row r="950" spans="1:7" ht="25.5">
      <c r="A950" s="17">
        <v>5.0999999999999996</v>
      </c>
      <c r="B950" s="1217" t="s">
        <v>1190</v>
      </c>
      <c r="C950" s="1216">
        <v>57</v>
      </c>
      <c r="D950" s="1223" t="s">
        <v>3</v>
      </c>
      <c r="E950" s="1224">
        <v>8809.77</v>
      </c>
      <c r="F950" s="724">
        <f>ROUND(C950*E950,2)</f>
        <v>502156.89</v>
      </c>
      <c r="G950" s="649"/>
    </row>
    <row r="951" spans="1:7" ht="25.5">
      <c r="A951" s="17">
        <v>5.2</v>
      </c>
      <c r="B951" s="1312" t="s">
        <v>1191</v>
      </c>
      <c r="C951" s="1216">
        <v>3</v>
      </c>
      <c r="D951" s="1223" t="s">
        <v>3</v>
      </c>
      <c r="E951" s="1224">
        <v>11665.37</v>
      </c>
      <c r="F951" s="724">
        <f>ROUND(C951*E951,2)</f>
        <v>34996.11</v>
      </c>
      <c r="G951" s="649"/>
    </row>
    <row r="952" spans="1:7">
      <c r="A952" s="17">
        <v>5.3</v>
      </c>
      <c r="B952" s="1217" t="s">
        <v>1214</v>
      </c>
      <c r="C952" s="1216">
        <v>120</v>
      </c>
      <c r="D952" s="1223" t="s">
        <v>3</v>
      </c>
      <c r="E952" s="1224">
        <v>4516.01</v>
      </c>
      <c r="F952" s="724">
        <f>ROUND(C952*E952,2)</f>
        <v>541921.19999999995</v>
      </c>
      <c r="G952" s="649"/>
    </row>
    <row r="953" spans="1:7">
      <c r="A953" s="743">
        <v>5.7</v>
      </c>
      <c r="B953" s="745" t="s">
        <v>487</v>
      </c>
      <c r="C953" s="1216">
        <v>60</v>
      </c>
      <c r="D953" s="1223" t="s">
        <v>3</v>
      </c>
      <c r="E953" s="1216">
        <f>+E37</f>
        <v>0</v>
      </c>
      <c r="F953" s="724">
        <f>ROUND(C953*E953,2)</f>
        <v>0</v>
      </c>
      <c r="G953" s="649"/>
    </row>
    <row r="954" spans="1:7" ht="25.5">
      <c r="A954" s="1320">
        <v>6.3</v>
      </c>
      <c r="B954" s="1325" t="s">
        <v>413</v>
      </c>
      <c r="C954" s="1321">
        <v>1</v>
      </c>
      <c r="D954" s="1322" t="s">
        <v>3</v>
      </c>
      <c r="E954" s="1323">
        <v>1500</v>
      </c>
      <c r="F954" s="1311">
        <f>+ROUND(C954*E954,2)</f>
        <v>1500</v>
      </c>
      <c r="G954" s="1324"/>
    </row>
    <row r="955" spans="1:7">
      <c r="A955" s="1320">
        <v>6.4</v>
      </c>
      <c r="B955" s="1383" t="s">
        <v>480</v>
      </c>
      <c r="C955" s="1384">
        <v>4</v>
      </c>
      <c r="D955" s="1385" t="s">
        <v>47</v>
      </c>
      <c r="E955" s="802">
        <v>397.75</v>
      </c>
      <c r="F955" s="1215">
        <f>+ROUND(C955*E955,2)</f>
        <v>1591</v>
      </c>
      <c r="G955" s="1324"/>
    </row>
    <row r="956" spans="1:7">
      <c r="A956" s="17"/>
      <c r="B956" s="18"/>
      <c r="C956" s="804"/>
      <c r="D956" s="1049"/>
      <c r="E956" s="1039"/>
      <c r="F956" s="47"/>
      <c r="G956" s="649"/>
    </row>
    <row r="957" spans="1:7">
      <c r="A957" s="721">
        <v>7</v>
      </c>
      <c r="B957" s="722" t="s">
        <v>39</v>
      </c>
      <c r="C957" s="804"/>
      <c r="D957" s="1049"/>
      <c r="E957" s="1039"/>
      <c r="F957" s="39">
        <f>+ROUND(C957*E957,2)</f>
        <v>0</v>
      </c>
      <c r="G957" s="649"/>
    </row>
    <row r="958" spans="1:7">
      <c r="A958" s="695">
        <v>7.1</v>
      </c>
      <c r="B958" s="18" t="s">
        <v>994</v>
      </c>
      <c r="C958" s="804">
        <v>16</v>
      </c>
      <c r="D958" s="10" t="s">
        <v>3</v>
      </c>
      <c r="E958" s="1039">
        <v>38964.559999999998</v>
      </c>
      <c r="F958" s="47">
        <f>+ROUND(C958*E958,2)</f>
        <v>623432.95999999996</v>
      </c>
      <c r="G958" s="649"/>
    </row>
    <row r="959" spans="1:7">
      <c r="A959" s="695">
        <v>7.1</v>
      </c>
      <c r="B959" s="18" t="s">
        <v>1215</v>
      </c>
      <c r="C959" s="804">
        <v>5</v>
      </c>
      <c r="D959" s="10" t="s">
        <v>3</v>
      </c>
      <c r="E959" s="1039">
        <f>+E46</f>
        <v>14652.98</v>
      </c>
      <c r="F959" s="47">
        <f>+ROUND(C959*E959,2)</f>
        <v>73264.899999999994</v>
      </c>
      <c r="G959" s="649"/>
    </row>
    <row r="960" spans="1:7">
      <c r="A960" s="695">
        <v>7.2</v>
      </c>
      <c r="B960" s="18" t="s">
        <v>983</v>
      </c>
      <c r="C960" s="804">
        <v>15</v>
      </c>
      <c r="D960" s="1049" t="s">
        <v>3</v>
      </c>
      <c r="E960" s="1039">
        <f>+E638</f>
        <v>40718.379999999997</v>
      </c>
      <c r="F960" s="47">
        <f>+ROUND(C960*E960,2)</f>
        <v>610775.69999999995</v>
      </c>
      <c r="G960" s="649"/>
    </row>
    <row r="961" spans="1:7">
      <c r="A961" s="695">
        <v>7.2</v>
      </c>
      <c r="B961" s="18" t="s">
        <v>414</v>
      </c>
      <c r="C961" s="804">
        <f>+C960</f>
        <v>15</v>
      </c>
      <c r="D961" s="1049" t="s">
        <v>3</v>
      </c>
      <c r="E961" s="1039">
        <v>3500</v>
      </c>
      <c r="F961" s="39">
        <f>+ROUND(C961*E961,2)</f>
        <v>52500</v>
      </c>
      <c r="G961" s="649"/>
    </row>
    <row r="962" spans="1:7">
      <c r="A962" s="17"/>
      <c r="B962" s="28"/>
      <c r="C962" s="806"/>
      <c r="D962" s="1046"/>
      <c r="E962" s="1047"/>
      <c r="F962" s="39"/>
      <c r="G962" s="649"/>
    </row>
    <row r="963" spans="1:7">
      <c r="A963" s="721">
        <v>9</v>
      </c>
      <c r="B963" s="722" t="s">
        <v>59</v>
      </c>
      <c r="C963" s="855"/>
      <c r="D963" s="1386"/>
      <c r="E963" s="1051"/>
      <c r="F963" s="39">
        <f>+ROUND(C963*E963,2)</f>
        <v>0</v>
      </c>
      <c r="G963" s="649"/>
    </row>
    <row r="964" spans="1:7">
      <c r="A964" s="695">
        <v>9.1</v>
      </c>
      <c r="B964" s="18" t="s">
        <v>993</v>
      </c>
      <c r="C964" s="804">
        <f>+C933</f>
        <v>4812</v>
      </c>
      <c r="D964" s="10" t="s">
        <v>1</v>
      </c>
      <c r="E964" s="1039">
        <v>53.28</v>
      </c>
      <c r="F964" s="39">
        <f>+ROUND(C964*E964,2)</f>
        <v>256383.35999999999</v>
      </c>
      <c r="G964" s="649"/>
    </row>
    <row r="965" spans="1:7">
      <c r="A965" s="695"/>
      <c r="B965" s="18"/>
      <c r="C965" s="804"/>
      <c r="D965" s="1049"/>
      <c r="E965" s="1039"/>
      <c r="F965" s="39"/>
      <c r="G965" s="649"/>
    </row>
    <row r="966" spans="1:7" ht="38.25">
      <c r="A966" s="732">
        <v>10</v>
      </c>
      <c r="B966" s="697" t="s">
        <v>520</v>
      </c>
      <c r="C966" s="1216">
        <f>+C933</f>
        <v>4812</v>
      </c>
      <c r="D966" s="1223" t="s">
        <v>1</v>
      </c>
      <c r="E966" s="1216">
        <v>50.15</v>
      </c>
      <c r="F966" s="696">
        <f>ROUND(C966*E966,2)</f>
        <v>241321.8</v>
      </c>
      <c r="G966" s="649"/>
    </row>
    <row r="967" spans="1:7">
      <c r="A967" s="709"/>
      <c r="B967" s="29"/>
      <c r="C967" s="803"/>
      <c r="D967" s="1223"/>
      <c r="E967" s="803"/>
      <c r="F967" s="696"/>
      <c r="G967" s="649"/>
    </row>
    <row r="968" spans="1:7">
      <c r="A968" s="709">
        <v>11</v>
      </c>
      <c r="B968" s="29" t="s">
        <v>462</v>
      </c>
      <c r="C968" s="803">
        <f>+C966</f>
        <v>4812</v>
      </c>
      <c r="D968" s="1223" t="s">
        <v>1</v>
      </c>
      <c r="E968" s="803">
        <v>21</v>
      </c>
      <c r="F968" s="696">
        <f>ROUND(C968*E968,2)</f>
        <v>101052</v>
      </c>
      <c r="G968" s="649"/>
    </row>
    <row r="969" spans="1:7">
      <c r="A969" s="663"/>
      <c r="B969" s="693" t="s">
        <v>974</v>
      </c>
      <c r="C969" s="665"/>
      <c r="D969" s="666"/>
      <c r="E969" s="665"/>
      <c r="F969" s="667">
        <f>SUM(F933:F968)</f>
        <v>25341744.579999998</v>
      </c>
      <c r="G969" s="649"/>
    </row>
    <row r="970" spans="1:7">
      <c r="A970" s="651"/>
      <c r="B970" s="26"/>
      <c r="C970" s="31"/>
      <c r="D970" s="652"/>
      <c r="E970" s="31"/>
      <c r="F970" s="653"/>
      <c r="G970" s="649"/>
    </row>
    <row r="971" spans="1:7">
      <c r="A971" s="737" t="s">
        <v>32</v>
      </c>
      <c r="B971" s="722" t="s">
        <v>33</v>
      </c>
      <c r="C971" s="729"/>
      <c r="D971" s="730"/>
      <c r="E971" s="731"/>
      <c r="F971" s="33"/>
      <c r="G971" s="649"/>
    </row>
    <row r="972" spans="1:7" ht="63.75">
      <c r="A972" s="738">
        <v>1</v>
      </c>
      <c r="B972" s="18" t="s">
        <v>1177</v>
      </c>
      <c r="C972" s="712">
        <v>1</v>
      </c>
      <c r="D972" s="713" t="s">
        <v>3</v>
      </c>
      <c r="E972" s="714">
        <v>42316.79</v>
      </c>
      <c r="F972" s="32">
        <f>+ROUND(C972*E972,2)</f>
        <v>42316.79</v>
      </c>
      <c r="G972" s="649"/>
    </row>
    <row r="973" spans="1:7" ht="38.25">
      <c r="A973" s="1202">
        <v>2</v>
      </c>
      <c r="B973" s="1201" t="s">
        <v>458</v>
      </c>
      <c r="C973" s="712">
        <v>4</v>
      </c>
      <c r="D973" s="713" t="s">
        <v>521</v>
      </c>
      <c r="E973" s="714">
        <v>35000</v>
      </c>
      <c r="F973" s="32">
        <f>+ROUND(C973*E973,2)</f>
        <v>140000</v>
      </c>
      <c r="G973" s="852"/>
    </row>
    <row r="974" spans="1:7">
      <c r="A974" s="663"/>
      <c r="B974" s="693" t="s">
        <v>34</v>
      </c>
      <c r="C974" s="665"/>
      <c r="D974" s="666"/>
      <c r="E974" s="665"/>
      <c r="F974" s="667">
        <f>SUM(F972:F973)</f>
        <v>182316.79</v>
      </c>
      <c r="G974" s="649"/>
    </row>
    <row r="975" spans="1:7">
      <c r="A975" s="27"/>
      <c r="B975" s="18"/>
      <c r="C975" s="11"/>
      <c r="D975" s="10"/>
      <c r="E975" s="30"/>
      <c r="F975" s="13"/>
      <c r="G975" s="649"/>
    </row>
    <row r="976" spans="1:7">
      <c r="A976" s="683"/>
      <c r="B976" s="684" t="s">
        <v>15</v>
      </c>
      <c r="C976" s="685"/>
      <c r="D976" s="686"/>
      <c r="E976" s="685"/>
      <c r="F976" s="687" t="e">
        <f>+F57+F608+F646+F822+F927+F969+F974</f>
        <v>#REF!</v>
      </c>
      <c r="G976" s="706"/>
    </row>
    <row r="977" spans="1:7">
      <c r="A977" s="688"/>
      <c r="B977" s="689" t="s">
        <v>15</v>
      </c>
      <c r="C977" s="690"/>
      <c r="D977" s="691"/>
      <c r="E977" s="690"/>
      <c r="F977" s="692" t="e">
        <f>+F976</f>
        <v>#REF!</v>
      </c>
    </row>
    <row r="978" spans="1:7">
      <c r="A978" s="27"/>
      <c r="B978" s="48" t="s">
        <v>16</v>
      </c>
      <c r="C978" s="41"/>
      <c r="D978" s="662"/>
      <c r="E978" s="40"/>
      <c r="F978" s="40"/>
    </row>
    <row r="979" spans="1:7">
      <c r="A979" s="27"/>
      <c r="B979" s="48" t="s">
        <v>17</v>
      </c>
      <c r="C979" s="42">
        <v>0.1</v>
      </c>
      <c r="D979" s="662"/>
      <c r="E979" s="40"/>
      <c r="F979" s="668" t="e">
        <f t="shared" ref="F979:F984" si="27">+ROUND($F$977*C979,2)</f>
        <v>#REF!</v>
      </c>
    </row>
    <row r="980" spans="1:7">
      <c r="A980" s="27"/>
      <c r="B980" s="48" t="s">
        <v>8</v>
      </c>
      <c r="C980" s="42">
        <v>0.04</v>
      </c>
      <c r="D980" s="662"/>
      <c r="E980" s="40"/>
      <c r="F980" s="668" t="e">
        <f t="shared" si="27"/>
        <v>#REF!</v>
      </c>
    </row>
    <row r="981" spans="1:7">
      <c r="A981" s="27"/>
      <c r="B981" s="48" t="s">
        <v>18</v>
      </c>
      <c r="C981" s="42">
        <v>0.04</v>
      </c>
      <c r="D981" s="662"/>
      <c r="E981" s="40"/>
      <c r="F981" s="668" t="e">
        <f t="shared" si="27"/>
        <v>#REF!</v>
      </c>
    </row>
    <row r="982" spans="1:7">
      <c r="A982" s="27"/>
      <c r="B982" s="48" t="s">
        <v>19</v>
      </c>
      <c r="C982" s="42">
        <v>0.04</v>
      </c>
      <c r="D982" s="662"/>
      <c r="E982" s="40"/>
      <c r="F982" s="668" t="e">
        <f t="shared" si="27"/>
        <v>#REF!</v>
      </c>
    </row>
    <row r="983" spans="1:7">
      <c r="A983" s="27"/>
      <c r="B983" s="48" t="s">
        <v>20</v>
      </c>
      <c r="C983" s="42">
        <v>0.05</v>
      </c>
      <c r="D983" s="662"/>
      <c r="E983" s="40"/>
      <c r="F983" s="668" t="e">
        <f t="shared" si="27"/>
        <v>#REF!</v>
      </c>
    </row>
    <row r="984" spans="1:7">
      <c r="A984" s="40"/>
      <c r="B984" s="48" t="s">
        <v>21</v>
      </c>
      <c r="C984" s="42">
        <v>0.01</v>
      </c>
      <c r="D984" s="662"/>
      <c r="E984" s="40"/>
      <c r="F984" s="668" t="e">
        <f t="shared" si="27"/>
        <v>#REF!</v>
      </c>
    </row>
    <row r="985" spans="1:7">
      <c r="A985" s="40"/>
      <c r="B985" s="48" t="s">
        <v>22</v>
      </c>
      <c r="C985" s="42">
        <v>0.18</v>
      </c>
      <c r="D985" s="662"/>
      <c r="E985" s="40"/>
      <c r="F985" s="43" t="e">
        <f>+ROUND(C985*$F$979,2)</f>
        <v>#REF!</v>
      </c>
      <c r="G985" s="701"/>
    </row>
    <row r="986" spans="1:7">
      <c r="A986" s="40"/>
      <c r="B986" s="48" t="s">
        <v>459</v>
      </c>
      <c r="C986" s="42">
        <v>1E-3</v>
      </c>
      <c r="D986" s="662"/>
      <c r="E986" s="40"/>
      <c r="F986" s="43" t="e">
        <f>+ROUND(C986*$F$977,2)</f>
        <v>#REF!</v>
      </c>
      <c r="G986" s="7"/>
    </row>
    <row r="987" spans="1:7">
      <c r="A987" s="40"/>
      <c r="B987" s="48" t="s">
        <v>24</v>
      </c>
      <c r="C987" s="42">
        <v>0.05</v>
      </c>
      <c r="D987" s="662"/>
      <c r="E987" s="40"/>
      <c r="F987" s="668" t="e">
        <f>+ROUND($F$977*C987,2)</f>
        <v>#REF!</v>
      </c>
      <c r="G987" s="7"/>
    </row>
    <row r="988" spans="1:7">
      <c r="A988" s="40"/>
      <c r="B988" s="48" t="s">
        <v>64</v>
      </c>
      <c r="C988" s="42">
        <v>0.1</v>
      </c>
      <c r="D988" s="662"/>
      <c r="E988" s="40"/>
      <c r="F988" s="668" t="e">
        <f>+ROUND($F$977*C988,2)</f>
        <v>#REF!</v>
      </c>
      <c r="G988" s="7"/>
    </row>
    <row r="989" spans="1:7">
      <c r="A989" s="40"/>
      <c r="B989" s="48" t="s">
        <v>36</v>
      </c>
      <c r="C989" s="43">
        <v>1</v>
      </c>
      <c r="D989" s="662" t="s">
        <v>3</v>
      </c>
      <c r="E989" s="40"/>
      <c r="F989" s="43">
        <v>40000</v>
      </c>
      <c r="G989" s="7"/>
    </row>
    <row r="990" spans="1:7">
      <c r="A990" s="663"/>
      <c r="B990" s="664" t="s">
        <v>23</v>
      </c>
      <c r="C990" s="665"/>
      <c r="D990" s="666"/>
      <c r="E990" s="665"/>
      <c r="F990" s="667" t="e">
        <f>SUM(F979:F989)</f>
        <v>#REF!</v>
      </c>
      <c r="G990" s="7"/>
    </row>
    <row r="991" spans="1:7">
      <c r="A991" s="651"/>
      <c r="B991" s="2"/>
      <c r="C991" s="31"/>
      <c r="D991" s="652"/>
      <c r="E991" s="31"/>
      <c r="F991" s="653"/>
      <c r="G991" s="7"/>
    </row>
    <row r="992" spans="1:7">
      <c r="A992" s="664"/>
      <c r="B992" s="664" t="s">
        <v>460</v>
      </c>
      <c r="C992" s="676"/>
      <c r="D992" s="677"/>
      <c r="E992" s="676"/>
      <c r="F992" s="678" t="e">
        <f>+F977+F990</f>
        <v>#REF!</v>
      </c>
      <c r="G992" s="7"/>
    </row>
    <row r="993" spans="1:7">
      <c r="A993" s="2"/>
      <c r="B993" s="2"/>
      <c r="C993" s="669"/>
      <c r="D993" s="670"/>
      <c r="E993" s="669"/>
      <c r="F993" s="671"/>
      <c r="G993" s="7"/>
    </row>
    <row r="994" spans="1:7">
      <c r="A994" s="679"/>
      <c r="B994" s="679" t="s">
        <v>461</v>
      </c>
      <c r="C994" s="680"/>
      <c r="D994" s="681"/>
      <c r="E994" s="680"/>
      <c r="F994" s="682" t="e">
        <f>+F992</f>
        <v>#REF!</v>
      </c>
      <c r="G994" s="7"/>
    </row>
    <row r="995" spans="1:7">
      <c r="A995" s="672"/>
      <c r="B995" s="672"/>
      <c r="C995" s="673"/>
      <c r="D995" s="674"/>
      <c r="E995" s="673"/>
      <c r="F995" s="675"/>
      <c r="G995" s="7"/>
    </row>
    <row r="996" spans="1:7">
      <c r="A996" s="672"/>
      <c r="B996" s="672"/>
      <c r="C996" s="673"/>
      <c r="D996" s="674"/>
      <c r="E996" s="673"/>
      <c r="F996" s="675"/>
      <c r="G996" s="7"/>
    </row>
    <row r="997" spans="1:7">
      <c r="A997" s="672"/>
      <c r="B997" s="672"/>
      <c r="C997" s="673"/>
      <c r="D997" s="674"/>
      <c r="E997" s="673"/>
      <c r="F997" s="675"/>
      <c r="G997" s="7"/>
    </row>
    <row r="998" spans="1:7">
      <c r="A998" s="672"/>
      <c r="B998" s="672"/>
      <c r="C998" s="673"/>
      <c r="D998" s="674"/>
      <c r="E998" s="673"/>
      <c r="F998" s="675"/>
      <c r="G998" s="7"/>
    </row>
    <row r="999" spans="1:7">
      <c r="A999" s="6"/>
      <c r="B999" s="6"/>
      <c r="C999" s="23"/>
      <c r="D999" s="1412"/>
      <c r="E999" s="23"/>
      <c r="F999" s="700"/>
      <c r="G999" s="7"/>
    </row>
    <row r="1000" spans="1:7">
      <c r="A1000" s="4769" t="s">
        <v>463</v>
      </c>
      <c r="B1000" s="4769"/>
      <c r="C1000" s="4769" t="s">
        <v>464</v>
      </c>
      <c r="D1000" s="4769"/>
      <c r="E1000" s="4769"/>
      <c r="F1000" s="4769"/>
      <c r="G1000" s="7"/>
    </row>
    <row r="1001" spans="1:7">
      <c r="A1001" s="6"/>
      <c r="B1001" s="6"/>
      <c r="C1001" s="23"/>
      <c r="D1001" s="1412"/>
      <c r="E1001" s="23"/>
      <c r="F1001" s="700"/>
      <c r="G1001" s="7"/>
    </row>
    <row r="1002" spans="1:7">
      <c r="A1002" s="6"/>
      <c r="B1002" s="6"/>
      <c r="C1002" s="23"/>
      <c r="D1002" s="1412"/>
      <c r="E1002" s="23"/>
      <c r="F1002" s="700"/>
      <c r="G1002" s="7"/>
    </row>
    <row r="1003" spans="1:7">
      <c r="A1003" s="6"/>
      <c r="B1003" s="6"/>
      <c r="C1003" s="23"/>
      <c r="D1003" s="1412"/>
      <c r="E1003" s="23"/>
      <c r="F1003" s="700"/>
      <c r="G1003" s="7"/>
    </row>
    <row r="1004" spans="1:7">
      <c r="A1004" s="4769" t="s">
        <v>1003</v>
      </c>
      <c r="B1004" s="4769"/>
      <c r="C1004" s="4769" t="s">
        <v>485</v>
      </c>
      <c r="D1004" s="4769"/>
      <c r="E1004" s="4769"/>
      <c r="F1004" s="4769"/>
    </row>
    <row r="1005" spans="1:7">
      <c r="A1005" s="6" t="s">
        <v>465</v>
      </c>
      <c r="B1005" s="6"/>
      <c r="C1005" s="4769" t="s">
        <v>466</v>
      </c>
      <c r="D1005" s="4769"/>
      <c r="E1005" s="4769"/>
      <c r="F1005" s="4769"/>
    </row>
    <row r="1006" spans="1:7">
      <c r="A1006" s="6"/>
      <c r="B1006" s="6"/>
      <c r="C1006" s="23"/>
      <c r="D1006" s="1412"/>
      <c r="E1006" s="23"/>
      <c r="F1006" s="700"/>
    </row>
    <row r="1007" spans="1:7">
      <c r="A1007" s="6"/>
      <c r="B1007" s="6"/>
      <c r="C1007" s="23"/>
      <c r="D1007" s="1412"/>
      <c r="E1007" s="23"/>
      <c r="F1007" s="700"/>
    </row>
    <row r="1008" spans="1:7">
      <c r="A1008" s="6"/>
      <c r="B1008" s="6"/>
      <c r="C1008" s="23"/>
      <c r="D1008" s="1412"/>
      <c r="E1008" s="23"/>
      <c r="F1008" s="700"/>
    </row>
    <row r="1009" spans="1:6">
      <c r="A1009" s="6"/>
      <c r="B1009" s="6"/>
      <c r="C1009" s="23"/>
      <c r="D1009" s="1412"/>
      <c r="E1009" s="23"/>
      <c r="F1009" s="700"/>
    </row>
    <row r="1010" spans="1:6">
      <c r="A1010" s="6"/>
      <c r="B1010" s="6"/>
      <c r="C1010" s="23"/>
      <c r="D1010" s="1412"/>
      <c r="E1010" s="23"/>
      <c r="F1010" s="700"/>
    </row>
    <row r="1011" spans="1:6">
      <c r="A1011" s="4769" t="s">
        <v>467</v>
      </c>
      <c r="B1011" s="4769"/>
      <c r="C1011" s="4769" t="s">
        <v>468</v>
      </c>
      <c r="D1011" s="4769"/>
      <c r="E1011" s="4769"/>
      <c r="F1011" s="4769"/>
    </row>
    <row r="1012" spans="1:6">
      <c r="A1012" s="6"/>
      <c r="B1012" s="6"/>
      <c r="C1012" s="23"/>
      <c r="D1012" s="1412"/>
      <c r="E1012" s="23"/>
      <c r="F1012" s="700"/>
    </row>
    <row r="1013" spans="1:6">
      <c r="A1013" s="6"/>
      <c r="B1013" s="6"/>
      <c r="C1013" s="23"/>
      <c r="D1013" s="1412"/>
      <c r="E1013" s="23"/>
      <c r="F1013" s="700"/>
    </row>
    <row r="1014" spans="1:6">
      <c r="A1014" s="6"/>
      <c r="B1014" s="6"/>
      <c r="C1014" s="23"/>
      <c r="D1014" s="1412"/>
      <c r="E1014" s="23"/>
      <c r="F1014" s="700"/>
    </row>
    <row r="1015" spans="1:6">
      <c r="A1015" s="4769" t="s">
        <v>469</v>
      </c>
      <c r="B1015" s="4769"/>
      <c r="C1015" s="4769" t="s">
        <v>470</v>
      </c>
      <c r="D1015" s="4769"/>
      <c r="E1015" s="4769"/>
      <c r="F1015" s="4769"/>
    </row>
    <row r="1016" spans="1:6">
      <c r="A1016" s="6" t="s">
        <v>471</v>
      </c>
      <c r="B1016" s="6"/>
      <c r="C1016" s="4769" t="s">
        <v>472</v>
      </c>
      <c r="D1016" s="4769"/>
      <c r="E1016" s="4769"/>
      <c r="F1016" s="4769"/>
    </row>
    <row r="1017" spans="1:6">
      <c r="A1017" s="6"/>
      <c r="B1017" s="6"/>
      <c r="C1017" s="23"/>
      <c r="D1017" s="1412"/>
      <c r="E1017" s="23"/>
      <c r="F1017" s="700"/>
    </row>
    <row r="1018" spans="1:6">
      <c r="A1018" s="6"/>
      <c r="B1018" s="6"/>
      <c r="C1018" s="23"/>
      <c r="D1018" s="1412"/>
      <c r="E1018" s="23"/>
      <c r="F1018" s="700"/>
    </row>
    <row r="1019" spans="1:6">
      <c r="A1019" s="6"/>
      <c r="B1019" s="6"/>
      <c r="C1019" s="23"/>
      <c r="D1019" s="1412"/>
      <c r="E1019" s="23"/>
      <c r="F1019" s="700"/>
    </row>
    <row r="1020" spans="1:6">
      <c r="A1020" s="7"/>
      <c r="B1020" s="7"/>
      <c r="C1020" s="23"/>
      <c r="D1020" s="1412"/>
      <c r="E1020" s="23"/>
      <c r="F1020" s="23"/>
    </row>
    <row r="1021" spans="1:6">
      <c r="A1021" s="7"/>
      <c r="B1021" s="7"/>
      <c r="C1021" s="23"/>
      <c r="D1021" s="1412"/>
      <c r="E1021" s="23"/>
      <c r="F1021" s="23"/>
    </row>
    <row r="1022" spans="1:6">
      <c r="E1022" s="24"/>
      <c r="F1022" s="24"/>
    </row>
  </sheetData>
  <customSheetViews>
    <customSheetView guid="{43BC9397-3E8C-478C-B548-E4A845A7F82B}" state="hidden">
      <selection sqref="A1:F1"/>
      <pageMargins left="0.7" right="0.7" top="0.75" bottom="0.75" header="0.3" footer="0.3"/>
      <pageSetup paperSize="9" orientation="portrait" r:id="rId1"/>
    </customSheetView>
  </customSheetViews>
  <mergeCells count="135">
    <mergeCell ref="A1011:B1011"/>
    <mergeCell ref="C1011:F1011"/>
    <mergeCell ref="A1015:B1015"/>
    <mergeCell ref="C1015:F1015"/>
    <mergeCell ref="C1016:F1016"/>
    <mergeCell ref="A6:F6"/>
    <mergeCell ref="A1000:B1000"/>
    <mergeCell ref="C1000:F1000"/>
    <mergeCell ref="A1004:B1004"/>
    <mergeCell ref="C1004:F1004"/>
    <mergeCell ref="C1005:F1005"/>
    <mergeCell ref="DK4:DP4"/>
    <mergeCell ref="DQ4:DV4"/>
    <mergeCell ref="DW4:EB4"/>
    <mergeCell ref="EC4:EH4"/>
    <mergeCell ref="EI4:EN4"/>
    <mergeCell ref="EO4:ET4"/>
    <mergeCell ref="IS4:IV4"/>
    <mergeCell ref="GE4:GJ4"/>
    <mergeCell ref="GK4:GP4"/>
    <mergeCell ref="GQ4:GV4"/>
    <mergeCell ref="GW4:HB4"/>
    <mergeCell ref="HC4:HH4"/>
    <mergeCell ref="HI4:HN4"/>
    <mergeCell ref="HO4:HT4"/>
    <mergeCell ref="HU4:HZ4"/>
    <mergeCell ref="IA4:IF4"/>
    <mergeCell ref="IG4:IL4"/>
    <mergeCell ref="IM4:IR4"/>
    <mergeCell ref="EU4:EZ4"/>
    <mergeCell ref="FA4:FF4"/>
    <mergeCell ref="FG4:FL4"/>
    <mergeCell ref="FM4:FR4"/>
    <mergeCell ref="HU3:HZ3"/>
    <mergeCell ref="IA3:IF3"/>
    <mergeCell ref="IG3:IL3"/>
    <mergeCell ref="IM3:IR3"/>
    <mergeCell ref="IS3:IV3"/>
    <mergeCell ref="A4:F4"/>
    <mergeCell ref="S4:X4"/>
    <mergeCell ref="Y4:AD4"/>
    <mergeCell ref="AE4:AJ4"/>
    <mergeCell ref="AK4:AP4"/>
    <mergeCell ref="AQ4:AV4"/>
    <mergeCell ref="AW4:BB4"/>
    <mergeCell ref="BC4:BH4"/>
    <mergeCell ref="BI4:BN4"/>
    <mergeCell ref="BO4:BT4"/>
    <mergeCell ref="BU4:BZ4"/>
    <mergeCell ref="CA4:CF4"/>
    <mergeCell ref="CG4:CL4"/>
    <mergeCell ref="CM4:CR4"/>
    <mergeCell ref="CS4:CX4"/>
    <mergeCell ref="CY4:DD4"/>
    <mergeCell ref="DE4:DJ4"/>
    <mergeCell ref="FS4:FX4"/>
    <mergeCell ref="FY4:GD4"/>
    <mergeCell ref="FS3:FX3"/>
    <mergeCell ref="FY3:GD3"/>
    <mergeCell ref="GE3:GJ3"/>
    <mergeCell ref="GK3:GP3"/>
    <mergeCell ref="GQ3:GV3"/>
    <mergeCell ref="GW3:HB3"/>
    <mergeCell ref="HC3:HH3"/>
    <mergeCell ref="HI3:HN3"/>
    <mergeCell ref="HO3:HT3"/>
    <mergeCell ref="DQ3:DV3"/>
    <mergeCell ref="DW3:EB3"/>
    <mergeCell ref="EC3:EH3"/>
    <mergeCell ref="EI3:EN3"/>
    <mergeCell ref="EO3:ET3"/>
    <mergeCell ref="EU3:EZ3"/>
    <mergeCell ref="FA3:FF3"/>
    <mergeCell ref="FG3:FL3"/>
    <mergeCell ref="FM3:FR3"/>
    <mergeCell ref="HO2:HT2"/>
    <mergeCell ref="HU2:HZ2"/>
    <mergeCell ref="IA2:IF2"/>
    <mergeCell ref="IG2:IL2"/>
    <mergeCell ref="IM2:IR2"/>
    <mergeCell ref="IS2:IV2"/>
    <mergeCell ref="A3:F3"/>
    <mergeCell ref="S3:X3"/>
    <mergeCell ref="Y3:AD3"/>
    <mergeCell ref="AE3:AJ3"/>
    <mergeCell ref="AK3:AP3"/>
    <mergeCell ref="AQ3:AV3"/>
    <mergeCell ref="AW3:BB3"/>
    <mergeCell ref="BC3:BH3"/>
    <mergeCell ref="BI3:BN3"/>
    <mergeCell ref="BO3:BT3"/>
    <mergeCell ref="BU3:BZ3"/>
    <mergeCell ref="CA3:CF3"/>
    <mergeCell ref="CG3:CL3"/>
    <mergeCell ref="CM3:CR3"/>
    <mergeCell ref="CS3:CX3"/>
    <mergeCell ref="CY3:DD3"/>
    <mergeCell ref="DE3:DJ3"/>
    <mergeCell ref="DK3:DP3"/>
    <mergeCell ref="FM2:FR2"/>
    <mergeCell ref="FS2:FX2"/>
    <mergeCell ref="FY2:GD2"/>
    <mergeCell ref="GE2:GJ2"/>
    <mergeCell ref="GK2:GP2"/>
    <mergeCell ref="GQ2:GV2"/>
    <mergeCell ref="GW2:HB2"/>
    <mergeCell ref="HC2:HH2"/>
    <mergeCell ref="HI2:HN2"/>
    <mergeCell ref="DK2:DP2"/>
    <mergeCell ref="DQ2:DV2"/>
    <mergeCell ref="DW2:EB2"/>
    <mergeCell ref="EC2:EH2"/>
    <mergeCell ref="EI2:EN2"/>
    <mergeCell ref="EO2:ET2"/>
    <mergeCell ref="EU2:EZ2"/>
    <mergeCell ref="FA2:FF2"/>
    <mergeCell ref="FG2:FL2"/>
    <mergeCell ref="BI2:BN2"/>
    <mergeCell ref="BO2:BT2"/>
    <mergeCell ref="BU2:BZ2"/>
    <mergeCell ref="CA2:CF2"/>
    <mergeCell ref="CG2:CL2"/>
    <mergeCell ref="CM2:CR2"/>
    <mergeCell ref="CS2:CX2"/>
    <mergeCell ref="CY2:DD2"/>
    <mergeCell ref="DE2:DJ2"/>
    <mergeCell ref="A1:F1"/>
    <mergeCell ref="A2:F2"/>
    <mergeCell ref="S2:X2"/>
    <mergeCell ref="Y2:AD2"/>
    <mergeCell ref="AE2:AJ2"/>
    <mergeCell ref="AK2:AP2"/>
    <mergeCell ref="AQ2:AV2"/>
    <mergeCell ref="AW2:BB2"/>
    <mergeCell ref="BC2:BH2"/>
  </mergeCells>
  <pageMargins left="0.7" right="0.7" top="0.75" bottom="0.75"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O270"/>
  <sheetViews>
    <sheetView topLeftCell="C1" zoomScale="115" zoomScaleNormal="115" workbookViewId="0">
      <selection activeCell="F4" sqref="F4"/>
    </sheetView>
  </sheetViews>
  <sheetFormatPr baseColWidth="10" defaultColWidth="11.42578125" defaultRowHeight="12.75"/>
  <cols>
    <col min="1" max="1" width="11.42578125" style="3144"/>
    <col min="2" max="2" width="46.5703125" style="524" customWidth="1"/>
    <col min="3" max="3" width="12.28515625" style="524" customWidth="1"/>
    <col min="4" max="5" width="11.42578125" style="524"/>
    <col min="6" max="6" width="16.42578125" style="524" customWidth="1"/>
    <col min="7" max="7" width="16.140625" style="524" bestFit="1" customWidth="1"/>
    <col min="8" max="9" width="11.42578125" style="524"/>
    <col min="10" max="11" width="11.42578125" style="3144"/>
    <col min="12" max="12" width="13.85546875" style="3144" bestFit="1" customWidth="1"/>
    <col min="13" max="13" width="13" style="3144" bestFit="1" customWidth="1"/>
    <col min="14" max="16384" width="11.42578125" style="3144"/>
  </cols>
  <sheetData>
    <row r="2" spans="2:12">
      <c r="B2" s="2024" t="s">
        <v>2600</v>
      </c>
      <c r="C2" s="2024"/>
    </row>
    <row r="3" spans="2:12" ht="13.5" thickBot="1">
      <c r="B3" s="524" t="s">
        <v>2568</v>
      </c>
      <c r="D3" s="524">
        <f>SUM(D4:D11)</f>
        <v>3627.63</v>
      </c>
      <c r="F3" s="524" t="s">
        <v>2569</v>
      </c>
      <c r="H3" s="524" t="s">
        <v>1896</v>
      </c>
      <c r="I3" s="2024">
        <f>SUM(H4:H11)</f>
        <v>4880.78</v>
      </c>
    </row>
    <row r="4" spans="2:12">
      <c r="B4" s="524" t="s">
        <v>2570</v>
      </c>
      <c r="D4" s="524">
        <v>653.34</v>
      </c>
      <c r="E4" s="524" t="s">
        <v>207</v>
      </c>
      <c r="F4" s="524">
        <v>0.55000000000000004</v>
      </c>
      <c r="G4" s="524" t="s">
        <v>2550</v>
      </c>
      <c r="H4" s="3150">
        <f t="shared" ref="H4:H11" si="0">F4*D4</f>
        <v>359.34</v>
      </c>
      <c r="J4" s="524"/>
      <c r="K4" s="524"/>
      <c r="L4" s="524"/>
    </row>
    <row r="5" spans="2:12">
      <c r="B5" s="524" t="s">
        <v>2571</v>
      </c>
      <c r="D5" s="524">
        <v>761.12</v>
      </c>
      <c r="E5" s="524" t="s">
        <v>207</v>
      </c>
      <c r="F5" s="524">
        <v>0.53</v>
      </c>
      <c r="G5" s="524" t="s">
        <v>2550</v>
      </c>
      <c r="H5" s="3151">
        <f t="shared" si="0"/>
        <v>403.39</v>
      </c>
      <c r="J5" s="524"/>
      <c r="K5" s="524"/>
      <c r="L5" s="524"/>
    </row>
    <row r="6" spans="2:12">
      <c r="B6" s="524" t="s">
        <v>2572</v>
      </c>
      <c r="D6" s="524">
        <v>1022.87</v>
      </c>
      <c r="E6" s="524" t="s">
        <v>207</v>
      </c>
      <c r="F6" s="524">
        <v>0.6</v>
      </c>
      <c r="G6" s="524" t="s">
        <v>2550</v>
      </c>
      <c r="H6" s="3151">
        <f t="shared" si="0"/>
        <v>613.72</v>
      </c>
      <c r="J6" s="524"/>
      <c r="K6" s="524"/>
      <c r="L6" s="524"/>
    </row>
    <row r="7" spans="2:12">
      <c r="B7" s="524" t="s">
        <v>2573</v>
      </c>
      <c r="D7" s="524">
        <f>3.7*50/2</f>
        <v>92.5</v>
      </c>
      <c r="E7" s="524" t="s">
        <v>207</v>
      </c>
      <c r="F7" s="524">
        <v>3.2</v>
      </c>
      <c r="G7" s="524" t="s">
        <v>2550</v>
      </c>
      <c r="H7" s="3151">
        <f t="shared" si="0"/>
        <v>296</v>
      </c>
      <c r="J7" s="524"/>
      <c r="K7" s="524"/>
      <c r="L7" s="524"/>
    </row>
    <row r="8" spans="2:12">
      <c r="B8" s="524" t="s">
        <v>2574</v>
      </c>
      <c r="D8" s="524">
        <v>624.51</v>
      </c>
      <c r="E8" s="524" t="s">
        <v>207</v>
      </c>
      <c r="F8" s="524">
        <v>3.2</v>
      </c>
      <c r="G8" s="524" t="s">
        <v>2550</v>
      </c>
      <c r="H8" s="3151">
        <f t="shared" si="0"/>
        <v>1998.43</v>
      </c>
      <c r="J8" s="524"/>
      <c r="K8" s="524"/>
      <c r="L8" s="524"/>
    </row>
    <row r="9" spans="2:12">
      <c r="B9" s="524" t="s">
        <v>2575</v>
      </c>
      <c r="D9" s="524">
        <f>3.7*50/2</f>
        <v>92.5</v>
      </c>
      <c r="E9" s="524" t="s">
        <v>207</v>
      </c>
      <c r="F9" s="524">
        <v>3.2</v>
      </c>
      <c r="G9" s="524" t="s">
        <v>2550</v>
      </c>
      <c r="H9" s="3151">
        <f t="shared" si="0"/>
        <v>296</v>
      </c>
      <c r="J9" s="524"/>
      <c r="K9" s="524"/>
      <c r="L9" s="524"/>
    </row>
    <row r="10" spans="2:12">
      <c r="B10" s="524" t="s">
        <v>2576</v>
      </c>
      <c r="D10" s="524">
        <f>36.6*3</f>
        <v>109.8</v>
      </c>
      <c r="E10" s="524" t="s">
        <v>207</v>
      </c>
      <c r="F10" s="524">
        <v>2.4</v>
      </c>
      <c r="G10" s="524" t="s">
        <v>2550</v>
      </c>
      <c r="H10" s="3151">
        <f t="shared" si="0"/>
        <v>263.52</v>
      </c>
      <c r="J10" s="524"/>
      <c r="K10" s="524"/>
      <c r="L10" s="524"/>
    </row>
    <row r="11" spans="2:12" ht="13.5" thickBot="1">
      <c r="B11" s="524" t="s">
        <v>2577</v>
      </c>
      <c r="D11" s="524">
        <v>270.99</v>
      </c>
      <c r="E11" s="524" t="s">
        <v>207</v>
      </c>
      <c r="F11" s="524">
        <v>2.4</v>
      </c>
      <c r="G11" s="524" t="s">
        <v>2550</v>
      </c>
      <c r="H11" s="3152">
        <f t="shared" si="0"/>
        <v>650.38</v>
      </c>
      <c r="J11" s="524"/>
      <c r="K11" s="524"/>
      <c r="L11" s="524"/>
    </row>
    <row r="12" spans="2:12">
      <c r="J12" s="524"/>
      <c r="K12" s="524"/>
      <c r="L12" s="524"/>
    </row>
    <row r="13" spans="2:12">
      <c r="B13" s="2024" t="s">
        <v>2969</v>
      </c>
      <c r="C13" s="2024"/>
      <c r="J13" s="524"/>
      <c r="K13" s="524"/>
      <c r="L13" s="524"/>
    </row>
    <row r="14" spans="2:12" ht="13.5" thickBot="1">
      <c r="I14" s="2024">
        <f>SUM(H15:H22)</f>
        <v>725.52</v>
      </c>
      <c r="J14" s="524"/>
      <c r="K14" s="524"/>
      <c r="L14" s="524"/>
    </row>
    <row r="15" spans="2:12">
      <c r="B15" s="524" t="s">
        <v>2570</v>
      </c>
      <c r="D15" s="524">
        <v>653.34</v>
      </c>
      <c r="E15" s="524" t="s">
        <v>207</v>
      </c>
      <c r="F15" s="524">
        <v>0.2</v>
      </c>
      <c r="G15" s="524" t="s">
        <v>2550</v>
      </c>
      <c r="H15" s="3150">
        <f t="shared" ref="H15:H22" si="1">F15*D15</f>
        <v>130.66999999999999</v>
      </c>
      <c r="J15" s="524"/>
      <c r="K15" s="524"/>
      <c r="L15" s="524"/>
    </row>
    <row r="16" spans="2:12">
      <c r="B16" s="524" t="s">
        <v>2571</v>
      </c>
      <c r="D16" s="524">
        <v>761.12</v>
      </c>
      <c r="E16" s="524" t="s">
        <v>207</v>
      </c>
      <c r="F16" s="524">
        <v>0.2</v>
      </c>
      <c r="G16" s="524" t="s">
        <v>2550</v>
      </c>
      <c r="H16" s="3151">
        <f t="shared" si="1"/>
        <v>152.22</v>
      </c>
      <c r="J16" s="524"/>
      <c r="K16" s="524"/>
      <c r="L16" s="524"/>
    </row>
    <row r="17" spans="2:12">
      <c r="B17" s="524" t="s">
        <v>2572</v>
      </c>
      <c r="D17" s="524">
        <v>1022.87</v>
      </c>
      <c r="E17" s="524" t="s">
        <v>207</v>
      </c>
      <c r="F17" s="524">
        <v>0.2</v>
      </c>
      <c r="G17" s="524" t="s">
        <v>2550</v>
      </c>
      <c r="H17" s="3151">
        <f t="shared" si="1"/>
        <v>204.57</v>
      </c>
      <c r="J17" s="524"/>
      <c r="K17" s="524"/>
      <c r="L17" s="524"/>
    </row>
    <row r="18" spans="2:12">
      <c r="B18" s="524" t="s">
        <v>2573</v>
      </c>
      <c r="D18" s="524">
        <f>3.7*50/2</f>
        <v>92.5</v>
      </c>
      <c r="E18" s="524" t="s">
        <v>207</v>
      </c>
      <c r="F18" s="524">
        <v>0.2</v>
      </c>
      <c r="G18" s="524" t="s">
        <v>2550</v>
      </c>
      <c r="H18" s="3151">
        <f t="shared" si="1"/>
        <v>18.5</v>
      </c>
      <c r="J18" s="524"/>
      <c r="K18" s="524"/>
      <c r="L18" s="524"/>
    </row>
    <row r="19" spans="2:12">
      <c r="B19" s="524" t="s">
        <v>2574</v>
      </c>
      <c r="D19" s="524">
        <v>624.51</v>
      </c>
      <c r="E19" s="524" t="s">
        <v>207</v>
      </c>
      <c r="F19" s="524">
        <v>0.2</v>
      </c>
      <c r="G19" s="524" t="s">
        <v>2550</v>
      </c>
      <c r="H19" s="3151">
        <f t="shared" si="1"/>
        <v>124.9</v>
      </c>
      <c r="J19" s="524"/>
      <c r="K19" s="524"/>
      <c r="L19" s="524"/>
    </row>
    <row r="20" spans="2:12">
      <c r="B20" s="524" t="s">
        <v>2575</v>
      </c>
      <c r="D20" s="524">
        <f>3.7*50/2</f>
        <v>92.5</v>
      </c>
      <c r="E20" s="524" t="s">
        <v>207</v>
      </c>
      <c r="F20" s="524">
        <v>0.2</v>
      </c>
      <c r="G20" s="524" t="s">
        <v>2550</v>
      </c>
      <c r="H20" s="3151">
        <f t="shared" si="1"/>
        <v>18.5</v>
      </c>
      <c r="J20" s="524"/>
      <c r="K20" s="524"/>
      <c r="L20" s="524"/>
    </row>
    <row r="21" spans="2:12">
      <c r="B21" s="524" t="s">
        <v>2576</v>
      </c>
      <c r="D21" s="524">
        <f>36.6*3</f>
        <v>109.8</v>
      </c>
      <c r="E21" s="524" t="s">
        <v>207</v>
      </c>
      <c r="F21" s="524">
        <v>0.2</v>
      </c>
      <c r="G21" s="524" t="s">
        <v>2550</v>
      </c>
      <c r="H21" s="3151">
        <f t="shared" si="1"/>
        <v>21.96</v>
      </c>
      <c r="J21" s="524"/>
      <c r="K21" s="524"/>
      <c r="L21" s="524"/>
    </row>
    <row r="22" spans="2:12" ht="13.5" thickBot="1">
      <c r="B22" s="524" t="s">
        <v>2577</v>
      </c>
      <c r="D22" s="524">
        <v>270.99</v>
      </c>
      <c r="E22" s="524" t="s">
        <v>207</v>
      </c>
      <c r="F22" s="524">
        <v>0.2</v>
      </c>
      <c r="G22" s="524" t="s">
        <v>2550</v>
      </c>
      <c r="H22" s="3152">
        <f t="shared" si="1"/>
        <v>54.2</v>
      </c>
      <c r="J22" s="524"/>
      <c r="K22" s="524"/>
      <c r="L22" s="524"/>
    </row>
    <row r="23" spans="2:12">
      <c r="J23" s="524"/>
      <c r="K23" s="524"/>
      <c r="L23" s="524"/>
    </row>
    <row r="24" spans="2:12">
      <c r="J24" s="524"/>
      <c r="K24" s="524"/>
      <c r="L24" s="524"/>
    </row>
    <row r="25" spans="2:12">
      <c r="J25" s="524"/>
      <c r="K25" s="524"/>
      <c r="L25" s="524"/>
    </row>
    <row r="26" spans="2:12">
      <c r="B26" s="524" t="s">
        <v>2578</v>
      </c>
      <c r="F26" s="524" t="s">
        <v>2579</v>
      </c>
      <c r="I26" s="524">
        <f>SUM(H27:H29)</f>
        <v>638.83000000000004</v>
      </c>
      <c r="J26" s="524"/>
      <c r="K26" s="524"/>
      <c r="L26" s="524"/>
    </row>
    <row r="27" spans="2:12">
      <c r="B27" s="524" t="s">
        <v>2580</v>
      </c>
      <c r="D27" s="524">
        <v>9.67</v>
      </c>
      <c r="E27" s="524" t="s">
        <v>207</v>
      </c>
      <c r="F27" s="524">
        <v>2.91</v>
      </c>
      <c r="G27" s="524" t="s">
        <v>2550</v>
      </c>
      <c r="H27" s="524">
        <f>D27*F27</f>
        <v>28.14</v>
      </c>
      <c r="J27" s="524"/>
      <c r="K27" s="524"/>
      <c r="L27" s="524"/>
    </row>
    <row r="28" spans="2:12">
      <c r="B28" s="524" t="s">
        <v>2581</v>
      </c>
      <c r="D28" s="524">
        <f>4.6*2</f>
        <v>9.1999999999999993</v>
      </c>
      <c r="E28" s="524" t="s">
        <v>207</v>
      </c>
      <c r="F28" s="524">
        <f>7.81</f>
        <v>7.81</v>
      </c>
      <c r="G28" s="524" t="s">
        <v>2550</v>
      </c>
      <c r="H28" s="524">
        <f>D28*F28</f>
        <v>71.849999999999994</v>
      </c>
      <c r="J28" s="524"/>
      <c r="K28" s="524"/>
      <c r="L28" s="524"/>
    </row>
    <row r="29" spans="2:12">
      <c r="B29" s="524" t="s">
        <v>2582</v>
      </c>
      <c r="D29" s="524">
        <f>14.43*2.4</f>
        <v>34.630000000000003</v>
      </c>
      <c r="E29" s="524" t="s">
        <v>207</v>
      </c>
      <c r="F29" s="524">
        <v>15.56</v>
      </c>
      <c r="G29" s="524" t="s">
        <v>2550</v>
      </c>
      <c r="H29" s="524">
        <f>D29*F29</f>
        <v>538.84</v>
      </c>
      <c r="J29" s="524"/>
      <c r="K29" s="524"/>
      <c r="L29" s="524"/>
    </row>
    <row r="30" spans="2:12">
      <c r="J30" s="524"/>
      <c r="K30" s="524"/>
      <c r="L30" s="524"/>
    </row>
    <row r="31" spans="2:12">
      <c r="J31" s="524"/>
      <c r="K31" s="524"/>
      <c r="L31" s="524"/>
    </row>
    <row r="32" spans="2:12">
      <c r="D32" s="524" t="s">
        <v>2583</v>
      </c>
      <c r="F32" s="524" t="s">
        <v>2583</v>
      </c>
      <c r="J32" s="524"/>
      <c r="K32" s="524"/>
      <c r="L32" s="524"/>
    </row>
    <row r="33" spans="2:13">
      <c r="B33" s="524" t="s">
        <v>2584</v>
      </c>
      <c r="D33" s="524">
        <v>40.92</v>
      </c>
      <c r="E33" s="524" t="s">
        <v>207</v>
      </c>
      <c r="F33" s="524">
        <f>4.75+0.6</f>
        <v>5.35</v>
      </c>
      <c r="G33" s="524" t="s">
        <v>2550</v>
      </c>
      <c r="H33" s="524">
        <f>D33*F33</f>
        <v>218.92</v>
      </c>
      <c r="J33" s="524"/>
      <c r="K33" s="524"/>
      <c r="L33" s="524"/>
    </row>
    <row r="34" spans="2:13" s="3552" customFormat="1">
      <c r="B34" s="524" t="s">
        <v>3005</v>
      </c>
      <c r="C34" s="524"/>
      <c r="D34" s="524">
        <v>29.1</v>
      </c>
      <c r="E34" s="524"/>
      <c r="F34" s="524">
        <v>4.75</v>
      </c>
      <c r="G34" s="524"/>
      <c r="H34" s="524">
        <f>D34*F34</f>
        <v>138.22999999999999</v>
      </c>
      <c r="I34" s="524">
        <f>H33-H34</f>
        <v>80.69</v>
      </c>
      <c r="J34" s="524"/>
      <c r="K34" s="524"/>
      <c r="L34" s="524"/>
    </row>
    <row r="35" spans="2:13" s="3552" customFormat="1">
      <c r="B35" s="524"/>
      <c r="C35" s="524"/>
      <c r="D35" s="524"/>
      <c r="E35" s="524"/>
      <c r="F35" s="524"/>
      <c r="G35" s="524"/>
      <c r="H35" s="524"/>
      <c r="I35" s="524"/>
      <c r="J35" s="524"/>
      <c r="K35" s="524"/>
      <c r="L35" s="524"/>
    </row>
    <row r="36" spans="2:13" s="3552" customFormat="1">
      <c r="B36" s="524"/>
      <c r="C36" s="524"/>
      <c r="D36" s="524"/>
      <c r="E36" s="524"/>
      <c r="F36" s="524"/>
      <c r="G36" s="524"/>
      <c r="H36" s="524"/>
      <c r="I36" s="524"/>
      <c r="J36" s="524"/>
      <c r="K36" s="524"/>
      <c r="L36" s="524"/>
    </row>
    <row r="37" spans="2:13" s="3552" customFormat="1">
      <c r="B37" s="524"/>
      <c r="C37" s="524"/>
      <c r="D37" s="524"/>
      <c r="E37" s="524"/>
      <c r="F37" s="524"/>
      <c r="G37" s="524"/>
      <c r="H37" s="524"/>
      <c r="I37" s="524"/>
      <c r="J37" s="524"/>
      <c r="K37" s="524"/>
      <c r="L37" s="524"/>
    </row>
    <row r="38" spans="2:13" s="3552" customFormat="1">
      <c r="B38" s="524"/>
      <c r="C38" s="524"/>
      <c r="D38" s="524"/>
      <c r="E38" s="524"/>
      <c r="F38" s="524"/>
      <c r="G38" s="524"/>
      <c r="H38" s="524"/>
      <c r="I38" s="524"/>
      <c r="J38" s="524"/>
      <c r="K38" s="524"/>
      <c r="L38" s="524"/>
    </row>
    <row r="39" spans="2:13" s="3552" customFormat="1">
      <c r="B39" s="524"/>
      <c r="C39" s="524"/>
      <c r="D39" s="524"/>
      <c r="E39" s="524"/>
      <c r="F39" s="524"/>
      <c r="G39" s="524"/>
      <c r="H39" s="524"/>
      <c r="I39" s="524"/>
      <c r="J39" s="524"/>
      <c r="K39" s="524"/>
      <c r="L39" s="524"/>
    </row>
    <row r="40" spans="2:13">
      <c r="B40" s="2024" t="s">
        <v>2585</v>
      </c>
      <c r="C40" s="2024"/>
      <c r="D40" s="524">
        <v>26.8</v>
      </c>
      <c r="F40" s="524">
        <f>8.6+0.6*2</f>
        <v>9.8000000000000007</v>
      </c>
      <c r="G40" s="524" t="s">
        <v>2550</v>
      </c>
      <c r="H40" s="524">
        <f>D40*F40</f>
        <v>262.64</v>
      </c>
      <c r="J40" s="524"/>
      <c r="K40" s="524"/>
      <c r="L40" s="524"/>
    </row>
    <row r="41" spans="2:13" s="3552" customFormat="1">
      <c r="B41" s="524" t="s">
        <v>3005</v>
      </c>
      <c r="C41" s="524"/>
      <c r="D41" s="524">
        <v>21.95</v>
      </c>
      <c r="E41" s="524"/>
      <c r="F41" s="524">
        <v>8.75</v>
      </c>
      <c r="G41" s="524" t="s">
        <v>2550</v>
      </c>
      <c r="H41" s="524">
        <f>D41*F41</f>
        <v>192.06</v>
      </c>
      <c r="I41" s="524"/>
      <c r="J41" s="524"/>
      <c r="K41" s="524"/>
      <c r="L41" s="524"/>
    </row>
    <row r="42" spans="2:13" s="3552" customFormat="1">
      <c r="B42" s="2024"/>
      <c r="C42" s="2024"/>
      <c r="E42" s="524"/>
      <c r="F42" s="524"/>
      <c r="G42" s="524"/>
      <c r="H42" s="524"/>
      <c r="I42" s="524">
        <f>H40-H41</f>
        <v>70.58</v>
      </c>
      <c r="J42" s="524"/>
      <c r="K42" s="524"/>
      <c r="L42" s="524" t="s">
        <v>3025</v>
      </c>
      <c r="M42" s="3569" t="s">
        <v>3026</v>
      </c>
    </row>
    <row r="43" spans="2:13" s="3552" customFormat="1">
      <c r="B43" s="2024" t="s">
        <v>3006</v>
      </c>
      <c r="C43" s="2024"/>
      <c r="D43" s="474" t="s">
        <v>3012</v>
      </c>
      <c r="E43" s="3159" t="s">
        <v>3008</v>
      </c>
      <c r="F43" s="3159" t="s">
        <v>3009</v>
      </c>
      <c r="G43" s="3159" t="s">
        <v>3010</v>
      </c>
      <c r="H43" s="3159"/>
      <c r="I43" s="3159"/>
      <c r="J43" s="3159"/>
      <c r="K43" s="524"/>
      <c r="L43" s="524"/>
      <c r="M43" s="3552">
        <f>SUM(M46:M49)</f>
        <v>171.685</v>
      </c>
    </row>
    <row r="44" spans="2:13" s="3552" customFormat="1">
      <c r="B44" s="3143" t="s">
        <v>3007</v>
      </c>
      <c r="C44" s="3143"/>
      <c r="D44" s="3159">
        <v>1</v>
      </c>
      <c r="E44" s="3159">
        <f>8.33+1.6+4.11</f>
        <v>14.04</v>
      </c>
      <c r="F44" s="3159">
        <f>4.74+0.5</f>
        <v>5.24</v>
      </c>
      <c r="G44" s="3159">
        <v>0.3</v>
      </c>
      <c r="H44" s="3159">
        <f>D44*E44*F44*G44</f>
        <v>22.07</v>
      </c>
      <c r="I44" s="3159"/>
      <c r="J44" s="524"/>
      <c r="K44" s="524"/>
      <c r="L44" s="524"/>
    </row>
    <row r="45" spans="2:13" s="1737" customFormat="1">
      <c r="B45" s="3570" t="s">
        <v>3011</v>
      </c>
      <c r="C45" s="3570"/>
      <c r="D45" s="3571"/>
      <c r="E45" s="3571"/>
      <c r="F45" s="3571"/>
      <c r="G45" s="3571"/>
      <c r="H45" s="3571"/>
      <c r="I45" s="3572"/>
      <c r="J45" s="2024"/>
      <c r="K45" s="2024"/>
      <c r="L45" s="2024"/>
    </row>
    <row r="46" spans="2:13" s="3552" customFormat="1">
      <c r="B46" s="3143" t="s">
        <v>3013</v>
      </c>
      <c r="C46" s="3143"/>
      <c r="D46" s="3159">
        <v>3</v>
      </c>
      <c r="E46" s="4894">
        <v>38.29</v>
      </c>
      <c r="F46" s="4894"/>
      <c r="G46" s="3159">
        <v>0.25</v>
      </c>
      <c r="H46" s="3159">
        <f>D46*E46*G46</f>
        <v>28.72</v>
      </c>
      <c r="I46" s="3159">
        <f>SUM(H46:H48)</f>
        <v>32.58</v>
      </c>
      <c r="J46" s="524"/>
      <c r="K46" s="524"/>
      <c r="L46" s="524"/>
      <c r="M46" s="3552">
        <f>E46*4</f>
        <v>153.16</v>
      </c>
    </row>
    <row r="47" spans="2:13" s="3552" customFormat="1">
      <c r="B47" s="3143" t="s">
        <v>3014</v>
      </c>
      <c r="C47" s="3143"/>
      <c r="D47" s="3159">
        <v>1</v>
      </c>
      <c r="E47" s="3159">
        <v>4.75</v>
      </c>
      <c r="F47" s="3159">
        <v>2.0499999999999998</v>
      </c>
      <c r="G47" s="3159">
        <v>0.25</v>
      </c>
      <c r="H47" s="3159">
        <f>D47*E47*F47*G47</f>
        <v>2.4300000000000002</v>
      </c>
      <c r="I47" s="3159"/>
      <c r="J47" s="524"/>
      <c r="K47" s="524"/>
      <c r="L47" s="524"/>
      <c r="M47" s="3552">
        <f>E47*F47</f>
        <v>9.7375000000000007</v>
      </c>
    </row>
    <row r="48" spans="2:13">
      <c r="B48" s="3143" t="s">
        <v>3015</v>
      </c>
      <c r="C48" s="3143"/>
      <c r="D48" s="3159">
        <v>1</v>
      </c>
      <c r="E48" s="3159">
        <v>4.75</v>
      </c>
      <c r="F48" s="3159">
        <v>1.2</v>
      </c>
      <c r="G48" s="3159">
        <v>0.25</v>
      </c>
      <c r="H48" s="3159">
        <f>D48*E48*F48*G48</f>
        <v>1.43</v>
      </c>
      <c r="I48" s="3159"/>
      <c r="J48" s="524"/>
      <c r="K48" s="524"/>
      <c r="L48" s="524"/>
      <c r="M48" s="3569">
        <f>E48*F48</f>
        <v>5.7</v>
      </c>
    </row>
    <row r="49" spans="2:13" s="3569" customFormat="1">
      <c r="B49" s="3143" t="s">
        <v>3016</v>
      </c>
      <c r="C49" s="3143"/>
      <c r="D49" s="3159">
        <v>1</v>
      </c>
      <c r="E49" s="3159">
        <v>4.75</v>
      </c>
      <c r="F49" s="3159">
        <v>0.65</v>
      </c>
      <c r="G49" s="3159">
        <v>0.25</v>
      </c>
      <c r="I49" s="3159">
        <f>D49*E49*F49*G49</f>
        <v>0.77</v>
      </c>
      <c r="J49" s="524"/>
      <c r="K49" s="524"/>
      <c r="L49" s="524"/>
      <c r="M49" s="3569">
        <f>E49*F49</f>
        <v>3.0874999999999999</v>
      </c>
    </row>
    <row r="50" spans="2:13" s="3569" customFormat="1">
      <c r="B50" s="3143"/>
      <c r="C50" s="3143"/>
      <c r="D50" s="3159"/>
      <c r="E50" s="3159"/>
      <c r="F50" s="3159"/>
      <c r="G50" s="3159"/>
      <c r="H50" s="3159"/>
      <c r="I50" s="3159"/>
      <c r="J50" s="524"/>
      <c r="K50" s="524"/>
      <c r="L50" s="524"/>
    </row>
    <row r="51" spans="2:13" s="3569" customFormat="1">
      <c r="B51" s="3143"/>
      <c r="C51" s="3143"/>
      <c r="D51" s="3159"/>
      <c r="E51" s="3159"/>
      <c r="F51" s="3159"/>
      <c r="G51" s="3159"/>
      <c r="H51" s="3159"/>
      <c r="I51" s="3159"/>
      <c r="J51" s="524"/>
      <c r="K51" s="524"/>
      <c r="L51" s="524">
        <f>SUM(L53:L56)</f>
        <v>39.5</v>
      </c>
      <c r="M51" s="524">
        <f>SUM(M53:M56)</f>
        <v>158.15</v>
      </c>
    </row>
    <row r="52" spans="2:13" s="3569" customFormat="1">
      <c r="B52" s="3143" t="s">
        <v>3020</v>
      </c>
      <c r="C52" s="3143"/>
      <c r="D52" s="3159"/>
      <c r="E52" s="3159"/>
      <c r="F52" s="3159"/>
      <c r="G52" s="3159"/>
      <c r="H52" s="3159"/>
      <c r="I52" s="3159"/>
      <c r="J52" s="524"/>
      <c r="L52" s="524" t="s">
        <v>3025</v>
      </c>
      <c r="M52" s="3569" t="s">
        <v>3026</v>
      </c>
    </row>
    <row r="53" spans="2:13" s="3569" customFormat="1">
      <c r="B53" s="3143" t="s">
        <v>3021</v>
      </c>
      <c r="C53" s="3143"/>
      <c r="D53" s="3159">
        <v>1</v>
      </c>
      <c r="E53" s="3159">
        <v>8.75</v>
      </c>
      <c r="F53" s="3159">
        <v>0.25</v>
      </c>
      <c r="G53" s="3159">
        <v>2.6</v>
      </c>
      <c r="H53" s="3159">
        <f>D53*E53*F53*G53</f>
        <v>5.69</v>
      </c>
      <c r="I53" s="3159">
        <f>SUM(H53:H55)</f>
        <v>30.2</v>
      </c>
      <c r="J53" s="524"/>
      <c r="K53" s="524">
        <f>D53*E53*G53</f>
        <v>22.75</v>
      </c>
      <c r="L53" s="524">
        <f>E53*1</f>
        <v>8.75</v>
      </c>
      <c r="M53" s="524">
        <f>E53*G53</f>
        <v>22.75</v>
      </c>
    </row>
    <row r="54" spans="2:13" s="3569" customFormat="1">
      <c r="B54" s="3143" t="s">
        <v>3021</v>
      </c>
      <c r="C54" s="3143"/>
      <c r="D54" s="3159">
        <v>3</v>
      </c>
      <c r="E54" s="3159">
        <v>11</v>
      </c>
      <c r="F54" s="3159">
        <v>0.25</v>
      </c>
      <c r="G54" s="3159">
        <v>2.6</v>
      </c>
      <c r="H54" s="3159">
        <f t="shared" ref="H54:H56" si="2">D54*E54*F54*G54</f>
        <v>21.45</v>
      </c>
      <c r="I54" s="3159"/>
      <c r="J54" s="524"/>
      <c r="K54" s="524">
        <f t="shared" ref="K54:K56" si="3">D54*E54*G54</f>
        <v>85.8</v>
      </c>
      <c r="L54" s="3569">
        <f>E54*1*2</f>
        <v>22</v>
      </c>
      <c r="M54" s="524">
        <f>E54*G54*4</f>
        <v>114.4</v>
      </c>
    </row>
    <row r="55" spans="2:13" s="3569" customFormat="1">
      <c r="B55" s="3143" t="s">
        <v>3022</v>
      </c>
      <c r="C55" s="3143"/>
      <c r="D55" s="3159">
        <v>1</v>
      </c>
      <c r="E55" s="3159">
        <v>8.75</v>
      </c>
      <c r="F55" s="3159">
        <v>0.25</v>
      </c>
      <c r="G55" s="3159">
        <v>1.4</v>
      </c>
      <c r="H55" s="3159">
        <f t="shared" si="2"/>
        <v>3.06</v>
      </c>
      <c r="I55" s="3159"/>
      <c r="J55" s="524"/>
      <c r="K55" s="524">
        <f t="shared" si="3"/>
        <v>12.25</v>
      </c>
      <c r="L55" s="524"/>
      <c r="M55" s="3569">
        <f>D55*E55*G55</f>
        <v>12.25</v>
      </c>
    </row>
    <row r="56" spans="2:13" s="3569" customFormat="1">
      <c r="B56" s="3143" t="s">
        <v>3023</v>
      </c>
      <c r="C56" s="3143"/>
      <c r="D56" s="3159">
        <v>1</v>
      </c>
      <c r="E56" s="3159">
        <v>8.75</v>
      </c>
      <c r="F56" s="3159">
        <v>0.15</v>
      </c>
      <c r="G56" s="3159">
        <v>1</v>
      </c>
      <c r="H56" s="3159">
        <f t="shared" si="2"/>
        <v>1.31</v>
      </c>
      <c r="I56" s="3159">
        <f>H56</f>
        <v>1.31</v>
      </c>
      <c r="J56" s="524"/>
      <c r="K56" s="524">
        <f t="shared" si="3"/>
        <v>8.75</v>
      </c>
      <c r="L56" s="524">
        <f>E56*G56</f>
        <v>8.75</v>
      </c>
      <c r="M56" s="524">
        <f>L56</f>
        <v>8.75</v>
      </c>
    </row>
    <row r="57" spans="2:13" s="3569" customFormat="1">
      <c r="B57" s="3143"/>
      <c r="C57" s="3143"/>
      <c r="D57" s="3159"/>
      <c r="E57" s="3159"/>
      <c r="F57" s="3159"/>
      <c r="G57" s="3159"/>
      <c r="H57" s="3159"/>
      <c r="I57" s="3159"/>
      <c r="J57" s="524"/>
      <c r="K57" s="524"/>
      <c r="L57" s="524"/>
    </row>
    <row r="58" spans="2:13">
      <c r="J58" s="524"/>
      <c r="K58" s="524"/>
      <c r="L58" s="524"/>
    </row>
    <row r="59" spans="2:13" s="3537" customFormat="1">
      <c r="B59" s="2024" t="s">
        <v>2976</v>
      </c>
      <c r="C59" s="2024"/>
      <c r="D59" s="524"/>
      <c r="E59" s="524"/>
      <c r="F59" s="524"/>
      <c r="G59" s="524"/>
      <c r="H59" s="524"/>
      <c r="I59" s="524">
        <f>SUM(H60:H61)</f>
        <v>4.87</v>
      </c>
      <c r="J59" s="524"/>
      <c r="K59" s="524"/>
      <c r="L59" s="524"/>
    </row>
    <row r="60" spans="2:13" s="3537" customFormat="1">
      <c r="B60" s="524" t="s">
        <v>2977</v>
      </c>
      <c r="C60" s="524"/>
      <c r="D60" s="524">
        <v>1.5</v>
      </c>
      <c r="E60" s="524">
        <v>1.3</v>
      </c>
      <c r="F60" s="524">
        <v>1</v>
      </c>
      <c r="G60" s="524">
        <f>1.1</f>
        <v>1.1000000000000001</v>
      </c>
      <c r="H60" s="524">
        <f>D60*E60*F60*G60</f>
        <v>2.15</v>
      </c>
      <c r="I60" s="524"/>
      <c r="J60" s="524"/>
      <c r="K60" s="524"/>
      <c r="L60" s="524"/>
    </row>
    <row r="61" spans="2:13" s="3537" customFormat="1">
      <c r="B61" s="524" t="s">
        <v>2978</v>
      </c>
      <c r="C61" s="524"/>
      <c r="D61" s="524">
        <v>1.9</v>
      </c>
      <c r="E61" s="524">
        <v>1.3</v>
      </c>
      <c r="F61" s="524">
        <v>1</v>
      </c>
      <c r="G61" s="524">
        <f>1.1</f>
        <v>1.1000000000000001</v>
      </c>
      <c r="H61" s="524">
        <f>D61*E61*F61*G61</f>
        <v>2.72</v>
      </c>
      <c r="I61" s="524"/>
      <c r="J61" s="524"/>
      <c r="K61" s="524"/>
      <c r="L61" s="524"/>
    </row>
    <row r="62" spans="2:13" s="3537" customFormat="1">
      <c r="B62" s="524"/>
      <c r="C62" s="524"/>
      <c r="D62" s="524"/>
      <c r="E62" s="524"/>
      <c r="F62" s="524"/>
      <c r="G62" s="524"/>
      <c r="H62" s="524"/>
      <c r="I62" s="524"/>
      <c r="J62" s="524"/>
      <c r="K62" s="524"/>
      <c r="L62" s="524"/>
    </row>
    <row r="63" spans="2:13" s="3537" customFormat="1">
      <c r="B63" s="524"/>
      <c r="C63" s="524"/>
      <c r="D63" s="524"/>
      <c r="E63" s="524"/>
      <c r="F63" s="524"/>
      <c r="G63" s="524"/>
      <c r="H63" s="524"/>
      <c r="I63" s="524"/>
      <c r="J63" s="524"/>
      <c r="K63" s="524"/>
      <c r="L63" s="524"/>
    </row>
    <row r="64" spans="2:13" s="3537" customFormat="1">
      <c r="B64" s="524"/>
      <c r="C64" s="524"/>
      <c r="D64" s="524"/>
      <c r="E64" s="524"/>
      <c r="F64" s="524"/>
      <c r="G64" s="524"/>
      <c r="H64" s="524"/>
      <c r="I64" s="524"/>
      <c r="J64" s="524"/>
      <c r="K64" s="524"/>
      <c r="L64" s="524"/>
    </row>
    <row r="65" spans="2:12" s="3537" customFormat="1">
      <c r="B65" s="524"/>
      <c r="C65" s="524"/>
      <c r="D65" s="524"/>
      <c r="E65" s="524"/>
      <c r="F65" s="524"/>
      <c r="G65" s="524"/>
      <c r="H65" s="524"/>
      <c r="I65" s="524"/>
      <c r="J65" s="524"/>
      <c r="K65" s="524"/>
      <c r="L65" s="524"/>
    </row>
    <row r="66" spans="2:12" s="3537" customFormat="1">
      <c r="B66" s="524"/>
      <c r="C66" s="524"/>
      <c r="D66" s="524"/>
      <c r="E66" s="524"/>
      <c r="F66" s="524"/>
      <c r="G66" s="524"/>
      <c r="H66" s="524"/>
      <c r="I66" s="524"/>
      <c r="J66" s="524"/>
      <c r="K66" s="524"/>
      <c r="L66" s="524"/>
    </row>
    <row r="67" spans="2:12" s="3537" customFormat="1">
      <c r="B67" s="524"/>
      <c r="C67" s="524"/>
      <c r="D67" s="524"/>
      <c r="E67" s="524"/>
      <c r="F67" s="524"/>
      <c r="G67" s="524"/>
      <c r="H67" s="524"/>
      <c r="I67" s="524"/>
      <c r="J67" s="524"/>
      <c r="K67" s="524"/>
      <c r="L67" s="524"/>
    </row>
    <row r="68" spans="2:12" s="3537" customFormat="1">
      <c r="B68" s="524"/>
      <c r="C68" s="524"/>
      <c r="D68" s="524"/>
      <c r="E68" s="524"/>
      <c r="F68" s="524"/>
      <c r="G68" s="524"/>
      <c r="H68" s="524"/>
      <c r="I68" s="524"/>
      <c r="J68" s="524"/>
      <c r="K68" s="524"/>
      <c r="L68" s="524"/>
    </row>
    <row r="69" spans="2:12" s="3537" customFormat="1">
      <c r="B69" s="524"/>
      <c r="C69" s="524"/>
      <c r="D69" s="524"/>
      <c r="E69" s="524"/>
      <c r="F69" s="524"/>
      <c r="G69" s="524"/>
      <c r="H69" s="524"/>
      <c r="I69" s="524"/>
      <c r="J69" s="524"/>
      <c r="K69" s="524"/>
      <c r="L69" s="524"/>
    </row>
    <row r="70" spans="2:12">
      <c r="J70" s="524"/>
      <c r="K70" s="524"/>
      <c r="L70" s="524"/>
    </row>
    <row r="71" spans="2:12">
      <c r="J71" s="524"/>
      <c r="K71" s="524"/>
      <c r="L71" s="524"/>
    </row>
    <row r="72" spans="2:12">
      <c r="J72" s="524"/>
      <c r="K72" s="524"/>
      <c r="L72" s="524"/>
    </row>
    <row r="73" spans="2:12">
      <c r="J73" s="524"/>
      <c r="K73" s="524"/>
      <c r="L73" s="524"/>
    </row>
    <row r="74" spans="2:12">
      <c r="J74" s="524"/>
      <c r="K74" s="524"/>
      <c r="L74" s="524"/>
    </row>
    <row r="75" spans="2:12">
      <c r="J75" s="524"/>
      <c r="K75" s="524"/>
      <c r="L75" s="524"/>
    </row>
    <row r="76" spans="2:12">
      <c r="J76" s="524"/>
      <c r="K76" s="524"/>
      <c r="L76" s="524"/>
    </row>
    <row r="77" spans="2:12">
      <c r="B77" s="2024" t="s">
        <v>2586</v>
      </c>
      <c r="C77" s="2024"/>
      <c r="J77" s="524"/>
      <c r="K77" s="524"/>
      <c r="L77" s="524"/>
    </row>
    <row r="78" spans="2:12">
      <c r="B78" s="2024"/>
      <c r="C78" s="2024"/>
      <c r="J78" s="524"/>
      <c r="K78" s="524"/>
      <c r="L78" s="524"/>
    </row>
    <row r="79" spans="2:12">
      <c r="B79" s="2024" t="s">
        <v>2587</v>
      </c>
      <c r="C79" s="2024"/>
      <c r="J79" s="524"/>
      <c r="K79" s="524"/>
      <c r="L79" s="524"/>
    </row>
    <row r="80" spans="2:12">
      <c r="B80" s="2024"/>
      <c r="C80" s="2024"/>
      <c r="J80" s="524"/>
      <c r="K80" s="524"/>
      <c r="L80" s="524"/>
    </row>
    <row r="81" spans="2:12">
      <c r="B81" s="524" t="s">
        <v>2588</v>
      </c>
      <c r="F81" s="524" t="s">
        <v>2589</v>
      </c>
      <c r="I81" s="524">
        <f>SUM(H82:H87)</f>
        <v>70.62</v>
      </c>
      <c r="J81" s="524"/>
      <c r="K81" s="524"/>
      <c r="L81" s="524"/>
    </row>
    <row r="82" spans="2:12">
      <c r="B82" s="524" t="s">
        <v>2580</v>
      </c>
      <c r="D82" s="524">
        <f>4.86*1.64</f>
        <v>7.97</v>
      </c>
      <c r="E82" s="524" t="s">
        <v>207</v>
      </c>
      <c r="F82" s="524">
        <f>0.85+0.75+0.4</f>
        <v>2</v>
      </c>
      <c r="G82" s="524" t="s">
        <v>2550</v>
      </c>
      <c r="H82" s="524">
        <f t="shared" ref="H82:H87" si="4">F82*D82</f>
        <v>15.94</v>
      </c>
      <c r="J82" s="524"/>
      <c r="K82" s="524"/>
      <c r="L82" s="524"/>
    </row>
    <row r="83" spans="2:12">
      <c r="B83" s="524" t="s">
        <v>2590</v>
      </c>
      <c r="D83" s="524">
        <f>0.4*1.64</f>
        <v>0.66</v>
      </c>
      <c r="E83" s="524" t="s">
        <v>207</v>
      </c>
      <c r="F83" s="524">
        <f>7.41-0.9+0.4</f>
        <v>6.91</v>
      </c>
      <c r="G83" s="524" t="s">
        <v>2550</v>
      </c>
      <c r="H83" s="524">
        <f t="shared" si="4"/>
        <v>4.5599999999999996</v>
      </c>
      <c r="J83" s="524"/>
      <c r="K83" s="524"/>
      <c r="L83" s="524"/>
    </row>
    <row r="84" spans="2:12">
      <c r="B84" s="524" t="s">
        <v>2581</v>
      </c>
      <c r="D84" s="524">
        <f>4.6*1.64</f>
        <v>7.54</v>
      </c>
      <c r="E84" s="524" t="s">
        <v>207</v>
      </c>
      <c r="F84" s="524">
        <v>1.2</v>
      </c>
      <c r="G84" s="524" t="s">
        <v>2550</v>
      </c>
      <c r="H84" s="524">
        <f t="shared" si="4"/>
        <v>9.0500000000000007</v>
      </c>
      <c r="J84" s="524"/>
      <c r="K84" s="524"/>
      <c r="L84" s="524"/>
    </row>
    <row r="85" spans="2:12">
      <c r="B85" s="524" t="s">
        <v>2591</v>
      </c>
      <c r="D85" s="524">
        <f>0.4*2.05</f>
        <v>0.82</v>
      </c>
      <c r="E85" s="524" t="s">
        <v>207</v>
      </c>
      <c r="F85" s="524">
        <f>8.15+0.4</f>
        <v>8.5500000000000007</v>
      </c>
      <c r="G85" s="524" t="s">
        <v>2550</v>
      </c>
      <c r="H85" s="524">
        <f t="shared" si="4"/>
        <v>7.01</v>
      </c>
      <c r="J85" s="524"/>
      <c r="K85" s="524"/>
      <c r="L85" s="524"/>
    </row>
    <row r="86" spans="2:12">
      <c r="B86" s="524" t="s">
        <v>2592</v>
      </c>
      <c r="D86" s="524">
        <f>13.45*2.05</f>
        <v>27.57</v>
      </c>
      <c r="E86" s="524" t="s">
        <v>207</v>
      </c>
      <c r="F86" s="524">
        <v>1.2</v>
      </c>
      <c r="G86" s="524" t="s">
        <v>2550</v>
      </c>
      <c r="H86" s="524">
        <f t="shared" si="4"/>
        <v>33.08</v>
      </c>
      <c r="J86" s="524"/>
      <c r="K86" s="524"/>
      <c r="L86" s="524"/>
    </row>
    <row r="87" spans="2:12">
      <c r="B87" s="524" t="s">
        <v>2593</v>
      </c>
      <c r="D87" s="524">
        <f>0.4*2.05</f>
        <v>0.82</v>
      </c>
      <c r="E87" s="524" t="s">
        <v>1896</v>
      </c>
      <c r="F87" s="524">
        <v>1.2</v>
      </c>
      <c r="G87" s="524" t="s">
        <v>2550</v>
      </c>
      <c r="H87" s="524">
        <f t="shared" si="4"/>
        <v>0.98</v>
      </c>
      <c r="J87" s="524"/>
      <c r="K87" s="524"/>
      <c r="L87" s="524"/>
    </row>
    <row r="88" spans="2:12">
      <c r="J88" s="524"/>
      <c r="K88" s="524"/>
      <c r="L88" s="524"/>
    </row>
    <row r="89" spans="2:12">
      <c r="J89" s="524"/>
      <c r="K89" s="524"/>
      <c r="L89" s="524"/>
    </row>
    <row r="90" spans="2:12">
      <c r="J90" s="524"/>
      <c r="K90" s="524"/>
      <c r="L90" s="524"/>
    </row>
    <row r="92" spans="2:12" s="3537" customFormat="1">
      <c r="B92" s="524"/>
      <c r="C92" s="524"/>
      <c r="D92" s="524"/>
      <c r="E92" s="524"/>
      <c r="F92" s="524"/>
      <c r="G92" s="524"/>
      <c r="H92" s="524"/>
      <c r="I92" s="524"/>
    </row>
    <row r="93" spans="2:12" s="3537" customFormat="1">
      <c r="B93" s="524"/>
      <c r="C93" s="524"/>
      <c r="D93" s="524"/>
      <c r="E93" s="524"/>
      <c r="F93" s="524"/>
      <c r="G93" s="524"/>
      <c r="H93" s="524"/>
      <c r="I93" s="524"/>
    </row>
    <row r="94" spans="2:12" s="3537" customFormat="1">
      <c r="B94" s="524"/>
      <c r="C94" s="524"/>
      <c r="D94" s="524"/>
      <c r="E94" s="524"/>
      <c r="F94" s="524"/>
      <c r="G94" s="524"/>
      <c r="H94" s="524"/>
      <c r="I94" s="524"/>
    </row>
    <row r="95" spans="2:12" s="3537" customFormat="1">
      <c r="B95" s="524"/>
      <c r="C95" s="524"/>
      <c r="D95" s="524"/>
      <c r="E95" s="524"/>
      <c r="F95" s="524"/>
      <c r="G95" s="524"/>
      <c r="H95" s="524"/>
      <c r="I95" s="524"/>
    </row>
    <row r="96" spans="2:12" s="3537" customFormat="1">
      <c r="B96" s="524"/>
      <c r="C96" s="524"/>
      <c r="D96" s="524"/>
      <c r="E96" s="524"/>
      <c r="F96" s="524"/>
      <c r="G96" s="524"/>
      <c r="H96" s="524"/>
      <c r="I96" s="524"/>
    </row>
    <row r="97" spans="2:15" s="3537" customFormat="1">
      <c r="B97" s="524"/>
      <c r="C97" s="524"/>
      <c r="D97" s="524"/>
      <c r="E97" s="524"/>
      <c r="F97" s="524"/>
      <c r="G97" s="524"/>
      <c r="H97" s="524"/>
      <c r="I97" s="524"/>
    </row>
    <row r="98" spans="2:15" s="3537" customFormat="1">
      <c r="B98" s="524"/>
      <c r="C98" s="524"/>
      <c r="D98" s="524"/>
      <c r="E98" s="524"/>
      <c r="F98" s="524"/>
      <c r="G98" s="524"/>
      <c r="H98" s="524"/>
      <c r="I98" s="524"/>
    </row>
    <row r="99" spans="2:15" s="3537" customFormat="1">
      <c r="B99" s="524"/>
      <c r="C99" s="524"/>
      <c r="D99" s="524"/>
      <c r="E99" s="524"/>
      <c r="F99" s="524"/>
      <c r="G99" s="524"/>
      <c r="H99" s="524"/>
      <c r="I99" s="524"/>
    </row>
    <row r="100" spans="2:15" s="3537" customFormat="1">
      <c r="B100" s="524"/>
      <c r="C100" s="524"/>
      <c r="D100" s="524"/>
      <c r="E100" s="524"/>
      <c r="F100" s="524"/>
      <c r="G100" s="524"/>
      <c r="H100" s="524"/>
      <c r="I100" s="524"/>
    </row>
    <row r="101" spans="2:15" s="3537" customFormat="1">
      <c r="B101" s="524"/>
      <c r="C101" s="524"/>
      <c r="D101" s="524"/>
      <c r="E101" s="524"/>
      <c r="F101" s="524"/>
      <c r="G101" s="524"/>
      <c r="H101" s="524"/>
      <c r="I101" s="524"/>
    </row>
    <row r="102" spans="2:15" s="3537" customFormat="1">
      <c r="B102" s="524"/>
      <c r="C102" s="524"/>
      <c r="D102" s="524"/>
      <c r="E102" s="524"/>
      <c r="F102" s="524"/>
      <c r="G102" s="524"/>
      <c r="H102" s="524"/>
      <c r="I102" s="524"/>
    </row>
    <row r="103" spans="2:15" s="3537" customFormat="1">
      <c r="B103" s="524"/>
      <c r="C103" s="524"/>
      <c r="D103" s="524"/>
      <c r="E103" s="524"/>
      <c r="F103" s="524"/>
      <c r="G103" s="524"/>
      <c r="H103" s="524"/>
      <c r="I103" s="524"/>
    </row>
    <row r="107" spans="2:15">
      <c r="B107" s="3149" t="s">
        <v>2597</v>
      </c>
      <c r="C107" s="3149"/>
      <c r="D107" s="3147"/>
      <c r="E107" s="3147"/>
      <c r="F107" s="3147"/>
      <c r="G107" s="3147"/>
      <c r="H107" s="3147"/>
      <c r="I107" s="3147"/>
      <c r="J107" s="3148"/>
      <c r="K107" s="3148"/>
      <c r="L107" s="3148"/>
      <c r="M107" s="3148"/>
      <c r="N107" s="3148"/>
      <c r="O107" s="3148"/>
    </row>
    <row r="113" spans="2:15" s="3153" customFormat="1">
      <c r="B113" s="3149" t="s">
        <v>2607</v>
      </c>
      <c r="C113" s="3149"/>
      <c r="D113" s="3147"/>
      <c r="E113" s="3147"/>
      <c r="F113" s="3147"/>
      <c r="G113" s="3147"/>
      <c r="H113" s="3147"/>
      <c r="I113" s="3147"/>
      <c r="J113" s="3148"/>
      <c r="K113" s="3148"/>
      <c r="L113" s="3148"/>
      <c r="M113" s="3148"/>
      <c r="N113" s="3148"/>
      <c r="O113" s="3148"/>
    </row>
    <row r="115" spans="2:15">
      <c r="B115" s="2024" t="s">
        <v>1904</v>
      </c>
      <c r="C115" s="2024"/>
      <c r="F115" s="524" t="s">
        <v>2565</v>
      </c>
      <c r="G115" s="524" t="s">
        <v>2608</v>
      </c>
      <c r="H115" s="524" t="s">
        <v>2609</v>
      </c>
      <c r="J115" s="524"/>
    </row>
    <row r="116" spans="2:15">
      <c r="B116" s="1905" t="s">
        <v>3539</v>
      </c>
      <c r="C116" s="1905">
        <v>5</v>
      </c>
      <c r="D116" s="1907">
        <v>1</v>
      </c>
      <c r="E116" s="524">
        <v>1</v>
      </c>
      <c r="F116" s="4188">
        <v>0.3</v>
      </c>
      <c r="G116" s="524">
        <f>D116*E116*C116</f>
        <v>5</v>
      </c>
      <c r="H116" s="524">
        <v>0.9</v>
      </c>
      <c r="I116" s="524">
        <f>G116*H116</f>
        <v>4.5</v>
      </c>
      <c r="J116" s="524"/>
    </row>
    <row r="117" spans="2:15">
      <c r="B117" s="1905" t="s">
        <v>3540</v>
      </c>
      <c r="C117" s="1905">
        <v>1</v>
      </c>
      <c r="D117" s="1907">
        <f>0.77+36.31</f>
        <v>37.08</v>
      </c>
      <c r="E117" s="524">
        <v>0.6</v>
      </c>
      <c r="F117" s="4188">
        <v>0.45</v>
      </c>
      <c r="G117" s="524">
        <f>D117*E117*C117</f>
        <v>22.25</v>
      </c>
      <c r="H117" s="524">
        <v>0.9</v>
      </c>
      <c r="I117" s="524">
        <f>G117*H117</f>
        <v>20.03</v>
      </c>
      <c r="J117" s="524"/>
    </row>
    <row r="118" spans="2:15">
      <c r="B118" s="40" t="s">
        <v>2357</v>
      </c>
      <c r="C118" s="40"/>
      <c r="D118" s="1907"/>
      <c r="F118" s="4188"/>
      <c r="J118" s="524"/>
    </row>
    <row r="119" spans="2:15">
      <c r="J119" s="2024">
        <f>SUM(I116:I118)</f>
        <v>24.53</v>
      </c>
    </row>
    <row r="120" spans="2:15">
      <c r="B120" s="2024" t="s">
        <v>2610</v>
      </c>
      <c r="C120" s="524">
        <f>J119-J123</f>
        <v>16.36</v>
      </c>
    </row>
    <row r="121" spans="2:15">
      <c r="B121" s="524" t="s">
        <v>3541</v>
      </c>
      <c r="C121" s="3144"/>
      <c r="F121" s="524">
        <f>380.5-380-0.15</f>
        <v>0.35</v>
      </c>
      <c r="G121" s="524">
        <v>59.93</v>
      </c>
    </row>
    <row r="122" spans="2:15" s="4189" customFormat="1">
      <c r="B122" s="524"/>
      <c r="C122" s="524"/>
      <c r="D122" s="524"/>
      <c r="E122" s="524"/>
      <c r="F122" s="524"/>
      <c r="G122" s="524"/>
      <c r="H122" s="524"/>
      <c r="I122" s="524"/>
    </row>
    <row r="123" spans="2:15">
      <c r="B123" s="524" t="s">
        <v>2611</v>
      </c>
      <c r="J123" s="524">
        <f>SUM(I125:I127)</f>
        <v>8.17</v>
      </c>
    </row>
    <row r="125" spans="2:15">
      <c r="B125" s="1905" t="s">
        <v>3539</v>
      </c>
      <c r="C125" s="1905">
        <v>5</v>
      </c>
      <c r="D125" s="1907">
        <v>1</v>
      </c>
      <c r="E125" s="524">
        <v>1</v>
      </c>
      <c r="F125" s="4188">
        <v>0.3</v>
      </c>
      <c r="I125" s="524">
        <f>C125*D125*E125*F125</f>
        <v>1.5</v>
      </c>
    </row>
    <row r="126" spans="2:15">
      <c r="B126" s="1905" t="s">
        <v>3540</v>
      </c>
      <c r="C126" s="1905">
        <v>1</v>
      </c>
      <c r="D126" s="1907">
        <f>0.77+36.31</f>
        <v>37.08</v>
      </c>
      <c r="E126" s="524">
        <v>0.6</v>
      </c>
      <c r="F126" s="4188">
        <v>0.3</v>
      </c>
      <c r="I126" s="524">
        <f>C126*D126*E126*F126</f>
        <v>6.67</v>
      </c>
    </row>
    <row r="127" spans="2:15">
      <c r="D127" s="524">
        <f>0.325*9</f>
        <v>2.93</v>
      </c>
    </row>
    <row r="130" spans="2:14">
      <c r="B130" s="2024" t="s">
        <v>2634</v>
      </c>
      <c r="C130" s="2024"/>
      <c r="D130" s="3159" t="s">
        <v>1896</v>
      </c>
      <c r="E130" s="3159" t="s">
        <v>207</v>
      </c>
    </row>
    <row r="131" spans="2:14" s="3158" customFormat="1">
      <c r="B131" s="3174" t="s">
        <v>2567</v>
      </c>
      <c r="C131" s="3174"/>
      <c r="E131" s="524">
        <f>SUM(E132:E140)</f>
        <v>322.02999999999997</v>
      </c>
      <c r="F131" s="524"/>
      <c r="G131" s="524"/>
      <c r="H131" s="524"/>
      <c r="I131" s="524"/>
    </row>
    <row r="132" spans="2:14" s="3158" customFormat="1">
      <c r="B132" s="524" t="s">
        <v>2446</v>
      </c>
      <c r="C132" s="524"/>
      <c r="D132" s="3159">
        <v>1.1599999999999999</v>
      </c>
      <c r="E132" s="524">
        <f>D132/(0.4*0.4)*0.4*4</f>
        <v>11.6</v>
      </c>
      <c r="F132" s="524"/>
      <c r="G132" s="524"/>
      <c r="H132" s="524"/>
      <c r="I132" s="524"/>
    </row>
    <row r="133" spans="2:14" s="3158" customFormat="1">
      <c r="B133" s="524" t="s">
        <v>2354</v>
      </c>
      <c r="C133" s="524"/>
      <c r="D133" s="3159">
        <v>6.98</v>
      </c>
      <c r="E133" s="524">
        <f>0.35*4*D133/(0.35*0.35)</f>
        <v>79.77</v>
      </c>
      <c r="F133" s="524"/>
      <c r="G133" s="524"/>
      <c r="H133" s="524"/>
      <c r="I133" s="524"/>
    </row>
    <row r="134" spans="2:14" s="3158" customFormat="1">
      <c r="B134" s="524" t="s">
        <v>2355</v>
      </c>
      <c r="C134" s="524"/>
      <c r="D134" s="3159">
        <v>3.04</v>
      </c>
      <c r="E134" s="524">
        <f>D134/(0.25*0.5)*(0.25+0.38*2)</f>
        <v>24.56</v>
      </c>
      <c r="F134" s="524"/>
      <c r="G134" s="524"/>
      <c r="H134" s="524"/>
      <c r="I134" s="524"/>
    </row>
    <row r="135" spans="2:14" s="3158" customFormat="1">
      <c r="B135" s="524" t="s">
        <v>2356</v>
      </c>
      <c r="C135" s="524"/>
      <c r="D135" s="3159">
        <v>5.31</v>
      </c>
      <c r="E135" s="524">
        <f>D135/(0.25*0.4)*(0.25*0.28*2)</f>
        <v>7.43</v>
      </c>
      <c r="F135" s="524"/>
      <c r="G135" s="524"/>
      <c r="H135" s="524"/>
      <c r="I135" s="524"/>
    </row>
    <row r="136" spans="2:14" s="3158" customFormat="1">
      <c r="B136" s="524" t="s">
        <v>2358</v>
      </c>
      <c r="C136" s="524"/>
      <c r="D136" s="3159">
        <v>8.4700000000000006</v>
      </c>
      <c r="E136" s="524">
        <f>D136/0.15</f>
        <v>56.47</v>
      </c>
      <c r="F136" s="524"/>
      <c r="G136" s="524"/>
      <c r="H136" s="524"/>
      <c r="I136" s="524"/>
    </row>
    <row r="137" spans="2:14" s="3158" customFormat="1">
      <c r="B137" s="524" t="s">
        <v>2359</v>
      </c>
      <c r="C137" s="524"/>
      <c r="D137" s="3159">
        <v>11.09</v>
      </c>
      <c r="E137" s="524">
        <f>D137/0.15</f>
        <v>73.930000000000007</v>
      </c>
      <c r="F137" s="524"/>
      <c r="G137" s="524"/>
      <c r="H137" s="524"/>
      <c r="I137" s="524"/>
    </row>
    <row r="138" spans="2:14" s="3158" customFormat="1">
      <c r="B138" s="524" t="s">
        <v>2605</v>
      </c>
      <c r="C138" s="524"/>
      <c r="D138" s="3159">
        <v>6.26</v>
      </c>
      <c r="E138" s="524">
        <f>D138/0.2</f>
        <v>31.3</v>
      </c>
      <c r="F138" s="524"/>
      <c r="G138" s="524"/>
      <c r="H138" s="524"/>
      <c r="I138" s="524"/>
    </row>
    <row r="139" spans="2:14" s="3158" customFormat="1">
      <c r="B139" s="524" t="s">
        <v>2606</v>
      </c>
      <c r="C139" s="524"/>
      <c r="D139" s="3159">
        <v>0.85</v>
      </c>
      <c r="E139" s="524">
        <f>D139/0.15</f>
        <v>5.67</v>
      </c>
      <c r="F139" s="524"/>
      <c r="G139" s="524"/>
      <c r="H139" s="524"/>
      <c r="I139" s="524"/>
    </row>
    <row r="140" spans="2:14" s="3158" customFormat="1">
      <c r="B140" s="524" t="s">
        <v>2605</v>
      </c>
      <c r="C140" s="524"/>
      <c r="D140" s="3159">
        <v>6.26</v>
      </c>
      <c r="E140" s="524">
        <f>D140/0.2</f>
        <v>31.3</v>
      </c>
      <c r="F140" s="524"/>
      <c r="G140" s="524"/>
      <c r="H140" s="524"/>
      <c r="I140" s="524"/>
    </row>
    <row r="141" spans="2:14" s="3158" customFormat="1">
      <c r="B141" s="524"/>
      <c r="C141" s="524"/>
      <c r="D141" s="524"/>
      <c r="E141" s="524"/>
      <c r="F141" s="524"/>
      <c r="G141" s="524"/>
      <c r="H141" s="524"/>
      <c r="I141" s="524"/>
    </row>
    <row r="142" spans="2:14" s="3158" customFormat="1">
      <c r="C142" s="4189"/>
      <c r="D142" s="524"/>
      <c r="E142" s="524"/>
      <c r="F142" s="524"/>
      <c r="G142" s="524"/>
      <c r="H142" s="524"/>
      <c r="I142" s="3159" t="s">
        <v>12</v>
      </c>
      <c r="K142" s="3158" t="s">
        <v>2962</v>
      </c>
      <c r="L142" s="3158" t="s">
        <v>2628</v>
      </c>
      <c r="N142" s="3158">
        <f>SUM(M143:M144)</f>
        <v>295.36200000000002</v>
      </c>
    </row>
    <row r="143" spans="2:14" s="3158" customFormat="1">
      <c r="B143" s="524" t="s">
        <v>2635</v>
      </c>
      <c r="C143" s="524"/>
      <c r="D143" s="524">
        <f>203.22*2+E131</f>
        <v>728.47</v>
      </c>
      <c r="E143" s="524"/>
      <c r="F143" s="524">
        <f>47.04*2.8</f>
        <v>131.71</v>
      </c>
      <c r="G143" s="524" t="s">
        <v>2960</v>
      </c>
      <c r="H143" s="4202">
        <v>49.5</v>
      </c>
      <c r="I143" s="4202">
        <v>2.8</v>
      </c>
      <c r="J143" s="3158">
        <f>H143*I143</f>
        <v>138.6</v>
      </c>
      <c r="K143" s="3158">
        <f>2.1*1.6</f>
        <v>3.36</v>
      </c>
      <c r="L143" s="3158">
        <f>1.4*1*4+1.8*1+0.5*0.5</f>
        <v>7.65</v>
      </c>
      <c r="M143" s="3158">
        <f>J143-K143-L143</f>
        <v>127.59</v>
      </c>
    </row>
    <row r="144" spans="2:14" s="3158" customFormat="1">
      <c r="B144" s="524"/>
      <c r="C144" s="524"/>
      <c r="D144" s="524"/>
      <c r="E144" s="524"/>
      <c r="F144" s="524"/>
      <c r="G144" s="524" t="s">
        <v>2961</v>
      </c>
      <c r="H144" s="4202">
        <v>48.56</v>
      </c>
      <c r="I144" s="4202">
        <f>3.45+0.25</f>
        <v>3.7</v>
      </c>
      <c r="J144" s="3530">
        <f>H144*I144</f>
        <v>179.672</v>
      </c>
      <c r="K144" s="3158">
        <f>1*2.1</f>
        <v>2.1</v>
      </c>
      <c r="L144" s="3158">
        <f>1.2*1*2+1*1.4*4+1.8*1*1</f>
        <v>9.8000000000000007</v>
      </c>
      <c r="M144" s="3530">
        <f>J144-K144-L144</f>
        <v>167.77199999999999</v>
      </c>
    </row>
    <row r="145" spans="2:14" s="3158" customFormat="1">
      <c r="B145" s="524" t="s">
        <v>2361</v>
      </c>
      <c r="C145" s="524"/>
      <c r="D145" s="524"/>
      <c r="E145" s="524"/>
      <c r="F145" s="524"/>
      <c r="G145" s="524" t="s">
        <v>3548</v>
      </c>
      <c r="H145" s="524"/>
      <c r="I145" s="524"/>
      <c r="M145" s="3530">
        <f>21.05*2</f>
        <v>42.1</v>
      </c>
    </row>
    <row r="146" spans="2:14" s="3158" customFormat="1">
      <c r="B146" s="524" t="s">
        <v>3525</v>
      </c>
      <c r="C146" s="524"/>
      <c r="D146" s="524"/>
      <c r="E146" s="524"/>
      <c r="F146" s="524"/>
      <c r="G146" s="524" t="s">
        <v>2963</v>
      </c>
      <c r="H146" s="524">
        <v>33.4</v>
      </c>
      <c r="I146" s="524">
        <v>6.2</v>
      </c>
      <c r="J146" s="3158">
        <f>H146*I146</f>
        <v>207.08</v>
      </c>
      <c r="K146" s="3158">
        <f>SUM(K143:K144)</f>
        <v>5.46</v>
      </c>
      <c r="L146" s="3530">
        <f>SUM(L143:L144)</f>
        <v>17.45</v>
      </c>
      <c r="M146" s="3530">
        <f t="shared" ref="M146" si="5">J146-K146-L146</f>
        <v>184.17</v>
      </c>
    </row>
    <row r="147" spans="2:14" s="3158" customFormat="1">
      <c r="B147" s="524" t="s">
        <v>1548</v>
      </c>
      <c r="C147" s="524"/>
      <c r="D147" s="524"/>
      <c r="E147" s="524"/>
      <c r="F147" s="524"/>
      <c r="G147" s="524"/>
      <c r="H147" s="524"/>
      <c r="I147" s="524"/>
      <c r="N147" s="3158">
        <f>SUM(M143:M146)</f>
        <v>521.63199999999995</v>
      </c>
    </row>
    <row r="148" spans="2:14" s="3158" customFormat="1">
      <c r="B148" s="524" t="s">
        <v>2362</v>
      </c>
      <c r="C148" s="524"/>
      <c r="D148" s="524"/>
      <c r="E148" s="524"/>
      <c r="F148" s="524" t="s">
        <v>200</v>
      </c>
      <c r="G148" s="524" t="s">
        <v>200</v>
      </c>
      <c r="H148" s="524">
        <f>2+40</f>
        <v>42</v>
      </c>
      <c r="I148" s="524">
        <v>0.4</v>
      </c>
      <c r="J148" s="3536">
        <f>H148*I148</f>
        <v>16.8</v>
      </c>
      <c r="M148" s="3536">
        <f>J148-K148-L148</f>
        <v>16.8</v>
      </c>
    </row>
    <row r="149" spans="2:14" s="3158" customFormat="1">
      <c r="B149" s="524" t="s">
        <v>2363</v>
      </c>
      <c r="C149" s="524"/>
      <c r="D149" s="524"/>
      <c r="E149" s="524"/>
      <c r="F149" s="524" t="s">
        <v>2965</v>
      </c>
      <c r="G149" s="524" t="s">
        <v>2960</v>
      </c>
      <c r="H149" s="524">
        <f>H148-0.9-0.8</f>
        <v>40.299999999999997</v>
      </c>
      <c r="I149" s="524">
        <f>I143+0.5</f>
        <v>3.3</v>
      </c>
      <c r="J149" s="3536">
        <f>H149*I149</f>
        <v>132.99</v>
      </c>
      <c r="K149" s="3536">
        <f>K143</f>
        <v>3.36</v>
      </c>
      <c r="L149" s="3536">
        <f>L143</f>
        <v>7.65</v>
      </c>
      <c r="M149" s="3536">
        <f>J149-K149-L149</f>
        <v>121.98</v>
      </c>
    </row>
    <row r="150" spans="2:14" s="3158" customFormat="1">
      <c r="B150" s="524" t="s">
        <v>2364</v>
      </c>
      <c r="C150" s="524"/>
      <c r="D150" s="524"/>
      <c r="E150" s="524"/>
      <c r="F150" s="524" t="s">
        <v>2965</v>
      </c>
      <c r="G150" s="524" t="s">
        <v>2964</v>
      </c>
      <c r="H150" s="524">
        <v>45.37</v>
      </c>
      <c r="I150" s="524">
        <f>-0.45+3.7</f>
        <v>3.25</v>
      </c>
      <c r="J150" s="3536">
        <f>H150*I150</f>
        <v>147.45249999999999</v>
      </c>
      <c r="K150" s="3158">
        <f>K144</f>
        <v>2.1</v>
      </c>
      <c r="L150" s="3536">
        <f>L144</f>
        <v>9.8000000000000007</v>
      </c>
      <c r="M150" s="3536">
        <f>J150-K150-L150</f>
        <v>135.55250000000001</v>
      </c>
    </row>
    <row r="151" spans="2:14" s="3158" customFormat="1">
      <c r="B151" s="524" t="s">
        <v>2365</v>
      </c>
      <c r="C151" s="524"/>
      <c r="D151" s="524"/>
      <c r="E151" s="524"/>
      <c r="F151" s="524"/>
      <c r="G151" s="524"/>
      <c r="H151" s="524"/>
      <c r="I151" s="524"/>
      <c r="N151" s="3158">
        <f>SUM(M149:M150)</f>
        <v>257.53250000000003</v>
      </c>
    </row>
    <row r="152" spans="2:14" s="3158" customFormat="1">
      <c r="B152" s="524" t="s">
        <v>2366</v>
      </c>
      <c r="C152" s="524"/>
      <c r="D152" s="524"/>
      <c r="E152" s="524"/>
      <c r="F152" s="524"/>
      <c r="G152" s="524"/>
      <c r="H152" s="524"/>
      <c r="I152" s="524"/>
    </row>
    <row r="153" spans="2:14" s="3158" customFormat="1">
      <c r="B153" s="524" t="s">
        <v>2367</v>
      </c>
      <c r="C153" s="524"/>
      <c r="D153" s="524"/>
      <c r="E153" s="524"/>
      <c r="F153" s="524"/>
      <c r="G153" s="524"/>
      <c r="H153" s="524"/>
      <c r="I153" s="524"/>
    </row>
    <row r="154" spans="2:14" s="3158" customFormat="1">
      <c r="B154" s="524" t="s">
        <v>2368</v>
      </c>
      <c r="C154" s="524"/>
      <c r="D154" s="524"/>
      <c r="E154" s="524"/>
      <c r="F154" s="524"/>
      <c r="G154" s="524"/>
      <c r="H154" s="524"/>
      <c r="I154" s="524"/>
    </row>
    <row r="155" spans="2:14" s="3158" customFormat="1">
      <c r="B155" s="524" t="s">
        <v>2369</v>
      </c>
      <c r="C155" s="524"/>
      <c r="D155" s="524"/>
      <c r="E155" s="524"/>
      <c r="F155" s="524"/>
      <c r="G155" s="524"/>
      <c r="H155" s="524"/>
      <c r="I155" s="524"/>
    </row>
    <row r="156" spans="2:14" s="3158" customFormat="1">
      <c r="B156" s="524" t="s">
        <v>2352</v>
      </c>
      <c r="C156" s="524"/>
      <c r="D156" s="524"/>
      <c r="E156" s="524"/>
      <c r="F156" s="524"/>
      <c r="G156" s="524"/>
      <c r="H156" s="524"/>
      <c r="I156" s="524"/>
    </row>
    <row r="157" spans="2:14" s="3158" customFormat="1">
      <c r="B157" s="524" t="s">
        <v>2346</v>
      </c>
      <c r="C157" s="524"/>
      <c r="D157" s="524"/>
      <c r="E157" s="524"/>
      <c r="F157" s="524"/>
      <c r="G157" s="524"/>
      <c r="H157" s="524"/>
      <c r="I157" s="524"/>
    </row>
    <row r="158" spans="2:14" s="3158" customFormat="1">
      <c r="B158" s="524"/>
      <c r="C158" s="524"/>
      <c r="D158" s="524"/>
      <c r="E158" s="524"/>
      <c r="F158" s="524"/>
      <c r="G158" s="524"/>
      <c r="H158" s="524"/>
      <c r="I158" s="524"/>
    </row>
    <row r="159" spans="2:14" s="3158" customFormat="1">
      <c r="B159" s="524"/>
      <c r="C159" s="524"/>
      <c r="D159" s="524"/>
      <c r="E159" s="524"/>
      <c r="F159" s="524"/>
      <c r="G159" s="524"/>
      <c r="H159" s="524"/>
      <c r="I159" s="524"/>
    </row>
    <row r="160" spans="2:14" s="3158" customFormat="1">
      <c r="B160" s="524"/>
      <c r="C160" s="524"/>
      <c r="D160" s="524"/>
      <c r="E160" s="524"/>
      <c r="F160" s="524"/>
      <c r="G160" s="524"/>
      <c r="H160" s="524"/>
      <c r="I160" s="524"/>
    </row>
    <row r="161" spans="2:15" s="3158" customFormat="1">
      <c r="B161" s="524" t="s">
        <v>2628</v>
      </c>
      <c r="C161" s="524"/>
      <c r="D161" s="524">
        <f>(1.4*5+1.2*4+0.5)*3.28*1.4*3.28</f>
        <v>185.26</v>
      </c>
      <c r="E161" s="524"/>
      <c r="F161" s="524"/>
      <c r="G161" s="524"/>
      <c r="H161" s="524"/>
      <c r="I161" s="524"/>
    </row>
    <row r="162" spans="2:15" s="3158" customFormat="1">
      <c r="B162" s="524"/>
      <c r="C162" s="524"/>
      <c r="D162" s="524"/>
      <c r="E162" s="524"/>
      <c r="F162" s="524"/>
      <c r="G162" s="524"/>
      <c r="H162" s="524"/>
      <c r="I162" s="524"/>
    </row>
    <row r="163" spans="2:15" s="3158" customFormat="1">
      <c r="B163" s="524"/>
      <c r="C163" s="524"/>
      <c r="D163" s="524"/>
      <c r="E163" s="524"/>
      <c r="F163" s="524"/>
      <c r="G163" s="524"/>
      <c r="H163" s="524"/>
      <c r="I163" s="524"/>
    </row>
    <row r="164" spans="2:15" s="3530" customFormat="1">
      <c r="B164" s="3149" t="s">
        <v>1771</v>
      </c>
      <c r="C164" s="3149"/>
      <c r="D164" s="3147"/>
      <c r="E164" s="3147"/>
      <c r="F164" s="3147"/>
      <c r="G164" s="3147"/>
      <c r="H164" s="3147"/>
      <c r="I164" s="3147"/>
      <c r="J164" s="3148"/>
      <c r="K164" s="3148"/>
      <c r="L164" s="3148"/>
      <c r="M164" s="3148"/>
      <c r="N164" s="3148"/>
      <c r="O164" s="3148"/>
    </row>
    <row r="165" spans="2:15" s="3158" customFormat="1">
      <c r="B165" s="524"/>
      <c r="C165" s="524"/>
      <c r="D165" s="524"/>
      <c r="E165" s="524"/>
      <c r="F165" s="524"/>
      <c r="G165" s="524"/>
      <c r="H165" s="524"/>
      <c r="I165" s="524"/>
    </row>
    <row r="166" spans="2:15" s="3158" customFormat="1">
      <c r="B166" s="524"/>
      <c r="C166" s="524"/>
      <c r="D166" s="524"/>
      <c r="E166" s="524"/>
      <c r="F166" s="524"/>
      <c r="G166" s="524"/>
      <c r="H166" s="524"/>
      <c r="I166" s="524"/>
    </row>
    <row r="167" spans="2:15" s="3158" customFormat="1">
      <c r="B167" s="2024" t="s">
        <v>1904</v>
      </c>
      <c r="C167" s="2024"/>
      <c r="D167" s="524" t="s">
        <v>2939</v>
      </c>
      <c r="E167" s="524" t="s">
        <v>2609</v>
      </c>
      <c r="F167" s="524"/>
      <c r="G167" s="524">
        <f>SUM(F168:F169)</f>
        <v>11.8</v>
      </c>
      <c r="H167" s="524"/>
      <c r="I167" s="524"/>
    </row>
    <row r="168" spans="2:15" s="3158" customFormat="1">
      <c r="B168" s="524" t="s">
        <v>2938</v>
      </c>
      <c r="C168" s="524"/>
      <c r="D168" s="524">
        <v>8.7200000000000006</v>
      </c>
      <c r="E168" s="524">
        <v>0.85</v>
      </c>
      <c r="F168" s="524">
        <f>E168*D168</f>
        <v>7.41</v>
      </c>
      <c r="G168" s="524"/>
      <c r="H168" s="524"/>
      <c r="I168" s="524"/>
    </row>
    <row r="169" spans="2:15" s="3158" customFormat="1">
      <c r="B169" s="524" t="s">
        <v>2619</v>
      </c>
      <c r="C169" s="524"/>
      <c r="D169" s="524">
        <v>5.17</v>
      </c>
      <c r="E169" s="524">
        <v>0.85</v>
      </c>
      <c r="F169" s="524">
        <f>E169*D169</f>
        <v>4.3899999999999997</v>
      </c>
      <c r="G169" s="524"/>
      <c r="H169" s="524"/>
      <c r="I169" s="524"/>
    </row>
    <row r="170" spans="2:15" s="3158" customFormat="1">
      <c r="B170" s="524"/>
      <c r="C170" s="524"/>
      <c r="D170" s="524"/>
      <c r="E170" s="524"/>
      <c r="F170" s="524"/>
      <c r="G170" s="524"/>
      <c r="H170" s="524"/>
      <c r="I170" s="524"/>
    </row>
    <row r="171" spans="2:15" s="3158" customFormat="1">
      <c r="B171" s="2024" t="s">
        <v>2610</v>
      </c>
      <c r="C171" s="2024"/>
      <c r="D171" s="524"/>
      <c r="E171" s="524"/>
      <c r="F171" s="524"/>
      <c r="G171" s="524"/>
      <c r="H171" s="524"/>
      <c r="I171" s="524"/>
    </row>
    <row r="172" spans="2:15" s="3158" customFormat="1">
      <c r="B172" s="524" t="s">
        <v>2940</v>
      </c>
      <c r="C172" s="524"/>
      <c r="D172" s="524">
        <f>G167</f>
        <v>11.8</v>
      </c>
      <c r="E172" s="524"/>
      <c r="F172" s="524"/>
      <c r="G172" s="524">
        <f>D172-D173</f>
        <v>7.9</v>
      </c>
      <c r="H172" s="524"/>
      <c r="I172" s="524"/>
    </row>
    <row r="173" spans="2:15" s="3158" customFormat="1">
      <c r="B173" s="524" t="s">
        <v>2941</v>
      </c>
      <c r="C173" s="524"/>
      <c r="D173" s="524">
        <f>D176+D177</f>
        <v>3.9</v>
      </c>
      <c r="E173" s="524"/>
      <c r="F173" s="524"/>
      <c r="G173" s="524"/>
      <c r="H173" s="524"/>
      <c r="I173" s="524"/>
    </row>
    <row r="174" spans="2:15" s="3158" customFormat="1">
      <c r="B174" s="524" t="s">
        <v>2944</v>
      </c>
      <c r="C174" s="524"/>
      <c r="D174" s="524"/>
      <c r="E174" s="524"/>
      <c r="F174" s="524"/>
      <c r="G174" s="524">
        <f>D173*1.35</f>
        <v>5.27</v>
      </c>
      <c r="H174" s="524"/>
      <c r="I174" s="524"/>
    </row>
    <row r="175" spans="2:15" s="3158" customFormat="1">
      <c r="B175" s="524"/>
      <c r="C175" s="524"/>
      <c r="D175" s="524" t="s">
        <v>2617</v>
      </c>
      <c r="E175" s="524"/>
      <c r="F175" s="524"/>
      <c r="G175" s="524"/>
      <c r="H175" s="524"/>
      <c r="I175" s="524"/>
    </row>
    <row r="176" spans="2:15" s="3158" customFormat="1">
      <c r="B176" s="524" t="s">
        <v>2942</v>
      </c>
      <c r="C176" s="524"/>
      <c r="D176" s="524">
        <v>2.61</v>
      </c>
      <c r="E176" s="524"/>
      <c r="F176" s="524"/>
      <c r="G176" s="524"/>
      <c r="H176" s="524"/>
      <c r="I176" s="524"/>
    </row>
    <row r="177" spans="2:9" s="3158" customFormat="1">
      <c r="B177" s="524" t="s">
        <v>2943</v>
      </c>
      <c r="C177" s="524"/>
      <c r="D177" s="524">
        <v>1.29</v>
      </c>
      <c r="E177" s="524"/>
      <c r="F177" s="524"/>
      <c r="G177" s="524"/>
      <c r="H177" s="524"/>
      <c r="I177" s="524"/>
    </row>
    <row r="178" spans="2:9" s="3158" customFormat="1">
      <c r="B178" s="524"/>
      <c r="C178" s="524"/>
      <c r="D178" s="524"/>
      <c r="E178" s="524"/>
      <c r="F178" s="524"/>
      <c r="G178" s="524"/>
      <c r="H178" s="524"/>
      <c r="I178" s="524"/>
    </row>
    <row r="179" spans="2:9" s="3158" customFormat="1">
      <c r="B179" s="524"/>
      <c r="C179" s="524"/>
      <c r="D179" s="524"/>
      <c r="E179" s="524"/>
      <c r="F179" s="524"/>
      <c r="G179" s="524"/>
      <c r="H179" s="524"/>
      <c r="I179" s="524"/>
    </row>
    <row r="180" spans="2:9" s="3158" customFormat="1">
      <c r="B180" s="524"/>
      <c r="C180" s="524"/>
      <c r="D180" s="524"/>
      <c r="E180" s="524"/>
      <c r="F180" s="524"/>
      <c r="G180" s="524"/>
      <c r="H180" s="524"/>
      <c r="I180" s="524"/>
    </row>
    <row r="181" spans="2:9" s="3158" customFormat="1">
      <c r="B181" s="524"/>
      <c r="C181" s="524"/>
      <c r="D181" s="524"/>
      <c r="E181" s="524"/>
      <c r="F181" s="524"/>
      <c r="G181" s="524"/>
      <c r="H181" s="524"/>
      <c r="I181" s="524"/>
    </row>
    <row r="182" spans="2:9" s="3158" customFormat="1">
      <c r="B182" s="524"/>
      <c r="C182" s="524"/>
      <c r="D182" s="524"/>
      <c r="E182" s="524"/>
      <c r="F182" s="524"/>
      <c r="G182" s="524"/>
      <c r="H182" s="524"/>
      <c r="I182" s="524"/>
    </row>
    <row r="183" spans="2:9" s="3158" customFormat="1">
      <c r="B183" s="524"/>
      <c r="C183" s="524"/>
      <c r="D183" s="524"/>
      <c r="E183" s="524"/>
      <c r="F183" s="524"/>
      <c r="G183" s="524"/>
      <c r="H183" s="524"/>
      <c r="I183" s="524"/>
    </row>
    <row r="184" spans="2:9" s="3158" customFormat="1">
      <c r="B184" s="524"/>
      <c r="C184" s="524"/>
      <c r="D184" s="524"/>
      <c r="E184" s="524"/>
      <c r="F184" s="524"/>
      <c r="G184" s="524"/>
      <c r="H184" s="524"/>
      <c r="I184" s="524"/>
    </row>
    <row r="185" spans="2:9" s="3158" customFormat="1">
      <c r="B185" s="524"/>
      <c r="C185" s="524"/>
      <c r="D185" s="524"/>
      <c r="E185" s="524"/>
      <c r="F185" s="524"/>
      <c r="G185" s="524"/>
      <c r="H185" s="524"/>
      <c r="I185" s="524"/>
    </row>
    <row r="186" spans="2:9" s="3158" customFormat="1">
      <c r="B186" s="524"/>
      <c r="C186" s="524"/>
      <c r="D186" s="524"/>
      <c r="E186" s="524"/>
      <c r="F186" s="524"/>
      <c r="G186" s="524"/>
      <c r="H186" s="524"/>
      <c r="I186" s="524"/>
    </row>
    <row r="187" spans="2:9" s="3158" customFormat="1">
      <c r="B187" s="524"/>
      <c r="C187" s="524"/>
      <c r="D187" s="524"/>
      <c r="E187" s="524"/>
      <c r="F187" s="524"/>
      <c r="G187" s="524"/>
      <c r="H187" s="524"/>
      <c r="I187" s="524"/>
    </row>
    <row r="188" spans="2:9" s="3158" customFormat="1">
      <c r="B188" s="524"/>
      <c r="C188" s="524"/>
      <c r="D188" s="524"/>
      <c r="E188" s="524"/>
      <c r="F188" s="524"/>
      <c r="G188" s="524"/>
      <c r="H188" s="524"/>
      <c r="I188" s="524"/>
    </row>
    <row r="189" spans="2:9" s="3158" customFormat="1">
      <c r="B189" s="524"/>
      <c r="C189" s="524"/>
      <c r="D189" s="524"/>
      <c r="E189" s="524"/>
      <c r="F189" s="524"/>
      <c r="G189" s="524"/>
      <c r="H189" s="524"/>
      <c r="I189" s="524"/>
    </row>
    <row r="190" spans="2:9" s="3158" customFormat="1">
      <c r="B190" s="524"/>
      <c r="C190" s="524"/>
      <c r="D190" s="524"/>
      <c r="E190" s="524"/>
      <c r="F190" s="524"/>
      <c r="G190" s="524"/>
      <c r="H190" s="524"/>
      <c r="I190" s="524"/>
    </row>
    <row r="191" spans="2:9" s="3158" customFormat="1">
      <c r="B191" s="524"/>
      <c r="C191" s="524"/>
      <c r="D191" s="524"/>
      <c r="E191" s="524"/>
      <c r="F191" s="524"/>
      <c r="G191" s="524"/>
      <c r="H191" s="524"/>
      <c r="I191" s="524"/>
    </row>
    <row r="192" spans="2:9" s="3158" customFormat="1">
      <c r="B192" s="524"/>
      <c r="C192" s="524"/>
      <c r="D192" s="524"/>
      <c r="E192" s="524"/>
      <c r="F192" s="524"/>
      <c r="G192" s="524"/>
      <c r="H192" s="524"/>
      <c r="I192" s="524"/>
    </row>
    <row r="193" spans="2:15" s="3158" customFormat="1">
      <c r="B193" s="524"/>
      <c r="C193" s="524"/>
      <c r="D193" s="524"/>
      <c r="E193" s="524"/>
      <c r="F193" s="524"/>
      <c r="G193" s="524"/>
      <c r="H193" s="524"/>
      <c r="I193" s="524"/>
    </row>
    <row r="194" spans="2:15" s="3158" customFormat="1">
      <c r="B194" s="524"/>
      <c r="C194" s="524"/>
      <c r="D194" s="524"/>
      <c r="E194" s="524"/>
      <c r="F194" s="524"/>
      <c r="G194" s="524"/>
      <c r="H194" s="524"/>
      <c r="I194" s="524"/>
    </row>
    <row r="195" spans="2:15" s="3158" customFormat="1">
      <c r="B195" s="524"/>
      <c r="C195" s="524"/>
      <c r="D195" s="524"/>
      <c r="E195" s="524"/>
      <c r="F195" s="524"/>
      <c r="G195" s="524"/>
      <c r="H195" s="524"/>
      <c r="I195" s="524"/>
    </row>
    <row r="196" spans="2:15" s="3158" customFormat="1">
      <c r="B196" s="524"/>
      <c r="C196" s="524"/>
      <c r="D196" s="524"/>
      <c r="E196" s="524"/>
      <c r="F196" s="524"/>
      <c r="G196" s="524"/>
      <c r="H196" s="524"/>
      <c r="I196" s="524"/>
    </row>
    <row r="197" spans="2:15" s="3158" customFormat="1">
      <c r="B197" s="524"/>
      <c r="C197" s="524"/>
      <c r="D197" s="524"/>
      <c r="E197" s="524"/>
      <c r="F197" s="524"/>
      <c r="G197" s="524"/>
      <c r="H197" s="524"/>
      <c r="I197" s="524"/>
    </row>
    <row r="198" spans="2:15" s="3158" customFormat="1">
      <c r="B198" s="524"/>
      <c r="C198" s="524"/>
      <c r="D198" s="524"/>
      <c r="E198" s="524"/>
      <c r="F198" s="524"/>
      <c r="G198" s="524"/>
      <c r="H198" s="524"/>
      <c r="I198" s="524"/>
    </row>
    <row r="199" spans="2:15" s="3156" customFormat="1">
      <c r="B199" s="3149" t="s">
        <v>2612</v>
      </c>
      <c r="C199" s="3149"/>
      <c r="D199" s="3147"/>
      <c r="E199" s="3147"/>
      <c r="F199" s="3147"/>
      <c r="G199" s="3147"/>
      <c r="H199" s="3147"/>
      <c r="I199" s="3147"/>
      <c r="J199" s="3148"/>
      <c r="K199" s="3148"/>
      <c r="L199" s="3148"/>
      <c r="M199" s="3148"/>
      <c r="N199" s="3148"/>
      <c r="O199" s="3148"/>
    </row>
    <row r="200" spans="2:15">
      <c r="B200" s="2024" t="s">
        <v>1904</v>
      </c>
      <c r="C200" s="2024"/>
      <c r="D200" s="3159" t="s">
        <v>2563</v>
      </c>
      <c r="E200" s="3159" t="s">
        <v>2614</v>
      </c>
      <c r="F200" s="3159" t="s">
        <v>2615</v>
      </c>
      <c r="G200" s="3159" t="s">
        <v>2616</v>
      </c>
      <c r="H200" s="524" t="s">
        <v>2617</v>
      </c>
    </row>
    <row r="201" spans="2:15" s="3157" customFormat="1">
      <c r="B201" s="524" t="s">
        <v>2619</v>
      </c>
      <c r="C201" s="524"/>
      <c r="D201" s="3159">
        <v>1</v>
      </c>
      <c r="E201" s="3159">
        <v>63.13</v>
      </c>
      <c r="F201" s="3159">
        <v>0.45</v>
      </c>
      <c r="G201" s="3159">
        <v>1.05</v>
      </c>
      <c r="H201" s="3159">
        <f>D201*E201*F201*G201</f>
        <v>29.83</v>
      </c>
      <c r="I201" s="524"/>
    </row>
    <row r="202" spans="2:15" s="3157" customFormat="1">
      <c r="B202" s="524"/>
      <c r="C202" s="524"/>
      <c r="D202" s="3159"/>
      <c r="E202" s="3159"/>
      <c r="F202" s="3159"/>
      <c r="G202" s="3159"/>
      <c r="H202" s="524"/>
      <c r="I202" s="524"/>
    </row>
    <row r="203" spans="2:15" s="3157" customFormat="1">
      <c r="B203" s="3160" t="s">
        <v>2610</v>
      </c>
      <c r="C203" s="4195"/>
      <c r="D203" s="3161"/>
      <c r="E203" s="3161"/>
      <c r="F203" s="3161"/>
      <c r="G203" s="3161"/>
      <c r="H203" s="3162"/>
      <c r="I203" s="3163">
        <f>SUM(H204:H206)</f>
        <v>28.25</v>
      </c>
    </row>
    <row r="204" spans="2:15" s="3157" customFormat="1">
      <c r="B204" s="3164" t="s">
        <v>1904</v>
      </c>
      <c r="C204" s="3166"/>
      <c r="D204" s="3165"/>
      <c r="E204" s="3165"/>
      <c r="F204" s="3165"/>
      <c r="G204" s="3165"/>
      <c r="H204" s="3166">
        <f>H201</f>
        <v>29.83</v>
      </c>
      <c r="I204" s="3167"/>
    </row>
    <row r="205" spans="2:15" s="3157" customFormat="1">
      <c r="B205" s="3164" t="s">
        <v>2620</v>
      </c>
      <c r="C205" s="3166"/>
      <c r="D205" s="3165">
        <f>-H209</f>
        <v>-8.24</v>
      </c>
      <c r="E205" s="3165"/>
      <c r="F205" s="3165"/>
      <c r="G205" s="3165"/>
      <c r="H205" s="3166">
        <f>D205</f>
        <v>-8.24</v>
      </c>
      <c r="I205" s="3167"/>
    </row>
    <row r="206" spans="2:15" s="3157" customFormat="1">
      <c r="B206" s="3168" t="s">
        <v>2621</v>
      </c>
      <c r="C206" s="3170"/>
      <c r="D206" s="3169">
        <f>66.62</f>
        <v>66.62</v>
      </c>
      <c r="E206" s="3169"/>
      <c r="F206" s="3169">
        <v>0.1</v>
      </c>
      <c r="G206" s="3169"/>
      <c r="H206" s="3170">
        <f>F206*D206</f>
        <v>6.66</v>
      </c>
      <c r="I206" s="3171"/>
    </row>
    <row r="207" spans="2:15" s="3157" customFormat="1">
      <c r="B207" s="524"/>
      <c r="C207" s="524"/>
      <c r="D207" s="3159"/>
      <c r="E207" s="3159"/>
      <c r="F207" s="3159"/>
      <c r="G207" s="3159"/>
      <c r="H207" s="524"/>
      <c r="I207" s="524"/>
    </row>
    <row r="208" spans="2:15" s="1737" customFormat="1">
      <c r="B208" s="2024" t="s">
        <v>2622</v>
      </c>
      <c r="C208" s="2024"/>
      <c r="D208" s="3172"/>
      <c r="E208" s="3172"/>
      <c r="F208" s="3172"/>
      <c r="G208" s="3172"/>
      <c r="H208" s="2024"/>
      <c r="I208" s="2024"/>
    </row>
    <row r="209" spans="2:9">
      <c r="B209" s="524" t="s">
        <v>2613</v>
      </c>
      <c r="D209" s="3159">
        <v>1</v>
      </c>
      <c r="E209" s="3159">
        <v>61</v>
      </c>
      <c r="F209" s="3159">
        <v>0.45</v>
      </c>
      <c r="G209" s="3159">
        <v>0.3</v>
      </c>
      <c r="H209" s="3159">
        <f>D209*E209*F209*G209</f>
        <v>8.24</v>
      </c>
    </row>
    <row r="212" spans="2:9" s="1737" customFormat="1">
      <c r="B212" s="2024" t="s">
        <v>2623</v>
      </c>
      <c r="C212" s="2024"/>
      <c r="D212" s="3172"/>
      <c r="E212" s="3172"/>
      <c r="F212" s="3172"/>
      <c r="G212" s="3172"/>
      <c r="H212" s="2024"/>
      <c r="I212" s="2024"/>
    </row>
    <row r="213" spans="2:9">
      <c r="B213" s="524" t="s">
        <v>2624</v>
      </c>
      <c r="D213" s="524">
        <v>1</v>
      </c>
      <c r="E213" s="524">
        <v>63.13</v>
      </c>
      <c r="G213" s="524">
        <f>1.05-0.3</f>
        <v>0.75</v>
      </c>
      <c r="H213" s="524">
        <f>G213*E213*D213</f>
        <v>47.35</v>
      </c>
    </row>
    <row r="214" spans="2:9">
      <c r="B214" s="524" t="s">
        <v>2625</v>
      </c>
      <c r="D214" s="524">
        <v>1</v>
      </c>
      <c r="E214" s="524">
        <v>63.13</v>
      </c>
      <c r="G214" s="524">
        <v>2.6</v>
      </c>
      <c r="H214" s="524">
        <f>G214*E214*D214</f>
        <v>164.14</v>
      </c>
      <c r="I214" s="524">
        <f>SUM(H214:H223)</f>
        <v>140.78</v>
      </c>
    </row>
    <row r="215" spans="2:9">
      <c r="B215" s="524" t="s">
        <v>2626</v>
      </c>
      <c r="D215" s="524">
        <v>-1</v>
      </c>
      <c r="E215" s="524">
        <v>1</v>
      </c>
      <c r="G215" s="524">
        <v>2.2000000000000002</v>
      </c>
      <c r="H215" s="524">
        <f t="shared" ref="H215:H223" si="6">G215*E215*D215</f>
        <v>-2.2000000000000002</v>
      </c>
    </row>
    <row r="216" spans="2:9">
      <c r="B216" s="524" t="s">
        <v>2626</v>
      </c>
      <c r="D216" s="524">
        <v>-1</v>
      </c>
      <c r="E216" s="524">
        <v>0.9</v>
      </c>
      <c r="G216" s="524">
        <v>2.2000000000000002</v>
      </c>
      <c r="H216" s="524">
        <f t="shared" si="6"/>
        <v>-1.98</v>
      </c>
    </row>
    <row r="217" spans="2:9">
      <c r="B217" s="524" t="s">
        <v>2626</v>
      </c>
      <c r="D217" s="524">
        <v>-4</v>
      </c>
      <c r="E217" s="524">
        <v>0.85</v>
      </c>
      <c r="G217" s="524">
        <v>2.2000000000000002</v>
      </c>
      <c r="H217" s="524">
        <f t="shared" si="6"/>
        <v>-7.48</v>
      </c>
    </row>
    <row r="218" spans="2:9">
      <c r="B218" s="524" t="s">
        <v>2628</v>
      </c>
      <c r="D218" s="524">
        <v>-1</v>
      </c>
      <c r="E218" s="524">
        <v>0.8</v>
      </c>
      <c r="G218" s="524">
        <v>1</v>
      </c>
      <c r="H218" s="524">
        <f t="shared" si="6"/>
        <v>-0.8</v>
      </c>
    </row>
    <row r="219" spans="2:9">
      <c r="B219" s="524" t="s">
        <v>2628</v>
      </c>
      <c r="D219" s="524">
        <v>-1</v>
      </c>
      <c r="E219" s="524">
        <v>2.4</v>
      </c>
      <c r="G219" s="524">
        <v>1</v>
      </c>
      <c r="H219" s="524">
        <f t="shared" si="6"/>
        <v>-2.4</v>
      </c>
    </row>
    <row r="220" spans="2:9">
      <c r="B220" s="524" t="s">
        <v>2628</v>
      </c>
      <c r="D220" s="524">
        <v>-1</v>
      </c>
      <c r="E220" s="524">
        <v>1.3</v>
      </c>
      <c r="G220" s="524">
        <v>1</v>
      </c>
      <c r="H220" s="524">
        <f t="shared" si="6"/>
        <v>-1.3</v>
      </c>
    </row>
    <row r="221" spans="2:9">
      <c r="B221" s="524" t="s">
        <v>2628</v>
      </c>
      <c r="D221" s="524">
        <v>-3</v>
      </c>
      <c r="E221" s="524">
        <v>1.2</v>
      </c>
      <c r="G221" s="524">
        <v>1</v>
      </c>
      <c r="H221" s="524">
        <f t="shared" si="6"/>
        <v>-3.6</v>
      </c>
    </row>
    <row r="222" spans="2:9">
      <c r="B222" s="524" t="s">
        <v>2628</v>
      </c>
      <c r="D222" s="524">
        <v>-3</v>
      </c>
      <c r="E222" s="524">
        <v>1</v>
      </c>
      <c r="G222" s="524">
        <v>1</v>
      </c>
      <c r="H222" s="524">
        <f t="shared" si="6"/>
        <v>-3</v>
      </c>
    </row>
    <row r="223" spans="2:9">
      <c r="B223" s="524" t="s">
        <v>2628</v>
      </c>
      <c r="D223" s="524">
        <v>-1</v>
      </c>
      <c r="E223" s="524">
        <v>0.6</v>
      </c>
      <c r="G223" s="524">
        <v>1</v>
      </c>
      <c r="H223" s="524">
        <f t="shared" si="6"/>
        <v>-0.6</v>
      </c>
    </row>
    <row r="228" spans="2:15" s="3537" customFormat="1">
      <c r="B228" s="3149" t="s">
        <v>3146</v>
      </c>
      <c r="C228" s="3149"/>
      <c r="D228" s="3147"/>
      <c r="E228" s="3147"/>
      <c r="F228" s="3147"/>
      <c r="G228" s="3147"/>
      <c r="H228" s="3147"/>
      <c r="I228" s="3147"/>
      <c r="J228" s="3148"/>
      <c r="K228" s="3148"/>
      <c r="L228" s="3148"/>
      <c r="M228" s="3148"/>
      <c r="N228" s="3148"/>
      <c r="O228" s="3148"/>
    </row>
    <row r="229" spans="2:15">
      <c r="I229" s="524">
        <f>SUM(H230:H232)</f>
        <v>8.73</v>
      </c>
    </row>
    <row r="230" spans="2:15">
      <c r="B230" s="524" t="s">
        <v>2984</v>
      </c>
      <c r="D230" s="524">
        <f>3.85*2+3.4*2</f>
        <v>14.5</v>
      </c>
      <c r="E230" s="524">
        <v>0.6</v>
      </c>
      <c r="F230" s="524">
        <v>0.9</v>
      </c>
      <c r="H230" s="524">
        <f>D230*E230*F230</f>
        <v>7.83</v>
      </c>
    </row>
    <row r="231" spans="2:15">
      <c r="B231" s="524" t="s">
        <v>3147</v>
      </c>
      <c r="D231" s="524">
        <v>1</v>
      </c>
      <c r="E231" s="524">
        <v>1</v>
      </c>
      <c r="F231" s="524">
        <v>0.9</v>
      </c>
      <c r="H231" s="524">
        <f>D231*E231*F231</f>
        <v>0.9</v>
      </c>
    </row>
    <row r="233" spans="2:15">
      <c r="B233" s="524" t="s">
        <v>2985</v>
      </c>
      <c r="F233" s="524">
        <f>I229-I235</f>
        <v>3.18</v>
      </c>
    </row>
    <row r="235" spans="2:15">
      <c r="B235" s="524" t="s">
        <v>2986</v>
      </c>
      <c r="I235" s="524">
        <f>SUM(H236:H240)</f>
        <v>5.55</v>
      </c>
    </row>
    <row r="236" spans="2:15">
      <c r="B236" s="524" t="s">
        <v>2987</v>
      </c>
      <c r="D236" s="524">
        <f>D230</f>
        <v>14.5</v>
      </c>
      <c r="E236" s="524">
        <v>0.3</v>
      </c>
      <c r="F236" s="524">
        <v>0.6</v>
      </c>
      <c r="G236" s="524">
        <v>1</v>
      </c>
      <c r="H236" s="524">
        <f>D236*E236*F236*G236</f>
        <v>2.61</v>
      </c>
    </row>
    <row r="237" spans="2:15">
      <c r="B237" s="524" t="s">
        <v>3148</v>
      </c>
      <c r="D237" s="524">
        <v>1</v>
      </c>
      <c r="E237" s="524">
        <v>1</v>
      </c>
      <c r="F237" s="524">
        <v>0.3</v>
      </c>
      <c r="G237" s="524">
        <v>4</v>
      </c>
      <c r="H237" s="524">
        <f t="shared" ref="H237:H240" si="7">D237*E237*F237*G237</f>
        <v>1.2</v>
      </c>
    </row>
    <row r="239" spans="2:15">
      <c r="B239" s="524" t="s">
        <v>2988</v>
      </c>
      <c r="D239" s="524">
        <f>D230</f>
        <v>14.5</v>
      </c>
      <c r="E239" s="524">
        <v>0.2</v>
      </c>
      <c r="F239" s="524">
        <v>0.4</v>
      </c>
      <c r="G239" s="524">
        <v>1</v>
      </c>
      <c r="H239" s="524">
        <f t="shared" si="7"/>
        <v>1.1599999999999999</v>
      </c>
    </row>
    <row r="240" spans="2:15">
      <c r="B240" s="524" t="s">
        <v>3149</v>
      </c>
      <c r="D240" s="524">
        <f>D239</f>
        <v>14.5</v>
      </c>
      <c r="E240" s="524">
        <f>E239</f>
        <v>0.2</v>
      </c>
      <c r="F240" s="524">
        <v>0.2</v>
      </c>
      <c r="G240" s="524">
        <v>1</v>
      </c>
      <c r="H240" s="524">
        <f t="shared" si="7"/>
        <v>0.57999999999999996</v>
      </c>
    </row>
    <row r="241" spans="2:15">
      <c r="B241" s="524" t="s">
        <v>3007</v>
      </c>
    </row>
    <row r="242" spans="2:15" s="3742" customFormat="1">
      <c r="B242" s="524"/>
      <c r="C242" s="524"/>
      <c r="D242" s="524"/>
      <c r="E242" s="524"/>
      <c r="F242" s="524"/>
      <c r="G242" s="524"/>
      <c r="H242" s="524"/>
      <c r="I242" s="524"/>
    </row>
    <row r="243" spans="2:15" s="3573" customFormat="1">
      <c r="B243" s="3149" t="s">
        <v>3029</v>
      </c>
      <c r="C243" s="3149"/>
      <c r="D243" s="3147"/>
      <c r="E243" s="3147"/>
      <c r="F243" s="3147"/>
      <c r="G243" s="3147"/>
      <c r="H243" s="3147"/>
      <c r="I243" s="3147"/>
      <c r="J243" s="3148"/>
      <c r="K243" s="3148"/>
      <c r="L243" s="3148"/>
      <c r="M243" s="3148"/>
      <c r="N243" s="3148"/>
      <c r="O243" s="3148"/>
    </row>
    <row r="244" spans="2:15">
      <c r="D244" s="4894" t="s">
        <v>3031</v>
      </c>
      <c r="E244" s="4894"/>
    </row>
    <row r="245" spans="2:15">
      <c r="B245" s="3576"/>
      <c r="C245" s="3576"/>
      <c r="D245" s="3574" t="s">
        <v>3030</v>
      </c>
      <c r="E245" s="3574" t="s">
        <v>3032</v>
      </c>
      <c r="F245" s="3574" t="s">
        <v>12</v>
      </c>
    </row>
    <row r="246" spans="2:15">
      <c r="B246" s="3577" t="s">
        <v>3042</v>
      </c>
      <c r="C246" s="3577"/>
      <c r="D246" s="3575">
        <v>378.5</v>
      </c>
      <c r="E246" s="3575">
        <v>377.3</v>
      </c>
      <c r="F246" s="3575">
        <f>D246-E246</f>
        <v>1.2</v>
      </c>
      <c r="G246" s="3579">
        <v>1</v>
      </c>
      <c r="H246" s="3578" t="s">
        <v>3035</v>
      </c>
      <c r="I246" s="524">
        <v>1.5</v>
      </c>
    </row>
    <row r="247" spans="2:15">
      <c r="B247" s="3577" t="s">
        <v>3039</v>
      </c>
      <c r="C247" s="3577"/>
      <c r="D247" s="3575">
        <v>380</v>
      </c>
      <c r="E247" s="3575">
        <v>377.7</v>
      </c>
      <c r="F247" s="3575">
        <f>D247-E247</f>
        <v>2.2999999999999998</v>
      </c>
      <c r="G247" s="4895">
        <v>2</v>
      </c>
      <c r="H247" s="4888" t="s">
        <v>3033</v>
      </c>
      <c r="I247" s="524">
        <v>2.5</v>
      </c>
    </row>
    <row r="248" spans="2:15">
      <c r="B248" s="3577" t="s">
        <v>3040</v>
      </c>
      <c r="C248" s="3577"/>
      <c r="D248" s="3575">
        <v>380</v>
      </c>
      <c r="E248" s="3575">
        <v>377.7</v>
      </c>
      <c r="F248" s="3575">
        <f t="shared" ref="F248:F256" si="8">D248-E248</f>
        <v>2.2999999999999998</v>
      </c>
      <c r="G248" s="4895"/>
      <c r="H248" s="4889"/>
    </row>
    <row r="249" spans="2:15">
      <c r="B249" s="3577" t="s">
        <v>3041</v>
      </c>
      <c r="C249" s="3577"/>
      <c r="D249" s="3575">
        <v>380</v>
      </c>
      <c r="E249" s="3575">
        <v>377.3</v>
      </c>
      <c r="F249" s="3575">
        <f t="shared" si="8"/>
        <v>2.7</v>
      </c>
      <c r="G249" s="4891">
        <v>5</v>
      </c>
      <c r="H249" s="4888" t="s">
        <v>3034</v>
      </c>
      <c r="I249" s="524">
        <v>3</v>
      </c>
    </row>
    <row r="250" spans="2:15">
      <c r="B250" s="3577" t="s">
        <v>3046</v>
      </c>
      <c r="C250" s="3577"/>
      <c r="D250" s="3575">
        <v>336</v>
      </c>
      <c r="E250" s="3575">
        <v>333.05</v>
      </c>
      <c r="F250" s="3575">
        <f>D250-E250</f>
        <v>2.95</v>
      </c>
      <c r="G250" s="4892"/>
      <c r="H250" s="4890"/>
      <c r="I250" s="524">
        <v>3</v>
      </c>
    </row>
    <row r="251" spans="2:15">
      <c r="B251" s="3577" t="s">
        <v>3047</v>
      </c>
      <c r="C251" s="3577"/>
      <c r="D251" s="3575">
        <v>310</v>
      </c>
      <c r="E251" s="3575">
        <v>307.2</v>
      </c>
      <c r="F251" s="3575">
        <f>D251-E251</f>
        <v>2.8</v>
      </c>
      <c r="G251" s="4892"/>
      <c r="H251" s="4890"/>
      <c r="I251" s="524">
        <v>3</v>
      </c>
    </row>
    <row r="252" spans="2:15">
      <c r="B252" s="3577" t="s">
        <v>3048</v>
      </c>
      <c r="C252" s="3577"/>
      <c r="D252" s="3575">
        <v>299</v>
      </c>
      <c r="E252" s="3575">
        <v>296.27</v>
      </c>
      <c r="F252" s="3575">
        <v>3</v>
      </c>
      <c r="G252" s="4892"/>
      <c r="H252" s="4890"/>
    </row>
    <row r="253" spans="2:15">
      <c r="B253" s="3577" t="s">
        <v>3049</v>
      </c>
      <c r="C253" s="3577"/>
      <c r="D253" s="3575">
        <v>294</v>
      </c>
      <c r="E253" s="3575">
        <v>290.16000000000003</v>
      </c>
      <c r="F253" s="3575">
        <v>3</v>
      </c>
      <c r="G253" s="4893"/>
      <c r="H253" s="4889"/>
    </row>
    <row r="254" spans="2:15">
      <c r="B254" s="3577" t="s">
        <v>3045</v>
      </c>
      <c r="C254" s="3577"/>
      <c r="D254" s="3575">
        <v>362.5</v>
      </c>
      <c r="E254" s="3575">
        <v>359.2</v>
      </c>
      <c r="F254" s="3575">
        <f>D254-E254</f>
        <v>3.3</v>
      </c>
      <c r="G254" s="3579">
        <v>1</v>
      </c>
      <c r="H254" s="3579" t="s">
        <v>3038</v>
      </c>
    </row>
    <row r="255" spans="2:15">
      <c r="B255" s="3577" t="s">
        <v>3043</v>
      </c>
      <c r="C255" s="3577"/>
      <c r="D255" s="3575">
        <v>377.5</v>
      </c>
      <c r="E255" s="3575">
        <v>372.65</v>
      </c>
      <c r="F255" s="3575">
        <f t="shared" si="8"/>
        <v>4.8499999999999996</v>
      </c>
      <c r="G255" s="3579">
        <v>1</v>
      </c>
      <c r="H255" s="3579" t="s">
        <v>3036</v>
      </c>
    </row>
    <row r="256" spans="2:15">
      <c r="B256" s="3577" t="s">
        <v>3044</v>
      </c>
      <c r="C256" s="3577"/>
      <c r="D256" s="3575">
        <v>377.5</v>
      </c>
      <c r="E256" s="3575">
        <v>372.2</v>
      </c>
      <c r="F256" s="3575">
        <f t="shared" si="8"/>
        <v>5.3</v>
      </c>
      <c r="G256" s="3579">
        <v>1</v>
      </c>
      <c r="H256" s="3579" t="s">
        <v>3037</v>
      </c>
    </row>
    <row r="257" spans="2:6">
      <c r="B257" s="3576"/>
      <c r="C257" s="3576"/>
    </row>
    <row r="258" spans="2:6">
      <c r="B258" s="3576"/>
      <c r="C258" s="3576"/>
    </row>
    <row r="259" spans="2:6">
      <c r="B259" s="3576"/>
      <c r="C259" s="3576"/>
    </row>
    <row r="260" spans="2:6" ht="25.5">
      <c r="B260" s="3580" t="s">
        <v>3055</v>
      </c>
      <c r="C260" s="3580"/>
      <c r="D260" s="3574" t="s">
        <v>3052</v>
      </c>
      <c r="E260" s="3574" t="s">
        <v>3053</v>
      </c>
      <c r="F260" s="3574" t="s">
        <v>3054</v>
      </c>
    </row>
    <row r="261" spans="2:6">
      <c r="B261" s="524" t="s">
        <v>2603</v>
      </c>
    </row>
    <row r="262" spans="2:6">
      <c r="B262" s="524" t="s">
        <v>3050</v>
      </c>
    </row>
    <row r="263" spans="2:6">
      <c r="B263" s="524" t="s">
        <v>3051</v>
      </c>
    </row>
    <row r="266" spans="2:6">
      <c r="B266" s="3576" t="s">
        <v>3056</v>
      </c>
      <c r="C266" s="3576"/>
    </row>
    <row r="270" spans="2:6">
      <c r="B270" s="3576" t="s">
        <v>3057</v>
      </c>
      <c r="C270" s="3576"/>
    </row>
  </sheetData>
  <customSheetViews>
    <customSheetView guid="{43BC9397-3E8C-478C-B548-E4A845A7F82B}" scale="115" topLeftCell="A217">
      <selection activeCell="C235" sqref="C235"/>
      <pageMargins left="0.7" right="0.7" top="0.75" bottom="0.75" header="0.3" footer="0.3"/>
      <pageSetup paperSize="9" orientation="portrait" horizontalDpi="2400" verticalDpi="2400" r:id="rId1"/>
      <headerFooter>
        <oddFooter>1</oddFooter>
      </headerFooter>
    </customSheetView>
  </customSheetViews>
  <mergeCells count="6">
    <mergeCell ref="H247:H248"/>
    <mergeCell ref="H249:H253"/>
    <mergeCell ref="G249:G253"/>
    <mergeCell ref="E46:F46"/>
    <mergeCell ref="D244:E244"/>
    <mergeCell ref="G247:G248"/>
  </mergeCells>
  <pageMargins left="0.7" right="0.7" top="0.75" bottom="0.75" header="0.3" footer="0.3"/>
  <pageSetup paperSize="9" orientation="portrait" horizontalDpi="2400" verticalDpi="2400" r:id="rId2"/>
  <headerFooter>
    <oddFoot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heetViews>
  <sheetFormatPr baseColWidth="10" defaultRowHeight="12.75"/>
  <sheetData>
    <row r="1" spans="1:2" ht="204">
      <c r="A1" s="4190" t="s">
        <v>3509</v>
      </c>
      <c r="B1">
        <v>1</v>
      </c>
    </row>
  </sheetData>
  <customSheetViews>
    <customSheetView guid="{43BC9397-3E8C-478C-B548-E4A845A7F82B}" state="very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46"/>
  <sheetViews>
    <sheetView topLeftCell="A5" workbookViewId="0">
      <selection activeCell="A5" sqref="A5"/>
    </sheetView>
  </sheetViews>
  <sheetFormatPr baseColWidth="10" defaultColWidth="11.42578125" defaultRowHeight="12.75"/>
  <cols>
    <col min="1" max="2" width="11.42578125" style="474"/>
    <col min="3" max="3" width="9" customWidth="1"/>
  </cols>
  <sheetData>
    <row r="3" spans="1:4">
      <c r="A3" s="4770" t="s">
        <v>3125</v>
      </c>
      <c r="B3" s="4770"/>
      <c r="C3" s="4770"/>
      <c r="D3" s="4770"/>
    </row>
    <row r="4" spans="1:4" ht="13.5" thickBot="1"/>
    <row r="5" spans="1:4" ht="13.5" thickBot="1">
      <c r="A5" s="3761" t="s">
        <v>3126</v>
      </c>
      <c r="B5" s="3762">
        <v>1</v>
      </c>
      <c r="C5" s="3763"/>
      <c r="D5" s="3764"/>
    </row>
    <row r="6" spans="1:4">
      <c r="A6" s="3748" t="s">
        <v>3130</v>
      </c>
      <c r="B6" s="3758">
        <v>2.93</v>
      </c>
      <c r="C6" s="510"/>
      <c r="D6" s="1899"/>
    </row>
    <row r="7" spans="1:4" ht="13.5" thickBot="1">
      <c r="A7" s="3756" t="s">
        <v>3131</v>
      </c>
      <c r="B7" s="3757">
        <v>2.78</v>
      </c>
      <c r="C7" s="510"/>
      <c r="D7" s="1899"/>
    </row>
    <row r="8" spans="1:4">
      <c r="A8" s="3745" t="s">
        <v>3127</v>
      </c>
      <c r="B8" s="3755">
        <v>0</v>
      </c>
      <c r="C8" s="510"/>
      <c r="D8" s="1899"/>
    </row>
    <row r="9" spans="1:4">
      <c r="A9" s="3748" t="s">
        <v>3128</v>
      </c>
      <c r="B9" s="3758">
        <v>5.03</v>
      </c>
      <c r="C9" s="510"/>
      <c r="D9" s="1899"/>
    </row>
    <row r="10" spans="1:4">
      <c r="A10" s="3748" t="s">
        <v>540</v>
      </c>
      <c r="B10" s="3758">
        <v>1.86</v>
      </c>
      <c r="C10" s="510"/>
      <c r="D10" s="1899"/>
    </row>
    <row r="11" spans="1:4" ht="13.5" thickBot="1">
      <c r="A11" s="3756" t="s">
        <v>3129</v>
      </c>
      <c r="B11" s="3757">
        <v>0</v>
      </c>
      <c r="C11" s="510"/>
      <c r="D11" s="1899"/>
    </row>
    <row r="12" spans="1:4" s="3742" customFormat="1">
      <c r="A12" s="3745" t="s">
        <v>3136</v>
      </c>
      <c r="B12" s="3755">
        <v>0.3</v>
      </c>
      <c r="C12" s="510"/>
      <c r="D12" s="1899"/>
    </row>
    <row r="13" spans="1:4" s="3742" customFormat="1">
      <c r="A13" s="3748" t="s">
        <v>3137</v>
      </c>
      <c r="B13" s="3758">
        <v>0</v>
      </c>
      <c r="C13" s="510"/>
      <c r="D13" s="1899"/>
    </row>
    <row r="14" spans="1:4" s="3742" customFormat="1">
      <c r="A14" s="3748" t="s">
        <v>3138</v>
      </c>
      <c r="B14" s="3758">
        <v>0</v>
      </c>
      <c r="C14" s="510"/>
      <c r="D14" s="1899"/>
    </row>
    <row r="15" spans="1:4" s="3742" customFormat="1" ht="13.5" thickBot="1">
      <c r="A15" s="3748" t="s">
        <v>3139</v>
      </c>
      <c r="B15" s="3758">
        <v>0.3</v>
      </c>
      <c r="C15" s="510"/>
      <c r="D15" s="1899"/>
    </row>
    <row r="16" spans="1:4">
      <c r="A16" s="3759" t="s">
        <v>3132</v>
      </c>
      <c r="B16" s="3746">
        <f>ROUNDUP(B7/0.3,0)/2</f>
        <v>5</v>
      </c>
      <c r="C16" s="3760">
        <f>B6+B14+0.2*2+B15+B10/3</f>
        <v>4.25</v>
      </c>
      <c r="D16" s="3747">
        <f>B16*C16*0.0123</f>
        <v>0.26137500000000002</v>
      </c>
    </row>
    <row r="17" spans="1:4" s="3742" customFormat="1">
      <c r="A17" s="3749" t="s">
        <v>3133</v>
      </c>
      <c r="B17" s="3155">
        <f>ROUNDUP(B7/0.3,0)/2</f>
        <v>5</v>
      </c>
      <c r="C17" s="3750">
        <f>B6+B14+0.2*2+B15+B11/3</f>
        <v>3.63</v>
      </c>
      <c r="D17" s="1899">
        <f t="shared" ref="D17:D19" si="0">B17*C17*0.0123</f>
        <v>0.223245</v>
      </c>
    </row>
    <row r="18" spans="1:4">
      <c r="A18" s="3749" t="s">
        <v>3134</v>
      </c>
      <c r="B18" s="3155">
        <f>ROUNDUP(B6/0.3,0)/2</f>
        <v>5</v>
      </c>
      <c r="C18" s="510">
        <f>0.2*2+B12+B13+B7+B8/3</f>
        <v>3.48</v>
      </c>
      <c r="D18" s="1899">
        <f t="shared" si="0"/>
        <v>0.21401999999999999</v>
      </c>
    </row>
    <row r="19" spans="1:4" ht="13.5" thickBot="1">
      <c r="A19" s="3751" t="s">
        <v>3135</v>
      </c>
      <c r="B19" s="3752">
        <f>ROUNDUP(B6/0.3,0)/2</f>
        <v>5</v>
      </c>
      <c r="C19" s="3753">
        <f>0.2*2+B12+B13+B7+B9/3</f>
        <v>5.16</v>
      </c>
      <c r="D19" s="3754">
        <f t="shared" si="0"/>
        <v>0.31734000000000001</v>
      </c>
    </row>
    <row r="20" spans="1:4" ht="13.5" thickBot="1"/>
    <row r="21" spans="1:4" ht="13.5" thickBot="1">
      <c r="A21" s="3761" t="s">
        <v>3126</v>
      </c>
      <c r="B21" s="3762">
        <v>2</v>
      </c>
      <c r="C21" s="3763"/>
      <c r="D21" s="3764"/>
    </row>
    <row r="22" spans="1:4">
      <c r="A22" s="3748" t="s">
        <v>3130</v>
      </c>
      <c r="B22" s="3758">
        <v>1.86</v>
      </c>
      <c r="C22" s="510"/>
      <c r="D22" s="1899"/>
    </row>
    <row r="23" spans="1:4" ht="13.5" thickBot="1">
      <c r="A23" s="3756" t="s">
        <v>3131</v>
      </c>
      <c r="B23" s="3757">
        <v>2.81</v>
      </c>
      <c r="C23" s="510"/>
      <c r="D23" s="1899"/>
    </row>
    <row r="24" spans="1:4">
      <c r="A24" s="3745" t="s">
        <v>3127</v>
      </c>
      <c r="B24" s="3755">
        <v>0</v>
      </c>
      <c r="C24" s="510"/>
      <c r="D24" s="1899"/>
    </row>
    <row r="25" spans="1:4">
      <c r="A25" s="3748" t="s">
        <v>3128</v>
      </c>
      <c r="B25" s="3758">
        <v>2.93</v>
      </c>
      <c r="C25" s="510"/>
      <c r="D25" s="1899"/>
    </row>
    <row r="26" spans="1:4">
      <c r="A26" s="3748" t="s">
        <v>540</v>
      </c>
      <c r="B26" s="3758">
        <v>2.88</v>
      </c>
      <c r="C26" s="510"/>
      <c r="D26" s="1899"/>
    </row>
    <row r="27" spans="1:4" ht="13.5" thickBot="1">
      <c r="A27" s="3756" t="s">
        <v>3129</v>
      </c>
      <c r="B27" s="3757">
        <v>2.93</v>
      </c>
      <c r="C27" s="510"/>
      <c r="D27" s="1899"/>
    </row>
    <row r="28" spans="1:4" s="3742" customFormat="1">
      <c r="A28" s="3745" t="s">
        <v>3136</v>
      </c>
      <c r="B28" s="3755">
        <v>0.3</v>
      </c>
      <c r="C28" s="510"/>
      <c r="D28" s="1899"/>
    </row>
    <row r="29" spans="1:4" s="3742" customFormat="1">
      <c r="A29" s="3748" t="s">
        <v>3137</v>
      </c>
      <c r="B29" s="3758">
        <v>0</v>
      </c>
      <c r="C29" s="510"/>
      <c r="D29" s="1899"/>
    </row>
    <row r="30" spans="1:4" s="3742" customFormat="1">
      <c r="A30" s="3748" t="s">
        <v>3138</v>
      </c>
      <c r="B30" s="3758">
        <v>0</v>
      </c>
      <c r="C30" s="510"/>
      <c r="D30" s="1899"/>
    </row>
    <row r="31" spans="1:4" s="3742" customFormat="1" ht="13.5" thickBot="1">
      <c r="A31" s="3748" t="s">
        <v>3139</v>
      </c>
      <c r="B31" s="3758">
        <v>0</v>
      </c>
      <c r="C31" s="510"/>
      <c r="D31" s="1899"/>
    </row>
    <row r="32" spans="1:4">
      <c r="A32" s="3759" t="s">
        <v>3132</v>
      </c>
      <c r="B32" s="3746">
        <f>ROUNDUP(B23/0.3,0)/2</f>
        <v>5</v>
      </c>
      <c r="C32" s="3760">
        <f>B22+B30+0.2*2+B31+B26/3</f>
        <v>3.22</v>
      </c>
      <c r="D32" s="3747">
        <f>B32*C32*0.0123</f>
        <v>0.19803000000000001</v>
      </c>
    </row>
    <row r="33" spans="1:4">
      <c r="A33" s="3749" t="s">
        <v>3133</v>
      </c>
      <c r="B33" s="3155">
        <f>ROUNDUP(B23/0.3,0)/2</f>
        <v>5</v>
      </c>
      <c r="C33" s="3750">
        <f>B22+B30+0.2*2+B31+B27/3</f>
        <v>3.24</v>
      </c>
      <c r="D33" s="1899">
        <f t="shared" ref="D33:D35" si="1">B33*C33*0.0123</f>
        <v>0.19925999999999999</v>
      </c>
    </row>
    <row r="34" spans="1:4">
      <c r="A34" s="3749" t="s">
        <v>3134</v>
      </c>
      <c r="B34" s="3155">
        <f>ROUNDUP(B22/0.3,0)/2</f>
        <v>3.5</v>
      </c>
      <c r="C34" s="510">
        <f>0.2*2+B28+B29+B23+B24/3</f>
        <v>3.51</v>
      </c>
      <c r="D34" s="1899">
        <f t="shared" si="1"/>
        <v>0.1511055</v>
      </c>
    </row>
    <row r="35" spans="1:4" ht="13.5" thickBot="1">
      <c r="A35" s="3751" t="s">
        <v>3135</v>
      </c>
      <c r="B35" s="3752">
        <f>ROUNDUP(B22/0.3,0)/2</f>
        <v>3.5</v>
      </c>
      <c r="C35" s="3753">
        <f>0.2*2+B28+B29+B23+B25/3</f>
        <v>4.49</v>
      </c>
      <c r="D35" s="3754">
        <f t="shared" si="1"/>
        <v>0.19329450000000001</v>
      </c>
    </row>
    <row r="36" spans="1:4" ht="13.5" thickBot="1"/>
    <row r="37" spans="1:4" ht="13.5" thickBot="1">
      <c r="A37" s="3761" t="s">
        <v>3126</v>
      </c>
      <c r="B37" s="3762">
        <v>4</v>
      </c>
      <c r="C37" s="3763"/>
      <c r="D37" s="3764"/>
    </row>
    <row r="38" spans="1:4">
      <c r="A38" s="3748" t="s">
        <v>3130</v>
      </c>
      <c r="B38" s="3758">
        <v>2.88</v>
      </c>
      <c r="C38" s="510"/>
      <c r="D38" s="1899"/>
    </row>
    <row r="39" spans="1:4" ht="13.5" thickBot="1">
      <c r="A39" s="3756" t="s">
        <v>3131</v>
      </c>
      <c r="B39" s="3757">
        <v>2.78</v>
      </c>
      <c r="C39" s="510"/>
      <c r="D39" s="1899"/>
    </row>
    <row r="40" spans="1:4">
      <c r="A40" s="3745" t="s">
        <v>3127</v>
      </c>
      <c r="B40" s="3755">
        <v>0</v>
      </c>
      <c r="C40" s="510"/>
      <c r="D40" s="1899"/>
    </row>
    <row r="41" spans="1:4">
      <c r="A41" s="3748" t="s">
        <v>3128</v>
      </c>
      <c r="B41" s="3758">
        <v>2.93</v>
      </c>
      <c r="C41" s="510"/>
      <c r="D41" s="1899"/>
    </row>
    <row r="42" spans="1:4">
      <c r="A42" s="3748" t="s">
        <v>540</v>
      </c>
      <c r="B42" s="3758">
        <v>0.3</v>
      </c>
      <c r="C42" s="510"/>
      <c r="D42" s="1899"/>
    </row>
    <row r="43" spans="1:4" ht="13.5" thickBot="1">
      <c r="A43" s="3756" t="s">
        <v>3129</v>
      </c>
      <c r="B43" s="3757">
        <v>1.86</v>
      </c>
      <c r="C43" s="510"/>
      <c r="D43" s="1899"/>
    </row>
    <row r="44" spans="1:4" s="3742" customFormat="1">
      <c r="A44" s="3745" t="s">
        <v>3136</v>
      </c>
      <c r="B44" s="3755">
        <v>0.3</v>
      </c>
      <c r="C44" s="510"/>
      <c r="D44" s="1899"/>
    </row>
    <row r="45" spans="1:4" s="3742" customFormat="1">
      <c r="A45" s="3748" t="s">
        <v>3137</v>
      </c>
      <c r="B45" s="3758">
        <v>0</v>
      </c>
      <c r="C45" s="510"/>
      <c r="D45" s="1899"/>
    </row>
    <row r="46" spans="1:4" s="3742" customFormat="1">
      <c r="A46" s="3748" t="s">
        <v>3138</v>
      </c>
      <c r="B46" s="3758">
        <v>0.3</v>
      </c>
      <c r="C46" s="510"/>
      <c r="D46" s="1899"/>
    </row>
    <row r="47" spans="1:4" s="3742" customFormat="1" ht="13.5" thickBot="1">
      <c r="A47" s="3748" t="s">
        <v>3139</v>
      </c>
      <c r="B47" s="3758">
        <v>0</v>
      </c>
      <c r="C47" s="510"/>
      <c r="D47" s="1899"/>
    </row>
    <row r="48" spans="1:4">
      <c r="A48" s="3759" t="s">
        <v>3132</v>
      </c>
      <c r="B48" s="3746">
        <f>ROUNDUP(B39/0.3,0)/2</f>
        <v>5</v>
      </c>
      <c r="C48" s="3760">
        <f>B38+B46+0.2*2+B47+B42/3</f>
        <v>3.68</v>
      </c>
      <c r="D48" s="3747">
        <f>B48*C48*0.0123</f>
        <v>0.22631999999999999</v>
      </c>
    </row>
    <row r="49" spans="1:13">
      <c r="A49" s="3749" t="s">
        <v>3133</v>
      </c>
      <c r="B49" s="3155">
        <f>ROUNDUP(B39/0.3,0)/2</f>
        <v>5</v>
      </c>
      <c r="C49" s="3750">
        <f>B38+B46+0.2*2+B47+B43/3</f>
        <v>4.2</v>
      </c>
      <c r="D49" s="1899">
        <f t="shared" ref="D49:D51" si="2">B49*C49*0.0123</f>
        <v>0.25829999999999997</v>
      </c>
    </row>
    <row r="50" spans="1:13">
      <c r="A50" s="3749" t="s">
        <v>3134</v>
      </c>
      <c r="B50" s="3155">
        <f>ROUNDUP(B38/0.3,0)/2</f>
        <v>5</v>
      </c>
      <c r="C50" s="510">
        <f>0.2*2+B44+B45+B39+B40/3</f>
        <v>3.48</v>
      </c>
      <c r="D50" s="1899">
        <f t="shared" si="2"/>
        <v>0.21401999999999999</v>
      </c>
    </row>
    <row r="51" spans="1:13" ht="13.5" thickBot="1">
      <c r="A51" s="3751" t="s">
        <v>3135</v>
      </c>
      <c r="B51" s="3752">
        <f>ROUNDUP(B38/0.3,0)/2</f>
        <v>5</v>
      </c>
      <c r="C51" s="3753">
        <f>0.2*2+B44+B45+B39+B41/3</f>
        <v>4.46</v>
      </c>
      <c r="D51" s="3754">
        <f t="shared" si="2"/>
        <v>0.27428999999999998</v>
      </c>
    </row>
    <row r="52" spans="1:13" ht="13.5" thickBot="1"/>
    <row r="53" spans="1:13" ht="13.5" thickBot="1">
      <c r="A53" s="3761" t="s">
        <v>3126</v>
      </c>
      <c r="B53" s="3762">
        <v>4</v>
      </c>
      <c r="C53" s="3763"/>
      <c r="D53" s="3764"/>
      <c r="M53">
        <f>36*25/3.28*0.0219</f>
        <v>6.0091463414634196</v>
      </c>
    </row>
    <row r="54" spans="1:13">
      <c r="A54" s="3748" t="s">
        <v>3130</v>
      </c>
      <c r="B54" s="3758">
        <v>2.88</v>
      </c>
      <c r="C54" s="510"/>
      <c r="D54" s="1899"/>
    </row>
    <row r="55" spans="1:13" ht="13.5" thickBot="1">
      <c r="A55" s="3756" t="s">
        <v>3131</v>
      </c>
      <c r="B55" s="3757">
        <v>2.78</v>
      </c>
      <c r="C55" s="510"/>
      <c r="D55" s="1899"/>
    </row>
    <row r="56" spans="1:13">
      <c r="A56" s="3745" t="s">
        <v>3127</v>
      </c>
      <c r="B56" s="3755">
        <v>0</v>
      </c>
      <c r="C56" s="510"/>
      <c r="D56" s="1899"/>
    </row>
    <row r="57" spans="1:13">
      <c r="A57" s="3748" t="s">
        <v>3128</v>
      </c>
      <c r="B57" s="3758">
        <v>2.93</v>
      </c>
      <c r="C57" s="510"/>
      <c r="D57" s="1899"/>
    </row>
    <row r="58" spans="1:13">
      <c r="A58" s="3748" t="s">
        <v>540</v>
      </c>
      <c r="B58" s="3758">
        <v>0.3</v>
      </c>
      <c r="C58" s="510"/>
      <c r="D58" s="1899"/>
    </row>
    <row r="59" spans="1:13" ht="13.5" thickBot="1">
      <c r="A59" s="3756" t="s">
        <v>3129</v>
      </c>
      <c r="B59" s="3757">
        <v>1.86</v>
      </c>
      <c r="C59" s="510"/>
      <c r="D59" s="1899"/>
    </row>
    <row r="60" spans="1:13">
      <c r="A60" s="3745" t="s">
        <v>3136</v>
      </c>
      <c r="B60" s="3755">
        <v>0.3</v>
      </c>
      <c r="C60" s="510"/>
      <c r="D60" s="1899"/>
    </row>
    <row r="61" spans="1:13">
      <c r="A61" s="3748" t="s">
        <v>3137</v>
      </c>
      <c r="B61" s="3758">
        <v>0</v>
      </c>
      <c r="C61" s="510"/>
      <c r="D61" s="1899"/>
    </row>
    <row r="62" spans="1:13">
      <c r="A62" s="3748" t="s">
        <v>3138</v>
      </c>
      <c r="B62" s="3758">
        <v>0.3</v>
      </c>
      <c r="C62" s="510"/>
      <c r="D62" s="1899"/>
    </row>
    <row r="63" spans="1:13" ht="13.5" thickBot="1">
      <c r="A63" s="3748" t="s">
        <v>3139</v>
      </c>
      <c r="B63" s="3758">
        <v>0</v>
      </c>
      <c r="C63" s="510"/>
      <c r="D63" s="1899"/>
    </row>
    <row r="64" spans="1:13">
      <c r="A64" s="3759" t="s">
        <v>3132</v>
      </c>
      <c r="B64" s="3746">
        <f>ROUNDUP(B55/0.3,0)/2</f>
        <v>5</v>
      </c>
      <c r="C64" s="3760">
        <f>B54+B62+0.2*2+B63+B58/3</f>
        <v>3.68</v>
      </c>
      <c r="D64" s="3747">
        <f>B64*C64*0.0123</f>
        <v>0.22631999999999999</v>
      </c>
    </row>
    <row r="65" spans="1:4">
      <c r="A65" s="3749" t="s">
        <v>3133</v>
      </c>
      <c r="B65" s="3155">
        <f>ROUNDUP(B55/0.3,0)/2</f>
        <v>5</v>
      </c>
      <c r="C65" s="3750">
        <f>B54+B62+0.2*2+B63+B59/3</f>
        <v>4.2</v>
      </c>
      <c r="D65" s="1899">
        <f t="shared" ref="D65:D67" si="3">B65*C65*0.0123</f>
        <v>0.25829999999999997</v>
      </c>
    </row>
    <row r="66" spans="1:4">
      <c r="A66" s="3749" t="s">
        <v>3134</v>
      </c>
      <c r="B66" s="3155">
        <f>ROUNDUP(B54/0.3,0)/2</f>
        <v>5</v>
      </c>
      <c r="C66" s="510">
        <f>0.2*2+B60+B61+B55+B56/3</f>
        <v>3.48</v>
      </c>
      <c r="D66" s="1899">
        <f t="shared" si="3"/>
        <v>0.21401999999999999</v>
      </c>
    </row>
    <row r="67" spans="1:4" ht="13.5" thickBot="1">
      <c r="A67" s="3751" t="s">
        <v>3135</v>
      </c>
      <c r="B67" s="3752">
        <f>ROUNDUP(B54/0.3,0)/2</f>
        <v>5</v>
      </c>
      <c r="C67" s="3753">
        <f>0.2*2+B60+B61+B55+B57/3</f>
        <v>4.46</v>
      </c>
      <c r="D67" s="3754">
        <f t="shared" si="3"/>
        <v>0.27428999999999998</v>
      </c>
    </row>
    <row r="68" spans="1:4" ht="13.5" thickBot="1"/>
    <row r="69" spans="1:4" ht="13.5" thickBot="1">
      <c r="A69" s="3761" t="s">
        <v>3126</v>
      </c>
      <c r="B69" s="3762">
        <v>5</v>
      </c>
      <c r="C69" s="3763"/>
      <c r="D69" s="3764"/>
    </row>
    <row r="70" spans="1:4">
      <c r="A70" s="3748" t="s">
        <v>3130</v>
      </c>
      <c r="B70" s="3758">
        <v>2.2999999999999998</v>
      </c>
      <c r="C70" s="510"/>
      <c r="D70" s="1899"/>
    </row>
    <row r="71" spans="1:4" ht="13.5" thickBot="1">
      <c r="A71" s="3756" t="s">
        <v>3131</v>
      </c>
      <c r="B71" s="3757">
        <v>2.93</v>
      </c>
      <c r="C71" s="510"/>
      <c r="D71" s="1899"/>
    </row>
    <row r="72" spans="1:4">
      <c r="A72" s="3745" t="s">
        <v>3127</v>
      </c>
      <c r="B72" s="3755">
        <v>0</v>
      </c>
      <c r="C72" s="510"/>
      <c r="D72" s="1899"/>
    </row>
    <row r="73" spans="1:4">
      <c r="A73" s="3748" t="s">
        <v>3128</v>
      </c>
      <c r="B73" s="3758">
        <v>0</v>
      </c>
      <c r="C73" s="510"/>
      <c r="D73" s="1899"/>
    </row>
    <row r="74" spans="1:4">
      <c r="A74" s="3748" t="s">
        <v>540</v>
      </c>
      <c r="B74" s="3758">
        <v>3.17</v>
      </c>
      <c r="C74" s="510"/>
      <c r="D74" s="1899"/>
    </row>
    <row r="75" spans="1:4" ht="13.5" thickBot="1">
      <c r="A75" s="3756" t="s">
        <v>3129</v>
      </c>
      <c r="B75" s="3757">
        <v>0</v>
      </c>
      <c r="C75" s="510"/>
      <c r="D75" s="1899"/>
    </row>
    <row r="76" spans="1:4">
      <c r="A76" s="3745" t="s">
        <v>3136</v>
      </c>
      <c r="B76" s="3755">
        <v>1</v>
      </c>
      <c r="C76" s="510"/>
      <c r="D76" s="1899"/>
    </row>
    <row r="77" spans="1:4">
      <c r="A77" s="3748" t="s">
        <v>3137</v>
      </c>
      <c r="B77" s="3758">
        <v>0.3</v>
      </c>
      <c r="C77" s="510"/>
      <c r="D77" s="1899"/>
    </row>
    <row r="78" spans="1:4">
      <c r="A78" s="3748" t="s">
        <v>3138</v>
      </c>
      <c r="B78" s="3758">
        <v>0</v>
      </c>
      <c r="C78" s="510"/>
      <c r="D78" s="1899"/>
    </row>
    <row r="79" spans="1:4" ht="13.5" thickBot="1">
      <c r="A79" s="3748" t="s">
        <v>3139</v>
      </c>
      <c r="B79" s="3758">
        <v>0.3</v>
      </c>
      <c r="C79" s="510"/>
      <c r="D79" s="1899"/>
    </row>
    <row r="80" spans="1:4">
      <c r="A80" s="3759" t="s">
        <v>3132</v>
      </c>
      <c r="B80" s="3746">
        <f>ROUNDUP(B71/0.3,0)/2</f>
        <v>5</v>
      </c>
      <c r="C80" s="3760">
        <f>B70+B78+0.2*2+B79+B74/3</f>
        <v>4.0599999999999996</v>
      </c>
      <c r="D80" s="3747">
        <f>B80*C80*0.0123</f>
        <v>0.24969</v>
      </c>
    </row>
    <row r="81" spans="1:4">
      <c r="A81" s="3749" t="s">
        <v>3133</v>
      </c>
      <c r="B81" s="3155">
        <f>ROUNDUP(B71/0.3,0)/2</f>
        <v>5</v>
      </c>
      <c r="C81" s="3750">
        <f>B70+B78+0.2*2+B79+B75/3</f>
        <v>3</v>
      </c>
      <c r="D81" s="1899">
        <f t="shared" ref="D81:D83" si="4">B81*C81*0.0123</f>
        <v>0.1845</v>
      </c>
    </row>
    <row r="82" spans="1:4">
      <c r="A82" s="3749" t="s">
        <v>3134</v>
      </c>
      <c r="B82" s="3155">
        <f>ROUNDUP(B70/0.3,0)/2</f>
        <v>4</v>
      </c>
      <c r="C82" s="510">
        <f>0.2*2+B76+B77+B71+B72/3</f>
        <v>4.63</v>
      </c>
      <c r="D82" s="1899">
        <f t="shared" si="4"/>
        <v>0.227796</v>
      </c>
    </row>
    <row r="83" spans="1:4" ht="13.5" thickBot="1">
      <c r="A83" s="3751" t="s">
        <v>3135</v>
      </c>
      <c r="B83" s="3752">
        <f>ROUNDUP(B70/0.3,0)/2</f>
        <v>4</v>
      </c>
      <c r="C83" s="3753">
        <f>0.2*2+B76+B77+B71+B73/3</f>
        <v>4.63</v>
      </c>
      <c r="D83" s="3754">
        <f t="shared" si="4"/>
        <v>0.227796</v>
      </c>
    </row>
    <row r="84" spans="1:4" ht="13.5" thickBot="1"/>
    <row r="85" spans="1:4" ht="13.5" thickBot="1">
      <c r="A85" s="3761" t="s">
        <v>3126</v>
      </c>
      <c r="B85" s="3762">
        <v>6</v>
      </c>
      <c r="C85" s="3763"/>
      <c r="D85" s="3764"/>
    </row>
    <row r="86" spans="1:4">
      <c r="A86" s="3748" t="s">
        <v>3130</v>
      </c>
      <c r="B86" s="3758">
        <v>3.17</v>
      </c>
      <c r="C86" s="510"/>
      <c r="D86" s="1899"/>
    </row>
    <row r="87" spans="1:4" ht="13.5" thickBot="1">
      <c r="A87" s="3756" t="s">
        <v>3131</v>
      </c>
      <c r="B87" s="3757">
        <v>5.03</v>
      </c>
      <c r="C87" s="510"/>
      <c r="D87" s="1899"/>
    </row>
    <row r="88" spans="1:4">
      <c r="A88" s="3745" t="s">
        <v>3127</v>
      </c>
      <c r="B88" s="3755">
        <v>2.78</v>
      </c>
      <c r="C88" s="510"/>
      <c r="D88" s="1899"/>
    </row>
    <row r="89" spans="1:4">
      <c r="A89" s="3748" t="s">
        <v>3128</v>
      </c>
      <c r="B89" s="3758">
        <v>0</v>
      </c>
      <c r="C89" s="510"/>
      <c r="D89" s="1899"/>
    </row>
    <row r="90" spans="1:4">
      <c r="A90" s="3748" t="s">
        <v>540</v>
      </c>
      <c r="B90" s="3758">
        <v>3.9</v>
      </c>
      <c r="C90" s="510"/>
      <c r="D90" s="1899"/>
    </row>
    <row r="91" spans="1:4" ht="13.5" thickBot="1">
      <c r="A91" s="3756" t="s">
        <v>3129</v>
      </c>
      <c r="B91" s="3757">
        <v>2.2999999999999998</v>
      </c>
      <c r="C91" s="510"/>
      <c r="D91" s="1899"/>
    </row>
    <row r="92" spans="1:4">
      <c r="A92" s="3745" t="s">
        <v>3136</v>
      </c>
      <c r="B92" s="3755">
        <v>0</v>
      </c>
      <c r="C92" s="510"/>
      <c r="D92" s="1899"/>
    </row>
    <row r="93" spans="1:4">
      <c r="A93" s="3748" t="s">
        <v>3137</v>
      </c>
      <c r="B93" s="3758">
        <v>0.3</v>
      </c>
      <c r="C93" s="510"/>
      <c r="D93" s="1899"/>
    </row>
    <row r="94" spans="1:4">
      <c r="A94" s="3748" t="s">
        <v>3138</v>
      </c>
      <c r="B94" s="3758">
        <v>0</v>
      </c>
      <c r="C94" s="510"/>
      <c r="D94" s="1899"/>
    </row>
    <row r="95" spans="1:4" ht="13.5" thickBot="1">
      <c r="A95" s="3748" t="s">
        <v>3139</v>
      </c>
      <c r="B95" s="3758">
        <v>0</v>
      </c>
      <c r="C95" s="510"/>
      <c r="D95" s="1899"/>
    </row>
    <row r="96" spans="1:4">
      <c r="A96" s="3759" t="s">
        <v>3132</v>
      </c>
      <c r="B96" s="3746">
        <f>ROUNDUP(ROUNDUP(B87/0.2,0)/2,0)</f>
        <v>13</v>
      </c>
      <c r="C96" s="3760">
        <f>B86+B94+0.2*2+B95+B90/3</f>
        <v>4.87</v>
      </c>
      <c r="D96" s="3747">
        <f>B96*C96*0.0123</f>
        <v>0.77871299999999999</v>
      </c>
    </row>
    <row r="97" spans="1:4">
      <c r="A97" s="3749" t="s">
        <v>3133</v>
      </c>
      <c r="B97" s="3155">
        <f>ROUNDUP(ROUNDUP(B87/0.2,0)/2,0)</f>
        <v>13</v>
      </c>
      <c r="C97" s="3750">
        <f>B86+B94+0.2*2+B95+B91/3</f>
        <v>4.34</v>
      </c>
      <c r="D97" s="1899">
        <f t="shared" ref="D97:D99" si="5">B97*C97*0.0123</f>
        <v>0.69396599999999997</v>
      </c>
    </row>
    <row r="98" spans="1:4">
      <c r="A98" s="3749" t="s">
        <v>3134</v>
      </c>
      <c r="B98" s="3155">
        <f>ROUNDUP(ROUNDUP(B86/0.3,0)/2,0)</f>
        <v>6</v>
      </c>
      <c r="C98" s="510">
        <f>0.2*2+B92+B93+B87+B88/3</f>
        <v>6.6566666666666698</v>
      </c>
      <c r="D98" s="1899">
        <f t="shared" si="5"/>
        <v>0.49126199999999998</v>
      </c>
    </row>
    <row r="99" spans="1:4" ht="13.5" thickBot="1">
      <c r="A99" s="3751" t="s">
        <v>3135</v>
      </c>
      <c r="B99" s="3752">
        <f>ROUNDUP(ROUNDUP(B86/0.3,0)/2,0)</f>
        <v>6</v>
      </c>
      <c r="C99" s="3753">
        <f>0.2*2+B92+B93+B87+B89/3</f>
        <v>5.73</v>
      </c>
      <c r="D99" s="3754">
        <f t="shared" si="5"/>
        <v>0.42287400000000003</v>
      </c>
    </row>
    <row r="100" spans="1:4" ht="13.5" thickBot="1"/>
    <row r="101" spans="1:4" ht="13.5" thickBot="1">
      <c r="A101" s="3761" t="s">
        <v>3126</v>
      </c>
      <c r="B101" s="3762">
        <v>7</v>
      </c>
      <c r="C101" s="3763"/>
      <c r="D101" s="3764"/>
    </row>
    <row r="102" spans="1:4">
      <c r="A102" s="3748" t="s">
        <v>3130</v>
      </c>
      <c r="B102" s="3758">
        <v>3.9</v>
      </c>
      <c r="C102" s="510"/>
      <c r="D102" s="1899"/>
    </row>
    <row r="103" spans="1:4" ht="13.5" thickBot="1">
      <c r="A103" s="3756" t="s">
        <v>3131</v>
      </c>
      <c r="B103" s="3757">
        <v>2.93</v>
      </c>
      <c r="C103" s="510"/>
      <c r="D103" s="1899"/>
    </row>
    <row r="104" spans="1:4">
      <c r="A104" s="3745" t="s">
        <v>3127</v>
      </c>
      <c r="B104" s="3755">
        <v>2.78</v>
      </c>
      <c r="C104" s="510"/>
      <c r="D104" s="1899"/>
    </row>
    <row r="105" spans="1:4">
      <c r="A105" s="3748" t="s">
        <v>3128</v>
      </c>
      <c r="B105" s="3758">
        <v>1.95</v>
      </c>
      <c r="C105" s="510"/>
      <c r="D105" s="1899"/>
    </row>
    <row r="106" spans="1:4">
      <c r="A106" s="3748" t="s">
        <v>540</v>
      </c>
      <c r="B106" s="3758">
        <v>0</v>
      </c>
      <c r="C106" s="510"/>
      <c r="D106" s="1899"/>
    </row>
    <row r="107" spans="1:4" ht="13.5" thickBot="1">
      <c r="A107" s="3756" t="s">
        <v>3129</v>
      </c>
      <c r="B107" s="3757">
        <v>3.17</v>
      </c>
      <c r="C107" s="510"/>
      <c r="D107" s="1899"/>
    </row>
    <row r="108" spans="1:4">
      <c r="A108" s="3745" t="s">
        <v>3136</v>
      </c>
      <c r="B108" s="3755">
        <v>0</v>
      </c>
      <c r="C108" s="510"/>
      <c r="D108" s="1899"/>
    </row>
    <row r="109" spans="1:4">
      <c r="A109" s="3748" t="s">
        <v>3137</v>
      </c>
      <c r="B109" s="3758">
        <v>0</v>
      </c>
      <c r="C109" s="510"/>
      <c r="D109" s="1899"/>
    </row>
    <row r="110" spans="1:4">
      <c r="A110" s="3748" t="s">
        <v>3138</v>
      </c>
      <c r="B110" s="3758">
        <v>0.3</v>
      </c>
      <c r="C110" s="510"/>
      <c r="D110" s="1899"/>
    </row>
    <row r="111" spans="1:4" ht="13.5" thickBot="1">
      <c r="A111" s="3748" t="s">
        <v>3139</v>
      </c>
      <c r="B111" s="3758">
        <v>0</v>
      </c>
      <c r="C111" s="510"/>
      <c r="D111" s="1899"/>
    </row>
    <row r="112" spans="1:4">
      <c r="A112" s="3759" t="s">
        <v>3132</v>
      </c>
      <c r="B112" s="3746">
        <f>ROUNDUP(ROUNDUP(B103/0.3,0)/2,0)</f>
        <v>5</v>
      </c>
      <c r="C112" s="3760">
        <f>B102+B110+0.2*2+B111+B106/3</f>
        <v>4.5999999999999996</v>
      </c>
      <c r="D112" s="3747">
        <f>B112*C112*0.0123</f>
        <v>0.28289999999999998</v>
      </c>
    </row>
    <row r="113" spans="1:4">
      <c r="A113" s="3749" t="s">
        <v>3133</v>
      </c>
      <c r="B113" s="3155">
        <f>ROUNDUP(ROUNDUP(B103/0.3,0)/2,0)</f>
        <v>5</v>
      </c>
      <c r="C113" s="3750">
        <f>B102+B110+0.2*2+B111+B107/3</f>
        <v>5.66</v>
      </c>
      <c r="D113" s="1899">
        <f t="shared" ref="D113:D115" si="6">B113*C113*0.0123</f>
        <v>0.34809000000000001</v>
      </c>
    </row>
    <row r="114" spans="1:4">
      <c r="A114" s="3749" t="s">
        <v>3134</v>
      </c>
      <c r="B114" s="3155">
        <f>ROUNDUP(ROUNDUP(B102/0.3,0)/2,0)</f>
        <v>7</v>
      </c>
      <c r="C114" s="510">
        <f>0.2*2+B108+B109+B103+B104/3</f>
        <v>4.2566666666666704</v>
      </c>
      <c r="D114" s="1899">
        <f t="shared" si="6"/>
        <v>0.36649900000000002</v>
      </c>
    </row>
    <row r="115" spans="1:4" ht="13.5" thickBot="1">
      <c r="A115" s="3751" t="s">
        <v>3135</v>
      </c>
      <c r="B115" s="3752">
        <f>ROUNDUP(ROUNDUP(B102/0.3,0)/2,0)</f>
        <v>7</v>
      </c>
      <c r="C115" s="3753">
        <f>0.2*2+B108+B109+B103+B105/3</f>
        <v>3.98</v>
      </c>
      <c r="D115" s="3754">
        <f t="shared" si="6"/>
        <v>0.34267799999999998</v>
      </c>
    </row>
    <row r="116" spans="1:4" ht="13.5" thickBot="1"/>
    <row r="117" spans="1:4" ht="13.5" thickBot="1">
      <c r="A117" s="3761" t="s">
        <v>3126</v>
      </c>
      <c r="B117" s="3762">
        <v>8</v>
      </c>
      <c r="C117" s="3763"/>
      <c r="D117" s="3764"/>
    </row>
    <row r="118" spans="1:4">
      <c r="A118" s="3748" t="s">
        <v>3130</v>
      </c>
      <c r="B118" s="3758">
        <v>3.91</v>
      </c>
      <c r="C118" s="510"/>
      <c r="D118" s="1899"/>
    </row>
    <row r="119" spans="1:4" ht="13.5" thickBot="1">
      <c r="A119" s="3756" t="s">
        <v>3131</v>
      </c>
      <c r="B119" s="3757">
        <v>1.95</v>
      </c>
      <c r="C119" s="510"/>
      <c r="D119" s="1899"/>
    </row>
    <row r="120" spans="1:4">
      <c r="A120" s="3745" t="s">
        <v>3127</v>
      </c>
      <c r="B120" s="3755">
        <v>10.96</v>
      </c>
      <c r="C120" s="510"/>
      <c r="D120" s="1899"/>
    </row>
    <row r="121" spans="1:4">
      <c r="A121" s="3748" t="s">
        <v>3128</v>
      </c>
      <c r="B121" s="3758">
        <v>0</v>
      </c>
      <c r="C121" s="510"/>
      <c r="D121" s="1899"/>
    </row>
    <row r="122" spans="1:4">
      <c r="A122" s="3748" t="s">
        <v>540</v>
      </c>
      <c r="B122" s="3758">
        <v>0</v>
      </c>
      <c r="C122" s="510"/>
      <c r="D122" s="1899"/>
    </row>
    <row r="123" spans="1:4" ht="13.5" thickBot="1">
      <c r="A123" s="3756" t="s">
        <v>3129</v>
      </c>
      <c r="B123" s="3757">
        <v>3.17</v>
      </c>
      <c r="C123" s="510"/>
      <c r="D123" s="1899"/>
    </row>
    <row r="124" spans="1:4">
      <c r="A124" s="3745" t="s">
        <v>3136</v>
      </c>
      <c r="B124" s="3755">
        <v>0</v>
      </c>
      <c r="C124" s="510"/>
      <c r="D124" s="1899"/>
    </row>
    <row r="125" spans="1:4">
      <c r="A125" s="3748" t="s">
        <v>3137</v>
      </c>
      <c r="B125" s="3758">
        <v>0.3</v>
      </c>
      <c r="C125" s="510"/>
      <c r="D125" s="1899"/>
    </row>
    <row r="126" spans="1:4">
      <c r="A126" s="3748" t="s">
        <v>3138</v>
      </c>
      <c r="B126" s="3758">
        <v>0.3</v>
      </c>
      <c r="C126" s="510"/>
      <c r="D126" s="1899"/>
    </row>
    <row r="127" spans="1:4" ht="13.5" thickBot="1">
      <c r="A127" s="3748" t="s">
        <v>3139</v>
      </c>
      <c r="B127" s="3758">
        <v>0</v>
      </c>
      <c r="C127" s="510"/>
      <c r="D127" s="1899"/>
    </row>
    <row r="128" spans="1:4">
      <c r="A128" s="3759" t="s">
        <v>3132</v>
      </c>
      <c r="B128" s="3746">
        <f>ROUNDUP(ROUNDUP(B119/0.3,0)/2,0)</f>
        <v>4</v>
      </c>
      <c r="C128" s="3760">
        <f>B118+B126+0.2*2+B127+B122/3</f>
        <v>4.6100000000000003</v>
      </c>
      <c r="D128" s="3747">
        <f>B128*C128*0.0123</f>
        <v>0.22681200000000001</v>
      </c>
    </row>
    <row r="129" spans="1:5">
      <c r="A129" s="3749" t="s">
        <v>3133</v>
      </c>
      <c r="B129" s="3155">
        <f>ROUNDUP(ROUNDUP(B119/0.3,0)/2,0)</f>
        <v>4</v>
      </c>
      <c r="C129" s="3750">
        <f>B118+B126+0.2*2+B127+B123/3</f>
        <v>5.67</v>
      </c>
      <c r="D129" s="1899">
        <f t="shared" ref="D129:D131" si="7">B129*C129*0.0123</f>
        <v>0.27896399999999999</v>
      </c>
    </row>
    <row r="130" spans="1:5">
      <c r="A130" s="3749" t="s">
        <v>3134</v>
      </c>
      <c r="B130" s="3155">
        <f>ROUNDUP(ROUNDUP(B118/0.3,0)/2,0)</f>
        <v>7</v>
      </c>
      <c r="C130" s="510">
        <f>0.2*2+B124+B125+B119+B120/3</f>
        <v>6.3033333333333301</v>
      </c>
      <c r="D130" s="1899">
        <f t="shared" si="7"/>
        <v>0.542717</v>
      </c>
    </row>
    <row r="131" spans="1:5" ht="13.5" thickBot="1">
      <c r="A131" s="3751" t="s">
        <v>3135</v>
      </c>
      <c r="B131" s="3752">
        <f>ROUNDUP(ROUNDUP(B118/0.3,0)/2,0)</f>
        <v>7</v>
      </c>
      <c r="C131" s="3753">
        <f>0.2*2+B124+B125+B119+B121/3</f>
        <v>2.65</v>
      </c>
      <c r="D131" s="3754">
        <f t="shared" si="7"/>
        <v>0.22816500000000001</v>
      </c>
    </row>
    <row r="134" spans="1:5">
      <c r="A134" s="474" t="s">
        <v>3140</v>
      </c>
    </row>
    <row r="135" spans="1:5">
      <c r="A135" s="474" t="s">
        <v>3141</v>
      </c>
      <c r="B135" s="474">
        <f>ROUNDUP(3.17/0.3,0)</f>
        <v>11</v>
      </c>
      <c r="C135">
        <f>2.78/3+0.2+5.03/3</f>
        <v>2.8033333333333301</v>
      </c>
      <c r="D135">
        <f>0.0123*C135*B135</f>
        <v>0.37929099999999999</v>
      </c>
    </row>
    <row r="136" spans="1:5">
      <c r="A136" s="474" t="s">
        <v>3142</v>
      </c>
      <c r="B136" s="474">
        <f>ROUNDUP(3.9/0.3,0)</f>
        <v>13</v>
      </c>
      <c r="C136" s="3742">
        <f>2.78/3+0.2+2.93/3</f>
        <v>2.1033333333333299</v>
      </c>
      <c r="D136" s="3742">
        <f t="shared" ref="D136:D140" si="8">0.0123*C136*B136</f>
        <v>0.33632299999999898</v>
      </c>
    </row>
    <row r="137" spans="1:5">
      <c r="A137" s="474" t="s">
        <v>3143</v>
      </c>
      <c r="B137" s="474">
        <f>ROUNDUP(3.9/0.3,0)</f>
        <v>13</v>
      </c>
      <c r="C137" s="3742">
        <f>1.95/3+0.2+2.93/3</f>
        <v>1.82666666666667</v>
      </c>
      <c r="D137" s="3742">
        <f t="shared" si="8"/>
        <v>0.29208400000000101</v>
      </c>
    </row>
    <row r="138" spans="1:5">
      <c r="D138" s="3742"/>
    </row>
    <row r="139" spans="1:5">
      <c r="A139" s="474" t="s">
        <v>3144</v>
      </c>
      <c r="B139" s="474">
        <f>ROUNDUP(2.93/0.3,0)</f>
        <v>10</v>
      </c>
      <c r="C139">
        <f>2.3/3+0.2+3.17/3</f>
        <v>2.0233333333333299</v>
      </c>
      <c r="D139" s="3742">
        <f t="shared" si="8"/>
        <v>0.24887000000000001</v>
      </c>
    </row>
    <row r="140" spans="1:5">
      <c r="A140" s="474" t="s">
        <v>3145</v>
      </c>
      <c r="B140" s="474">
        <f>ROUNDUP(2.93/0.3,0)</f>
        <v>10</v>
      </c>
      <c r="C140" s="3742">
        <f>3.9/3+0.2+3.17/3</f>
        <v>2.5566666666666702</v>
      </c>
      <c r="D140" s="3742">
        <f t="shared" si="8"/>
        <v>0.31447000000000003</v>
      </c>
    </row>
    <row r="142" spans="1:5">
      <c r="D142">
        <f>SUM(D5:D141)</f>
        <v>11.16799</v>
      </c>
    </row>
    <row r="144" spans="1:5">
      <c r="D144">
        <f>D142*1.15</f>
        <v>12.8431885</v>
      </c>
      <c r="E144" t="s">
        <v>242</v>
      </c>
    </row>
    <row r="145" spans="2:4">
      <c r="B145" s="474" t="s">
        <v>2</v>
      </c>
      <c r="D145">
        <f>75.5*0.1</f>
        <v>7.55</v>
      </c>
    </row>
    <row r="146" spans="2:4">
      <c r="D146">
        <f>D144/D145</f>
        <v>1.7010845695364201</v>
      </c>
    </row>
  </sheetData>
  <customSheetViews>
    <customSheetView guid="{43BC9397-3E8C-478C-B548-E4A845A7F82B}" topLeftCell="A109">
      <selection activeCell="D145" sqref="D145"/>
      <pageMargins left="0.7" right="0.7" top="0.75" bottom="0.75" header="0.3" footer="0.3"/>
      <pageSetup paperSize="9" orientation="portrait" r:id="rId1"/>
    </customSheetView>
  </customSheetViews>
  <mergeCells count="1">
    <mergeCell ref="A3:D3"/>
  </mergeCell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3:Q72"/>
  <sheetViews>
    <sheetView workbookViewId="0"/>
  </sheetViews>
  <sheetFormatPr baseColWidth="10" defaultColWidth="11.42578125" defaultRowHeight="12.75"/>
  <sheetData>
    <row r="3" spans="1:17">
      <c r="B3" t="s">
        <v>2528</v>
      </c>
    </row>
    <row r="4" spans="1:17">
      <c r="B4" s="2029" t="s">
        <v>2529</v>
      </c>
      <c r="C4" t="s">
        <v>2530</v>
      </c>
    </row>
    <row r="5" spans="1:17">
      <c r="B5" s="2029" t="s">
        <v>2531</v>
      </c>
      <c r="C5" t="s">
        <v>2532</v>
      </c>
    </row>
    <row r="6" spans="1:17">
      <c r="A6" s="2029"/>
      <c r="B6" s="2029" t="s">
        <v>2533</v>
      </c>
      <c r="C6" t="s">
        <v>2534</v>
      </c>
    </row>
    <row r="7" spans="1:17">
      <c r="A7" s="2029"/>
      <c r="B7" s="2029" t="s">
        <v>2535</v>
      </c>
      <c r="C7" t="s">
        <v>2536</v>
      </c>
    </row>
    <row r="8" spans="1:17">
      <c r="A8" s="2029"/>
      <c r="B8" s="2029" t="s">
        <v>2537</v>
      </c>
      <c r="C8" t="s">
        <v>2538</v>
      </c>
    </row>
    <row r="9" spans="1:17">
      <c r="A9" s="2029"/>
      <c r="B9" s="2029">
        <v>5.0999999999999996</v>
      </c>
      <c r="C9" t="s">
        <v>2539</v>
      </c>
    </row>
    <row r="10" spans="1:17">
      <c r="A10" s="2029"/>
      <c r="B10" s="2029">
        <v>5.2</v>
      </c>
      <c r="C10" t="s">
        <v>2540</v>
      </c>
    </row>
    <row r="11" spans="1:17">
      <c r="A11" s="2029"/>
      <c r="B11" s="2029" t="s">
        <v>2541</v>
      </c>
      <c r="C11" t="s">
        <v>2542</v>
      </c>
    </row>
    <row r="12" spans="1:17">
      <c r="A12" s="2029"/>
      <c r="B12" s="2029" t="s">
        <v>2543</v>
      </c>
      <c r="C12" t="s">
        <v>2544</v>
      </c>
    </row>
    <row r="13" spans="1:17">
      <c r="A13" s="2029"/>
      <c r="B13" s="2029"/>
    </row>
    <row r="14" spans="1:17">
      <c r="A14" s="2029"/>
      <c r="B14" s="2029"/>
    </row>
    <row r="15" spans="1:17" s="3537" customFormat="1">
      <c r="A15" s="122"/>
      <c r="B15" s="122"/>
      <c r="C15" s="122"/>
      <c r="D15" s="122"/>
      <c r="E15" s="122"/>
      <c r="F15" s="122"/>
      <c r="G15" s="122"/>
      <c r="H15" s="122"/>
      <c r="I15" s="122"/>
      <c r="J15" s="122"/>
      <c r="K15" s="122"/>
      <c r="L15" s="122"/>
      <c r="M15" s="122"/>
      <c r="N15" s="122"/>
      <c r="O15" s="122"/>
    </row>
    <row r="16" spans="1:17" s="3537" customFormat="1" ht="13.5" thickBot="1">
      <c r="A16" s="61"/>
      <c r="B16" s="59"/>
      <c r="C16" s="59"/>
      <c r="D16" s="59"/>
      <c r="E16" s="4769" t="s">
        <v>65</v>
      </c>
      <c r="F16" s="4769"/>
      <c r="G16" s="62"/>
      <c r="H16" s="4769" t="s">
        <v>66</v>
      </c>
      <c r="I16" s="4769"/>
      <c r="J16" s="62"/>
      <c r="K16" s="4769" t="s">
        <v>67</v>
      </c>
      <c r="L16" s="4769"/>
      <c r="M16" s="62"/>
      <c r="N16" s="4769" t="s">
        <v>68</v>
      </c>
      <c r="O16" s="4769"/>
      <c r="P16" s="59"/>
      <c r="Q16" s="58"/>
    </row>
    <row r="17" spans="1:17" s="3537" customFormat="1" ht="13.5" thickBot="1">
      <c r="A17" s="61"/>
      <c r="B17" s="59"/>
      <c r="C17" s="63" t="s">
        <v>69</v>
      </c>
      <c r="D17" s="59"/>
      <c r="E17" s="64" t="s">
        <v>70</v>
      </c>
      <c r="F17" s="3541" t="s">
        <v>71</v>
      </c>
      <c r="G17" s="62"/>
      <c r="H17" s="64" t="s">
        <v>70</v>
      </c>
      <c r="I17" s="3541" t="s">
        <v>71</v>
      </c>
      <c r="J17" s="62"/>
      <c r="K17" s="64" t="s">
        <v>70</v>
      </c>
      <c r="L17" s="3541" t="s">
        <v>71</v>
      </c>
      <c r="M17" s="62"/>
      <c r="N17" s="64" t="s">
        <v>70</v>
      </c>
      <c r="O17" s="3541" t="s">
        <v>72</v>
      </c>
      <c r="P17" s="59"/>
      <c r="Q17" s="58"/>
    </row>
    <row r="18" spans="1:17" s="3537" customFormat="1">
      <c r="A18" s="66"/>
      <c r="B18" s="3542" t="s">
        <v>73</v>
      </c>
      <c r="C18" s="68"/>
      <c r="D18" s="69"/>
      <c r="E18" s="70">
        <v>0.63</v>
      </c>
      <c r="F18" s="71">
        <f t="shared" ref="F18:F22" si="0">+E18*C18</f>
        <v>0</v>
      </c>
      <c r="G18" s="69"/>
      <c r="H18" s="72">
        <v>0.06</v>
      </c>
      <c r="I18" s="71">
        <f t="shared" ref="I18" si="1">+H18*C18</f>
        <v>0</v>
      </c>
      <c r="J18" s="69"/>
      <c r="K18" s="73">
        <v>2E-3</v>
      </c>
      <c r="L18" s="71">
        <f t="shared" ref="L18:L22" si="2">+K18*C18</f>
        <v>0</v>
      </c>
      <c r="M18" s="69"/>
      <c r="N18" s="74">
        <v>1.388E-2</v>
      </c>
      <c r="O18" s="71">
        <f t="shared" ref="O18:O34" si="3">+N18*C18</f>
        <v>0</v>
      </c>
      <c r="P18" s="69"/>
      <c r="Q18" s="58"/>
    </row>
    <row r="19" spans="1:17" s="3537" customFormat="1">
      <c r="A19" s="66"/>
      <c r="B19" s="3542" t="s">
        <v>74</v>
      </c>
      <c r="C19" s="22"/>
      <c r="D19" s="69"/>
      <c r="E19" s="70">
        <f>0.8*1.08</f>
        <v>0.86</v>
      </c>
      <c r="F19" s="3543">
        <f t="shared" si="0"/>
        <v>0</v>
      </c>
      <c r="G19" s="69"/>
      <c r="H19" s="3544">
        <v>0.06</v>
      </c>
      <c r="I19" s="3543">
        <f>+H19*C19</f>
        <v>0</v>
      </c>
      <c r="J19" s="69"/>
      <c r="K19" s="3545">
        <v>4.5999999999999999E-3</v>
      </c>
      <c r="L19" s="3543">
        <f t="shared" si="2"/>
        <v>0</v>
      </c>
      <c r="M19" s="69"/>
      <c r="N19" s="3546">
        <v>1.7860000000000001E-2</v>
      </c>
      <c r="O19" s="3543">
        <f t="shared" si="3"/>
        <v>0</v>
      </c>
      <c r="P19" s="69"/>
      <c r="Q19" s="58"/>
    </row>
    <row r="20" spans="1:17" s="3537" customFormat="1">
      <c r="A20" s="66"/>
      <c r="B20" s="3542" t="s">
        <v>75</v>
      </c>
      <c r="C20" s="3547"/>
      <c r="D20" s="69"/>
      <c r="E20" s="70">
        <f>0.8*1.1</f>
        <v>0.88</v>
      </c>
      <c r="F20" s="3543">
        <f t="shared" si="0"/>
        <v>0</v>
      </c>
      <c r="G20" s="69"/>
      <c r="H20" s="3544">
        <v>0.06</v>
      </c>
      <c r="I20" s="3543">
        <f t="shared" ref="I20" si="4">+H20*C20</f>
        <v>0</v>
      </c>
      <c r="J20" s="69"/>
      <c r="K20" s="3545">
        <v>8.0999999999999996E-3</v>
      </c>
      <c r="L20" s="3543">
        <f t="shared" si="2"/>
        <v>0</v>
      </c>
      <c r="M20" s="69"/>
      <c r="N20" s="3546">
        <v>2.5000000000000001E-2</v>
      </c>
      <c r="O20" s="3543">
        <f t="shared" si="3"/>
        <v>0</v>
      </c>
      <c r="P20" s="69"/>
      <c r="Q20" s="58"/>
    </row>
    <row r="21" spans="1:17" s="3537" customFormat="1">
      <c r="A21" s="66"/>
      <c r="B21" s="3542" t="s">
        <v>76</v>
      </c>
      <c r="C21" s="3542"/>
      <c r="D21" s="69"/>
      <c r="E21" s="70">
        <f>0.8*1.15</f>
        <v>0.92</v>
      </c>
      <c r="F21" s="3543">
        <f t="shared" si="0"/>
        <v>0</v>
      </c>
      <c r="G21" s="69"/>
      <c r="H21" s="3544">
        <v>7.0000000000000007E-2</v>
      </c>
      <c r="I21" s="3543">
        <f>+H21*C21</f>
        <v>0</v>
      </c>
      <c r="J21" s="69"/>
      <c r="K21" s="3545">
        <v>1.8200000000000001E-2</v>
      </c>
      <c r="L21" s="3543">
        <f t="shared" si="2"/>
        <v>0</v>
      </c>
      <c r="M21" s="69"/>
      <c r="N21" s="3546">
        <v>7.8100000000000003E-2</v>
      </c>
      <c r="O21" s="3543">
        <f t="shared" si="3"/>
        <v>0</v>
      </c>
      <c r="P21" s="69"/>
      <c r="Q21" s="58"/>
    </row>
    <row r="22" spans="1:17" s="3537" customFormat="1">
      <c r="A22" s="66"/>
      <c r="B22" s="3542" t="s">
        <v>77</v>
      </c>
      <c r="C22" s="3542"/>
      <c r="D22" s="69"/>
      <c r="E22" s="70">
        <f>0.8*1.2</f>
        <v>0.96</v>
      </c>
      <c r="F22" s="3543">
        <f t="shared" si="0"/>
        <v>0</v>
      </c>
      <c r="G22" s="69"/>
      <c r="H22" s="3544">
        <v>7.4999999999999997E-2</v>
      </c>
      <c r="I22" s="3543">
        <f>+H22*C22</f>
        <v>0</v>
      </c>
      <c r="J22" s="69"/>
      <c r="K22" s="3545">
        <v>3.2399999999999998E-2</v>
      </c>
      <c r="L22" s="3543">
        <f t="shared" si="2"/>
        <v>0</v>
      </c>
      <c r="M22" s="69"/>
      <c r="N22" s="3546">
        <v>0.156</v>
      </c>
      <c r="O22" s="3543">
        <f t="shared" si="3"/>
        <v>0</v>
      </c>
      <c r="P22" s="69"/>
      <c r="Q22" s="58"/>
    </row>
    <row r="23" spans="1:17" s="3537" customFormat="1">
      <c r="A23" s="66"/>
      <c r="B23" s="3542" t="s">
        <v>78</v>
      </c>
      <c r="C23" s="3542"/>
      <c r="D23" s="69"/>
      <c r="E23" s="70">
        <v>1</v>
      </c>
      <c r="F23" s="3543">
        <f>+E23*C23</f>
        <v>0</v>
      </c>
      <c r="G23" s="69"/>
      <c r="H23" s="3544">
        <v>0.08</v>
      </c>
      <c r="I23" s="3543">
        <f t="shared" ref="I23:I27" si="5">+H23*C23</f>
        <v>0</v>
      </c>
      <c r="J23" s="69"/>
      <c r="K23" s="3545">
        <v>5.0700000000000002E-2</v>
      </c>
      <c r="L23" s="3543">
        <f>+K23*C23</f>
        <v>0</v>
      </c>
      <c r="M23" s="69"/>
      <c r="N23" s="3546">
        <v>0.23430000000000001</v>
      </c>
      <c r="O23" s="3543">
        <f t="shared" si="3"/>
        <v>0</v>
      </c>
      <c r="P23" s="69"/>
      <c r="Q23" s="58"/>
    </row>
    <row r="24" spans="1:17" s="3537" customFormat="1">
      <c r="A24" s="66"/>
      <c r="B24" s="3542" t="s">
        <v>79</v>
      </c>
      <c r="C24" s="3542">
        <f>24.79+10.6</f>
        <v>35.39</v>
      </c>
      <c r="D24" s="69"/>
      <c r="E24" s="70">
        <v>1.1100000000000001</v>
      </c>
      <c r="F24" s="3543">
        <f t="shared" ref="F24:F34" si="6">+E24*C24</f>
        <v>39.28</v>
      </c>
      <c r="G24" s="69"/>
      <c r="H24" s="3544">
        <v>8.5000000000000006E-2</v>
      </c>
      <c r="I24" s="3543">
        <f t="shared" si="5"/>
        <v>3.01</v>
      </c>
      <c r="J24" s="69"/>
      <c r="K24" s="3545">
        <v>7.2999999999999995E-2</v>
      </c>
      <c r="L24" s="3543">
        <f t="shared" ref="L24:L34" si="7">+K24*C24</f>
        <v>2.58</v>
      </c>
      <c r="M24" s="69"/>
      <c r="N24" s="3546">
        <v>0.3125</v>
      </c>
      <c r="O24" s="3543">
        <f t="shared" si="3"/>
        <v>11.06</v>
      </c>
      <c r="P24" s="69"/>
      <c r="Q24" s="58"/>
    </row>
    <row r="25" spans="1:17" s="3537" customFormat="1">
      <c r="A25" s="66"/>
      <c r="B25" s="3542" t="s">
        <v>80</v>
      </c>
      <c r="C25" s="3542"/>
      <c r="D25" s="69"/>
      <c r="E25" s="70">
        <v>1.22</v>
      </c>
      <c r="F25" s="3543">
        <f t="shared" si="6"/>
        <v>0</v>
      </c>
      <c r="G25" s="69"/>
      <c r="H25" s="3544">
        <v>0.09</v>
      </c>
      <c r="I25" s="3543">
        <f t="shared" si="5"/>
        <v>0</v>
      </c>
      <c r="J25" s="69"/>
      <c r="K25" s="3545">
        <v>9.9299999999999999E-2</v>
      </c>
      <c r="L25" s="3543">
        <f t="shared" si="7"/>
        <v>0</v>
      </c>
      <c r="M25" s="69"/>
      <c r="N25" s="3546"/>
      <c r="O25" s="3543">
        <f t="shared" si="3"/>
        <v>0</v>
      </c>
      <c r="P25" s="69"/>
      <c r="Q25" s="58"/>
    </row>
    <row r="26" spans="1:17" s="3537" customFormat="1">
      <c r="A26" s="66"/>
      <c r="B26" s="3542" t="s">
        <v>81</v>
      </c>
      <c r="C26" s="3542"/>
      <c r="D26" s="69"/>
      <c r="E26" s="70">
        <v>1.4</v>
      </c>
      <c r="F26" s="3543">
        <f t="shared" si="6"/>
        <v>0</v>
      </c>
      <c r="G26" s="69"/>
      <c r="H26" s="3544">
        <v>0.1</v>
      </c>
      <c r="I26" s="3543">
        <f t="shared" si="5"/>
        <v>0</v>
      </c>
      <c r="J26" s="69"/>
      <c r="K26" s="3545">
        <v>0.12970000000000001</v>
      </c>
      <c r="L26" s="3543">
        <f t="shared" si="7"/>
        <v>0</v>
      </c>
      <c r="M26" s="69"/>
      <c r="N26" s="3546">
        <v>0.41660000000000003</v>
      </c>
      <c r="O26" s="3543">
        <f t="shared" si="3"/>
        <v>0</v>
      </c>
      <c r="P26" s="69"/>
      <c r="Q26" s="58"/>
    </row>
    <row r="27" spans="1:17" s="3537" customFormat="1">
      <c r="A27" s="66"/>
      <c r="B27" s="3542" t="s">
        <v>82</v>
      </c>
      <c r="C27" s="3542"/>
      <c r="D27" s="69"/>
      <c r="E27" s="70">
        <v>1.67</v>
      </c>
      <c r="F27" s="3543">
        <f t="shared" si="6"/>
        <v>0</v>
      </c>
      <c r="G27" s="69"/>
      <c r="H27" s="3544">
        <v>0.115</v>
      </c>
      <c r="I27" s="3543">
        <f t="shared" si="5"/>
        <v>0</v>
      </c>
      <c r="J27" s="69"/>
      <c r="K27" s="3545">
        <v>0.16420000000000001</v>
      </c>
      <c r="L27" s="3543">
        <f t="shared" si="7"/>
        <v>0</v>
      </c>
      <c r="M27" s="69"/>
      <c r="N27" s="3546"/>
      <c r="O27" s="3543">
        <f t="shared" si="3"/>
        <v>0</v>
      </c>
      <c r="P27" s="69"/>
      <c r="Q27" s="58"/>
    </row>
    <row r="28" spans="1:17" s="3537" customFormat="1">
      <c r="A28" s="66"/>
      <c r="B28" s="3542" t="s">
        <v>83</v>
      </c>
      <c r="C28" s="3542"/>
      <c r="D28" s="69"/>
      <c r="E28" s="70">
        <v>1.8</v>
      </c>
      <c r="F28" s="3543">
        <f t="shared" si="6"/>
        <v>0</v>
      </c>
      <c r="G28" s="69"/>
      <c r="H28" s="3544">
        <v>0.12</v>
      </c>
      <c r="I28" s="3543">
        <f t="shared" ref="I28:I33" si="8">+H28*C28</f>
        <v>0</v>
      </c>
      <c r="J28" s="69"/>
      <c r="K28" s="3545">
        <v>0.20269999999999999</v>
      </c>
      <c r="L28" s="3543">
        <f t="shared" si="7"/>
        <v>0</v>
      </c>
      <c r="M28" s="69"/>
      <c r="N28" s="3546"/>
      <c r="O28" s="3543">
        <f t="shared" si="3"/>
        <v>0</v>
      </c>
      <c r="P28" s="69"/>
      <c r="Q28" s="58"/>
    </row>
    <row r="29" spans="1:17" s="3537" customFormat="1">
      <c r="A29" s="66"/>
      <c r="B29" s="3542" t="s">
        <v>84</v>
      </c>
      <c r="C29" s="3542"/>
      <c r="D29" s="69"/>
      <c r="E29" s="70">
        <v>2.15</v>
      </c>
      <c r="F29" s="3543">
        <f t="shared" si="6"/>
        <v>0</v>
      </c>
      <c r="G29" s="69"/>
      <c r="H29" s="3544"/>
      <c r="I29" s="3543">
        <f t="shared" si="8"/>
        <v>0</v>
      </c>
      <c r="J29" s="69"/>
      <c r="K29" s="3545">
        <v>0.29189999999999999</v>
      </c>
      <c r="L29" s="3543">
        <f t="shared" si="7"/>
        <v>0</v>
      </c>
      <c r="M29" s="69"/>
      <c r="N29" s="3546"/>
      <c r="O29" s="3543">
        <f t="shared" si="3"/>
        <v>0</v>
      </c>
      <c r="P29" s="69"/>
      <c r="Q29" s="58"/>
    </row>
    <row r="30" spans="1:17" s="3537" customFormat="1">
      <c r="A30" s="66"/>
      <c r="B30" s="3542" t="s">
        <v>85</v>
      </c>
      <c r="C30" s="3542"/>
      <c r="D30" s="69"/>
      <c r="E30" s="70">
        <v>2.78</v>
      </c>
      <c r="F30" s="3543">
        <f t="shared" si="6"/>
        <v>0</v>
      </c>
      <c r="G30" s="69"/>
      <c r="H30" s="3544"/>
      <c r="I30" s="3543">
        <f t="shared" si="8"/>
        <v>0</v>
      </c>
      <c r="J30" s="69"/>
      <c r="K30" s="3545">
        <v>0.45600000000000002</v>
      </c>
      <c r="L30" s="3543">
        <f t="shared" si="7"/>
        <v>0</v>
      </c>
      <c r="M30" s="69"/>
      <c r="N30" s="3546"/>
      <c r="O30" s="3543">
        <f t="shared" si="3"/>
        <v>0</v>
      </c>
      <c r="P30" s="69"/>
      <c r="Q30" s="58"/>
    </row>
    <row r="31" spans="1:17" s="3537" customFormat="1">
      <c r="A31" s="66"/>
      <c r="B31" s="3542" t="s">
        <v>86</v>
      </c>
      <c r="C31" s="3542"/>
      <c r="D31" s="69"/>
      <c r="E31" s="70">
        <v>3.72</v>
      </c>
      <c r="F31" s="3543">
        <f t="shared" si="6"/>
        <v>0</v>
      </c>
      <c r="G31" s="69"/>
      <c r="H31" s="3544"/>
      <c r="I31" s="3543">
        <f t="shared" si="8"/>
        <v>0</v>
      </c>
      <c r="J31" s="69"/>
      <c r="K31" s="3545">
        <v>0.65669999999999995</v>
      </c>
      <c r="L31" s="3543">
        <f t="shared" si="7"/>
        <v>0</v>
      </c>
      <c r="M31" s="69"/>
      <c r="N31" s="3546"/>
      <c r="O31" s="3543">
        <f t="shared" si="3"/>
        <v>0</v>
      </c>
      <c r="P31" s="69"/>
      <c r="Q31" s="58"/>
    </row>
    <row r="32" spans="1:17" s="3537" customFormat="1">
      <c r="A32" s="66"/>
      <c r="B32" s="3542" t="s">
        <v>87</v>
      </c>
      <c r="C32" s="3542"/>
      <c r="D32" s="69"/>
      <c r="E32" s="70">
        <v>3.95</v>
      </c>
      <c r="F32" s="3543">
        <f t="shared" si="6"/>
        <v>0</v>
      </c>
      <c r="G32" s="69"/>
      <c r="H32" s="3544"/>
      <c r="I32" s="3543">
        <f t="shared" si="8"/>
        <v>0</v>
      </c>
      <c r="J32" s="69"/>
      <c r="K32" s="3545">
        <v>0.73170000000000002</v>
      </c>
      <c r="L32" s="3543">
        <f t="shared" si="7"/>
        <v>0</v>
      </c>
      <c r="M32" s="69"/>
      <c r="N32" s="3546"/>
      <c r="O32" s="3543">
        <f t="shared" si="3"/>
        <v>0</v>
      </c>
      <c r="P32" s="69"/>
      <c r="Q32" s="58"/>
    </row>
    <row r="33" spans="1:17" s="3537" customFormat="1">
      <c r="A33" s="66"/>
      <c r="B33" s="3542" t="s">
        <v>88</v>
      </c>
      <c r="C33" s="3542"/>
      <c r="D33" s="69"/>
      <c r="E33" s="70">
        <v>4.16</v>
      </c>
      <c r="F33" s="3543">
        <f t="shared" si="6"/>
        <v>0</v>
      </c>
      <c r="G33" s="69"/>
      <c r="H33" s="3544"/>
      <c r="I33" s="3543">
        <f t="shared" si="8"/>
        <v>0</v>
      </c>
      <c r="J33" s="69"/>
      <c r="K33" s="3545">
        <v>0.81069999999999998</v>
      </c>
      <c r="L33" s="3543">
        <f t="shared" si="7"/>
        <v>0</v>
      </c>
      <c r="M33" s="69"/>
      <c r="N33" s="3546"/>
      <c r="O33" s="3543">
        <f t="shared" si="3"/>
        <v>0</v>
      </c>
      <c r="P33" s="69"/>
      <c r="Q33" s="58"/>
    </row>
    <row r="34" spans="1:17" s="3537" customFormat="1" ht="13.5" thickBot="1">
      <c r="A34" s="66"/>
      <c r="B34" s="3548" t="s">
        <v>89</v>
      </c>
      <c r="C34" s="3548"/>
      <c r="D34" s="69"/>
      <c r="E34" s="70">
        <v>4.3600000000000003</v>
      </c>
      <c r="F34" s="3543">
        <f t="shared" si="6"/>
        <v>0</v>
      </c>
      <c r="G34" s="69"/>
      <c r="H34" s="3544"/>
      <c r="I34" s="3543">
        <f>+H34*C34</f>
        <v>0</v>
      </c>
      <c r="J34" s="69"/>
      <c r="K34" s="3545">
        <v>0.89380000000000004</v>
      </c>
      <c r="L34" s="3543">
        <f t="shared" si="7"/>
        <v>0</v>
      </c>
      <c r="M34" s="69"/>
      <c r="N34" s="3546"/>
      <c r="O34" s="3543">
        <f t="shared" si="3"/>
        <v>0</v>
      </c>
      <c r="P34" s="69"/>
      <c r="Q34" s="58"/>
    </row>
    <row r="35" spans="1:17" s="3537" customFormat="1" ht="16.5" thickBot="1">
      <c r="A35" s="80" t="s">
        <v>90</v>
      </c>
      <c r="B35" s="81"/>
      <c r="C35" s="82">
        <f>SUM(C18:C34)</f>
        <v>35.39</v>
      </c>
      <c r="D35" s="69"/>
      <c r="E35" s="69"/>
      <c r="F35" s="69"/>
      <c r="G35" s="69"/>
      <c r="H35" s="69"/>
      <c r="I35" s="69"/>
      <c r="J35" s="69"/>
      <c r="K35" s="69"/>
      <c r="L35" s="69"/>
      <c r="M35" s="69"/>
      <c r="N35" s="69"/>
      <c r="O35" s="69"/>
      <c r="P35" s="69"/>
      <c r="Q35" s="58"/>
    </row>
    <row r="36" spans="1:17" s="3537" customFormat="1" ht="13.5" thickBot="1">
      <c r="A36" s="83"/>
      <c r="B36" s="69"/>
      <c r="C36" s="84"/>
      <c r="D36" s="69"/>
      <c r="E36" s="69"/>
      <c r="F36" s="69"/>
      <c r="G36" s="69"/>
      <c r="H36" s="69"/>
      <c r="I36" s="69"/>
      <c r="J36" s="69"/>
      <c r="K36" s="69"/>
      <c r="L36" s="69"/>
      <c r="M36" s="69"/>
      <c r="N36" s="69"/>
      <c r="O36" s="69"/>
      <c r="P36" s="69"/>
      <c r="Q36" s="58"/>
    </row>
    <row r="37" spans="1:17" s="3537" customFormat="1" ht="16.5" thickBot="1">
      <c r="A37" s="69"/>
      <c r="B37" s="69"/>
      <c r="C37" s="85" t="s">
        <v>91</v>
      </c>
      <c r="D37" s="66"/>
      <c r="E37" s="86" t="s">
        <v>92</v>
      </c>
      <c r="F37" s="3549">
        <f>SUM(F18:F34)</f>
        <v>39.28</v>
      </c>
      <c r="G37" s="87"/>
      <c r="H37" s="86" t="s">
        <v>93</v>
      </c>
      <c r="I37" s="3549">
        <f>SUM(I18:I34)</f>
        <v>3.01</v>
      </c>
      <c r="J37" s="87"/>
      <c r="K37" s="86" t="s">
        <v>94</v>
      </c>
      <c r="L37" s="82">
        <f>SUM(L18:L34)</f>
        <v>2.58</v>
      </c>
      <c r="M37" s="87"/>
      <c r="N37" s="86" t="s">
        <v>95</v>
      </c>
      <c r="O37" s="82">
        <f>(SUM(O18:O34)/6)*0.25</f>
        <v>0.46</v>
      </c>
      <c r="P37" s="69"/>
      <c r="Q37" s="58"/>
    </row>
    <row r="38" spans="1:17" s="3537" customFormat="1" ht="13.5" thickBot="1">
      <c r="A38" s="69"/>
      <c r="B38" s="69"/>
      <c r="C38" s="69"/>
      <c r="D38" s="69"/>
      <c r="E38" s="69"/>
      <c r="F38" s="88"/>
      <c r="G38" s="69"/>
      <c r="H38" s="69"/>
      <c r="I38" s="69"/>
      <c r="J38" s="69"/>
      <c r="K38" s="69"/>
      <c r="L38" s="69"/>
      <c r="M38" s="69"/>
      <c r="N38" s="69"/>
      <c r="O38" s="69"/>
      <c r="P38" s="69"/>
      <c r="Q38" s="58"/>
    </row>
    <row r="39" spans="1:17" s="3537" customFormat="1" ht="16.5" thickBot="1">
      <c r="A39" s="69"/>
      <c r="B39" s="69"/>
      <c r="C39" s="89" t="s">
        <v>96</v>
      </c>
      <c r="D39" s="90"/>
      <c r="E39" s="90"/>
      <c r="F39" s="90"/>
      <c r="G39" s="90"/>
      <c r="H39" s="91"/>
      <c r="I39" s="92">
        <f>(F37-I37-L37)*0.95</f>
        <v>32.01</v>
      </c>
      <c r="J39" s="69"/>
      <c r="K39" s="69"/>
      <c r="L39" s="69"/>
      <c r="M39" s="69"/>
      <c r="N39" s="69"/>
      <c r="O39" s="69"/>
      <c r="P39" s="69"/>
      <c r="Q39" s="58"/>
    </row>
    <row r="40" spans="1:17" s="3537" customFormat="1" ht="13.5" thickBot="1">
      <c r="A40" s="69"/>
      <c r="B40" s="69"/>
      <c r="C40" s="69"/>
      <c r="D40" s="69"/>
      <c r="E40" s="69"/>
      <c r="F40" s="88"/>
      <c r="G40" s="69"/>
      <c r="H40" s="69"/>
      <c r="I40" s="69"/>
      <c r="J40" s="69"/>
      <c r="K40" s="69"/>
      <c r="L40" s="69"/>
      <c r="M40" s="69"/>
      <c r="N40" s="69"/>
      <c r="O40" s="69"/>
      <c r="P40" s="69"/>
      <c r="Q40" s="58"/>
    </row>
    <row r="41" spans="1:17" s="3537" customFormat="1" ht="16.5" thickBot="1">
      <c r="A41" s="69"/>
      <c r="B41" s="69"/>
      <c r="C41" s="89" t="s">
        <v>97</v>
      </c>
      <c r="D41" s="93"/>
      <c r="E41" s="93"/>
      <c r="F41" s="93"/>
      <c r="G41" s="93"/>
      <c r="H41" s="94"/>
      <c r="I41" s="95">
        <f>((F37-I39)*1.25)</f>
        <v>9.09</v>
      </c>
      <c r="J41" s="69"/>
      <c r="K41" s="69"/>
      <c r="L41" s="69"/>
      <c r="M41" s="69"/>
      <c r="N41" s="69"/>
      <c r="O41" s="69"/>
      <c r="P41" s="69"/>
      <c r="Q41" s="58"/>
    </row>
    <row r="42" spans="1:17" s="3537" customFormat="1">
      <c r="A42" s="59"/>
      <c r="B42" s="69"/>
      <c r="C42" s="69"/>
      <c r="D42" s="69"/>
      <c r="E42" s="69"/>
      <c r="F42" s="69"/>
      <c r="G42" s="69"/>
      <c r="H42" s="69"/>
      <c r="I42" s="69"/>
      <c r="J42" s="69"/>
      <c r="K42" s="69"/>
      <c r="L42" s="69"/>
      <c r="M42" s="69"/>
      <c r="N42" s="69"/>
      <c r="O42" s="69"/>
      <c r="P42" s="69"/>
      <c r="Q42" s="58"/>
    </row>
    <row r="43" spans="1:17" s="3537" customFormat="1">
      <c r="A43" s="69"/>
      <c r="B43" s="69"/>
      <c r="C43" s="4769" t="s">
        <v>98</v>
      </c>
      <c r="D43" s="4769"/>
      <c r="E43" s="4769"/>
      <c r="F43" s="4769"/>
      <c r="G43" s="69"/>
      <c r="H43" s="69"/>
      <c r="I43" s="69"/>
      <c r="J43" s="69"/>
      <c r="K43" s="69"/>
      <c r="L43" s="69"/>
      <c r="M43" s="69"/>
      <c r="N43" s="69"/>
      <c r="O43" s="69"/>
      <c r="P43" s="69"/>
      <c r="Q43" s="58"/>
    </row>
    <row r="44" spans="1:17" s="3537" customFormat="1" ht="13.5" thickBot="1">
      <c r="A44" s="69"/>
      <c r="B44" s="69"/>
      <c r="C44" s="69"/>
      <c r="D44" s="69"/>
      <c r="E44" s="69"/>
      <c r="F44" s="69"/>
      <c r="G44" s="69"/>
      <c r="H44" s="69"/>
      <c r="I44" s="69"/>
      <c r="J44" s="69"/>
      <c r="K44" s="69"/>
      <c r="L44" s="69"/>
      <c r="M44" s="69"/>
      <c r="N44" s="69"/>
      <c r="O44" s="69"/>
      <c r="P44" s="69"/>
      <c r="Q44" s="58"/>
    </row>
    <row r="45" spans="1:17" s="3537" customFormat="1" ht="13.5" thickBot="1">
      <c r="A45" s="69"/>
      <c r="B45" s="88"/>
      <c r="C45" s="96" t="s">
        <v>99</v>
      </c>
      <c r="D45" s="88"/>
      <c r="E45" s="96" t="s">
        <v>100</v>
      </c>
      <c r="F45" s="97" t="s">
        <v>101</v>
      </c>
      <c r="G45" s="69"/>
      <c r="H45" s="69"/>
      <c r="I45" s="69"/>
      <c r="J45" s="69"/>
      <c r="K45" s="69"/>
      <c r="L45" s="69"/>
      <c r="M45" s="69"/>
      <c r="N45" s="69"/>
      <c r="O45" s="69"/>
      <c r="P45" s="69"/>
      <c r="Q45" s="58"/>
    </row>
    <row r="46" spans="1:17" s="3537" customFormat="1">
      <c r="A46" s="69"/>
      <c r="B46" s="3542" t="s">
        <v>73</v>
      </c>
      <c r="C46" s="71">
        <f t="shared" ref="C46:C62" si="9">C18</f>
        <v>0</v>
      </c>
      <c r="D46" s="88"/>
      <c r="E46" s="98">
        <v>0.02</v>
      </c>
      <c r="F46" s="99">
        <f t="shared" ref="F46:F49" si="10">(E46*C46)+C46</f>
        <v>0</v>
      </c>
      <c r="G46" s="69"/>
      <c r="H46" s="69"/>
      <c r="I46" s="69"/>
      <c r="J46" s="69"/>
      <c r="K46" s="69"/>
      <c r="L46" s="69"/>
      <c r="M46" s="69"/>
      <c r="N46" s="69"/>
      <c r="O46" s="69"/>
      <c r="P46" s="69"/>
      <c r="Q46" s="58"/>
    </row>
    <row r="47" spans="1:17" s="3537" customFormat="1">
      <c r="A47" s="69"/>
      <c r="B47" s="3542" t="s">
        <v>74</v>
      </c>
      <c r="C47" s="71">
        <f t="shared" si="9"/>
        <v>0</v>
      </c>
      <c r="D47" s="88"/>
      <c r="E47" s="3550">
        <v>0.02</v>
      </c>
      <c r="F47" s="3551">
        <f t="shared" si="10"/>
        <v>0</v>
      </c>
      <c r="G47" s="69"/>
      <c r="H47" s="69"/>
      <c r="I47" s="69"/>
      <c r="J47" s="69"/>
      <c r="K47" s="69"/>
      <c r="L47" s="69"/>
      <c r="M47" s="69"/>
      <c r="N47" s="69"/>
      <c r="O47" s="69"/>
      <c r="P47" s="69"/>
      <c r="Q47" s="58"/>
    </row>
    <row r="48" spans="1:17" s="3537" customFormat="1">
      <c r="A48" s="69"/>
      <c r="B48" s="3542" t="s">
        <v>75</v>
      </c>
      <c r="C48" s="71">
        <f t="shared" si="9"/>
        <v>0</v>
      </c>
      <c r="D48" s="88"/>
      <c r="E48" s="3550">
        <v>0.02</v>
      </c>
      <c r="F48" s="3551">
        <f t="shared" si="10"/>
        <v>0</v>
      </c>
      <c r="G48" s="69"/>
      <c r="H48" s="69"/>
      <c r="I48" s="69"/>
      <c r="J48" s="69"/>
      <c r="K48" s="69"/>
      <c r="L48" s="69"/>
      <c r="M48" s="69"/>
      <c r="N48" s="69"/>
      <c r="O48" s="69"/>
      <c r="P48" s="69"/>
      <c r="Q48" s="58"/>
    </row>
    <row r="49" spans="1:17" s="3537" customFormat="1">
      <c r="A49" s="69"/>
      <c r="B49" s="3542" t="s">
        <v>76</v>
      </c>
      <c r="C49" s="71">
        <f t="shared" si="9"/>
        <v>0</v>
      </c>
      <c r="D49" s="88"/>
      <c r="E49" s="3550">
        <v>0.03</v>
      </c>
      <c r="F49" s="3551">
        <f t="shared" si="10"/>
        <v>0</v>
      </c>
      <c r="G49" s="69"/>
      <c r="H49" s="69"/>
      <c r="I49" s="69"/>
      <c r="J49" s="69"/>
      <c r="K49" s="69"/>
      <c r="L49" s="69"/>
      <c r="M49" s="69"/>
      <c r="N49" s="69"/>
      <c r="O49" s="69"/>
      <c r="P49" s="69"/>
      <c r="Q49" s="58"/>
    </row>
    <row r="50" spans="1:17" s="3537" customFormat="1">
      <c r="A50" s="69"/>
      <c r="B50" s="3542" t="s">
        <v>77</v>
      </c>
      <c r="C50" s="71">
        <f t="shared" si="9"/>
        <v>0</v>
      </c>
      <c r="D50" s="88"/>
      <c r="E50" s="3550">
        <v>0.03</v>
      </c>
      <c r="F50" s="3551">
        <f>(E50*C50)+C50</f>
        <v>0</v>
      </c>
      <c r="G50" s="69"/>
      <c r="H50" s="69"/>
      <c r="I50" s="69"/>
      <c r="J50" s="69"/>
      <c r="K50" s="69"/>
      <c r="L50" s="69"/>
      <c r="M50" s="69"/>
      <c r="N50" s="69"/>
      <c r="O50" s="69"/>
      <c r="P50" s="69"/>
      <c r="Q50" s="58"/>
    </row>
    <row r="51" spans="1:17" s="3537" customFormat="1">
      <c r="A51" s="69"/>
      <c r="B51" s="3542" t="s">
        <v>78</v>
      </c>
      <c r="C51" s="71">
        <f t="shared" si="9"/>
        <v>0</v>
      </c>
      <c r="D51" s="88"/>
      <c r="E51" s="3550">
        <v>0.04</v>
      </c>
      <c r="F51" s="3551">
        <f t="shared" ref="F51:F62" si="11">(E51*C51)+C51</f>
        <v>0</v>
      </c>
      <c r="G51" s="69"/>
      <c r="H51" s="69"/>
      <c r="I51" s="69"/>
      <c r="J51" s="69"/>
      <c r="K51" s="69"/>
      <c r="L51" s="69"/>
      <c r="M51" s="69"/>
      <c r="N51" s="69"/>
      <c r="O51" s="69"/>
      <c r="P51" s="69"/>
      <c r="Q51" s="58"/>
    </row>
    <row r="52" spans="1:17" s="3537" customFormat="1">
      <c r="A52" s="69"/>
      <c r="B52" s="3542" t="s">
        <v>79</v>
      </c>
      <c r="C52" s="71">
        <f t="shared" si="9"/>
        <v>35.39</v>
      </c>
      <c r="D52" s="88"/>
      <c r="E52" s="3550">
        <v>0.04</v>
      </c>
      <c r="F52" s="3551">
        <f t="shared" si="11"/>
        <v>36.81</v>
      </c>
      <c r="G52" s="69"/>
      <c r="H52" s="69"/>
      <c r="I52" s="69"/>
      <c r="J52" s="69"/>
      <c r="K52" s="69"/>
      <c r="L52" s="69"/>
      <c r="M52" s="69"/>
      <c r="N52" s="69"/>
      <c r="O52" s="69"/>
      <c r="P52" s="69"/>
      <c r="Q52" s="58"/>
    </row>
    <row r="53" spans="1:17" s="3537" customFormat="1">
      <c r="A53" s="69"/>
      <c r="B53" s="3542" t="s">
        <v>80</v>
      </c>
      <c r="C53" s="71">
        <f t="shared" si="9"/>
        <v>0</v>
      </c>
      <c r="D53" s="88"/>
      <c r="E53" s="3550">
        <v>0.04</v>
      </c>
      <c r="F53" s="3551">
        <f t="shared" si="11"/>
        <v>0</v>
      </c>
      <c r="G53" s="69"/>
      <c r="H53" s="69"/>
      <c r="I53" s="69"/>
      <c r="J53" s="69"/>
      <c r="K53" s="69"/>
      <c r="L53" s="69"/>
      <c r="M53" s="69"/>
      <c r="N53" s="69"/>
      <c r="O53" s="69"/>
      <c r="P53" s="69"/>
      <c r="Q53" s="58"/>
    </row>
    <row r="54" spans="1:17" s="3537" customFormat="1">
      <c r="A54" s="69"/>
      <c r="B54" s="3542" t="s">
        <v>81</v>
      </c>
      <c r="C54" s="71">
        <f t="shared" si="9"/>
        <v>0</v>
      </c>
      <c r="D54" s="88"/>
      <c r="E54" s="3550">
        <v>0.05</v>
      </c>
      <c r="F54" s="3551">
        <f t="shared" si="11"/>
        <v>0</v>
      </c>
      <c r="G54" s="69"/>
      <c r="H54" s="69"/>
      <c r="I54" s="69"/>
      <c r="J54" s="69"/>
      <c r="K54" s="69"/>
      <c r="L54" s="69"/>
      <c r="M54" s="69"/>
      <c r="N54" s="69"/>
      <c r="O54" s="69"/>
      <c r="P54" s="69"/>
      <c r="Q54" s="58"/>
    </row>
    <row r="55" spans="1:17" s="3537" customFormat="1">
      <c r="A55" s="69"/>
      <c r="B55" s="3542" t="s">
        <v>82</v>
      </c>
      <c r="C55" s="71">
        <f>C27</f>
        <v>0</v>
      </c>
      <c r="D55" s="88"/>
      <c r="E55" s="3550">
        <v>0.05</v>
      </c>
      <c r="F55" s="3551">
        <f t="shared" si="11"/>
        <v>0</v>
      </c>
      <c r="G55" s="69"/>
      <c r="H55" s="69"/>
      <c r="I55" s="69"/>
      <c r="J55" s="69"/>
      <c r="K55" s="69"/>
      <c r="L55" s="69"/>
      <c r="M55" s="69"/>
      <c r="N55" s="69"/>
      <c r="O55" s="69"/>
      <c r="P55" s="69"/>
      <c r="Q55" s="58"/>
    </row>
    <row r="56" spans="1:17" s="3537" customFormat="1">
      <c r="A56" s="69"/>
      <c r="B56" s="3542" t="s">
        <v>83</v>
      </c>
      <c r="C56" s="71">
        <f>+C28</f>
        <v>0</v>
      </c>
      <c r="D56" s="88"/>
      <c r="E56" s="3550">
        <v>0.06</v>
      </c>
      <c r="F56" s="3551">
        <f t="shared" si="11"/>
        <v>0</v>
      </c>
      <c r="G56" s="69"/>
      <c r="H56" s="69"/>
      <c r="I56" s="69"/>
      <c r="J56" s="69"/>
      <c r="K56" s="69"/>
      <c r="L56" s="69"/>
      <c r="M56" s="69"/>
      <c r="N56" s="69"/>
      <c r="O56" s="69"/>
      <c r="P56" s="69"/>
      <c r="Q56" s="58"/>
    </row>
    <row r="57" spans="1:17" s="3537" customFormat="1">
      <c r="A57" s="69"/>
      <c r="B57" s="3542" t="s">
        <v>84</v>
      </c>
      <c r="C57" s="71">
        <f t="shared" si="9"/>
        <v>0</v>
      </c>
      <c r="D57" s="88"/>
      <c r="E57" s="3550">
        <v>7.0000000000000007E-2</v>
      </c>
      <c r="F57" s="3551">
        <f t="shared" si="11"/>
        <v>0</v>
      </c>
      <c r="G57" s="69"/>
      <c r="H57" s="69"/>
      <c r="I57" s="69"/>
      <c r="J57" s="69"/>
      <c r="K57" s="69"/>
      <c r="L57" s="69"/>
      <c r="M57" s="69"/>
      <c r="N57" s="69"/>
      <c r="O57" s="69"/>
      <c r="P57" s="69"/>
      <c r="Q57" s="58"/>
    </row>
    <row r="58" spans="1:17" s="3537" customFormat="1">
      <c r="A58" s="69"/>
      <c r="B58" s="3542" t="s">
        <v>85</v>
      </c>
      <c r="C58" s="71">
        <f t="shared" si="9"/>
        <v>0</v>
      </c>
      <c r="D58" s="88"/>
      <c r="E58" s="3550"/>
      <c r="F58" s="3551">
        <f t="shared" si="11"/>
        <v>0</v>
      </c>
      <c r="G58" s="69"/>
      <c r="H58" s="69"/>
      <c r="I58" s="69"/>
      <c r="J58" s="69"/>
      <c r="K58" s="69"/>
      <c r="L58" s="69"/>
      <c r="M58" s="69"/>
      <c r="N58" s="69"/>
      <c r="O58" s="69"/>
      <c r="P58" s="69"/>
      <c r="Q58" s="58"/>
    </row>
    <row r="59" spans="1:17" s="3537" customFormat="1">
      <c r="A59" s="69"/>
      <c r="B59" s="3542" t="s">
        <v>86</v>
      </c>
      <c r="C59" s="71">
        <f t="shared" si="9"/>
        <v>0</v>
      </c>
      <c r="D59" s="88"/>
      <c r="E59" s="3550"/>
      <c r="F59" s="3551">
        <f t="shared" si="11"/>
        <v>0</v>
      </c>
      <c r="G59" s="69"/>
      <c r="H59" s="69"/>
      <c r="I59" s="69"/>
      <c r="J59" s="69"/>
      <c r="K59" s="69"/>
      <c r="L59" s="69"/>
      <c r="M59" s="69"/>
      <c r="N59" s="69"/>
      <c r="O59" s="69"/>
      <c r="P59" s="69"/>
      <c r="Q59" s="58"/>
    </row>
    <row r="60" spans="1:17" s="3537" customFormat="1">
      <c r="A60" s="69"/>
      <c r="B60" s="3542" t="s">
        <v>87</v>
      </c>
      <c r="C60" s="71">
        <f t="shared" si="9"/>
        <v>0</v>
      </c>
      <c r="D60" s="88"/>
      <c r="E60" s="3550"/>
      <c r="F60" s="3551">
        <f t="shared" si="11"/>
        <v>0</v>
      </c>
      <c r="G60" s="69"/>
      <c r="H60" s="69"/>
      <c r="I60" s="69"/>
      <c r="J60" s="69"/>
      <c r="K60" s="69"/>
      <c r="L60" s="69"/>
      <c r="M60" s="69"/>
      <c r="N60" s="69"/>
      <c r="O60" s="69"/>
      <c r="P60" s="69"/>
      <c r="Q60" s="58"/>
    </row>
    <row r="61" spans="1:17" s="3537" customFormat="1">
      <c r="A61" s="69"/>
      <c r="B61" s="3542" t="s">
        <v>88</v>
      </c>
      <c r="C61" s="71">
        <f t="shared" si="9"/>
        <v>0</v>
      </c>
      <c r="D61" s="88"/>
      <c r="E61" s="3550"/>
      <c r="F61" s="3551">
        <f t="shared" si="11"/>
        <v>0</v>
      </c>
      <c r="G61" s="69"/>
      <c r="H61" s="69"/>
      <c r="I61" s="69"/>
      <c r="J61" s="69"/>
      <c r="K61" s="69"/>
      <c r="L61" s="69"/>
      <c r="M61" s="69"/>
      <c r="N61" s="69"/>
      <c r="O61" s="69"/>
      <c r="P61" s="69"/>
      <c r="Q61" s="58"/>
    </row>
    <row r="62" spans="1:17" s="3537" customFormat="1">
      <c r="A62" s="69"/>
      <c r="B62" s="3542" t="s">
        <v>89</v>
      </c>
      <c r="C62" s="71">
        <f t="shared" si="9"/>
        <v>0</v>
      </c>
      <c r="D62" s="88"/>
      <c r="E62" s="3550"/>
      <c r="F62" s="3551">
        <f t="shared" si="11"/>
        <v>0</v>
      </c>
      <c r="G62" s="69"/>
      <c r="H62" s="69"/>
      <c r="I62" s="69"/>
      <c r="J62" s="69"/>
      <c r="K62" s="69"/>
      <c r="L62" s="69"/>
      <c r="M62" s="69"/>
      <c r="N62" s="69"/>
      <c r="O62" s="69"/>
      <c r="P62" s="69"/>
      <c r="Q62" s="58"/>
    </row>
    <row r="63" spans="1:17" s="3537" customFormat="1" ht="13.5" thickBot="1">
      <c r="A63" s="69"/>
      <c r="B63" s="69"/>
      <c r="C63" s="69"/>
      <c r="D63" s="69"/>
      <c r="E63" s="69"/>
      <c r="F63" s="69"/>
      <c r="G63" s="69"/>
      <c r="H63" s="69"/>
      <c r="I63" s="69"/>
      <c r="J63" s="69"/>
      <c r="K63" s="69"/>
      <c r="L63" s="69"/>
      <c r="M63" s="69"/>
      <c r="N63" s="69"/>
      <c r="O63" s="69"/>
      <c r="P63" s="69"/>
      <c r="Q63" s="58"/>
    </row>
    <row r="64" spans="1:17" s="3537" customFormat="1" ht="15.75">
      <c r="A64" s="69"/>
      <c r="B64" s="69"/>
      <c r="C64" s="102" t="s">
        <v>102</v>
      </c>
      <c r="D64" s="103"/>
      <c r="E64" s="103"/>
      <c r="F64" s="103"/>
      <c r="G64" s="103"/>
      <c r="H64" s="103"/>
      <c r="I64" s="104"/>
      <c r="J64" s="69"/>
      <c r="K64" s="69"/>
      <c r="L64" s="69"/>
      <c r="M64" s="69"/>
      <c r="N64" s="69"/>
      <c r="O64" s="69"/>
      <c r="P64" s="69"/>
      <c r="Q64" s="58"/>
    </row>
    <row r="65" spans="1:17" s="3537" customFormat="1">
      <c r="A65" s="69"/>
      <c r="B65" s="69"/>
      <c r="C65" s="105"/>
      <c r="D65" s="106"/>
      <c r="E65" s="106"/>
      <c r="F65" s="106"/>
      <c r="G65" s="106"/>
      <c r="H65" s="106"/>
      <c r="I65" s="107"/>
      <c r="J65" s="69"/>
      <c r="K65" s="69"/>
      <c r="L65" s="69"/>
      <c r="M65" s="69"/>
      <c r="N65" s="69"/>
      <c r="O65" s="69"/>
      <c r="P65" s="69"/>
      <c r="Q65" s="58"/>
    </row>
    <row r="66" spans="1:17" s="3537" customFormat="1">
      <c r="A66" s="69"/>
      <c r="B66" s="69"/>
      <c r="C66" s="105" t="s">
        <v>103</v>
      </c>
      <c r="D66" s="106"/>
      <c r="E66" s="106"/>
      <c r="F66" s="108" t="s">
        <v>46</v>
      </c>
      <c r="G66" s="106"/>
      <c r="H66" s="106"/>
      <c r="I66" s="109" t="s">
        <v>104</v>
      </c>
      <c r="J66" s="69"/>
      <c r="K66" s="69"/>
      <c r="L66" s="69"/>
      <c r="M66" s="69"/>
      <c r="N66" s="69"/>
      <c r="O66" s="69"/>
      <c r="P66" s="69"/>
      <c r="Q66" s="58"/>
    </row>
    <row r="67" spans="1:17" s="3537" customFormat="1">
      <c r="A67" s="69"/>
      <c r="B67" s="69"/>
      <c r="C67" s="110" t="s">
        <v>105</v>
      </c>
      <c r="D67" s="106"/>
      <c r="E67" s="106"/>
      <c r="F67" s="111">
        <v>0.6</v>
      </c>
      <c r="G67" s="106"/>
      <c r="H67" s="112"/>
      <c r="I67" s="113">
        <f>F37*F67</f>
        <v>23.57</v>
      </c>
      <c r="J67" s="69"/>
      <c r="K67" s="69"/>
      <c r="L67" s="69"/>
      <c r="M67" s="69"/>
      <c r="N67" s="69"/>
      <c r="O67" s="69"/>
      <c r="P67" s="69"/>
      <c r="Q67" s="58"/>
    </row>
    <row r="68" spans="1:17" s="3537" customFormat="1">
      <c r="A68" s="69"/>
      <c r="B68" s="69"/>
      <c r="C68" s="110" t="s">
        <v>106</v>
      </c>
      <c r="D68" s="106"/>
      <c r="E68" s="106"/>
      <c r="F68" s="111">
        <v>0.2</v>
      </c>
      <c r="G68" s="106"/>
      <c r="H68" s="112"/>
      <c r="I68" s="113">
        <f>F37*F68</f>
        <v>7.86</v>
      </c>
      <c r="J68" s="69"/>
      <c r="K68" s="69"/>
      <c r="L68" s="69"/>
      <c r="M68" s="69"/>
      <c r="N68" s="69"/>
      <c r="O68" s="69"/>
      <c r="P68" s="69"/>
      <c r="Q68" s="58"/>
    </row>
    <row r="69" spans="1:17" s="3537" customFormat="1">
      <c r="A69" s="69"/>
      <c r="B69" s="69"/>
      <c r="C69" s="110" t="s">
        <v>107</v>
      </c>
      <c r="D69" s="106"/>
      <c r="E69" s="106"/>
      <c r="F69" s="111">
        <v>0.2</v>
      </c>
      <c r="G69" s="106"/>
      <c r="H69" s="112"/>
      <c r="I69" s="113">
        <f>F37*F69</f>
        <v>7.86</v>
      </c>
      <c r="J69" s="69"/>
      <c r="K69" s="69"/>
      <c r="L69" s="69"/>
      <c r="M69" s="69"/>
      <c r="N69" s="69"/>
      <c r="O69" s="69"/>
      <c r="P69" s="69"/>
      <c r="Q69" s="58"/>
    </row>
    <row r="70" spans="1:17" s="3537" customFormat="1">
      <c r="A70" s="69"/>
      <c r="B70" s="69"/>
      <c r="C70" s="110" t="s">
        <v>108</v>
      </c>
      <c r="D70" s="106"/>
      <c r="E70" s="106"/>
      <c r="F70" s="114">
        <v>0</v>
      </c>
      <c r="G70" s="106"/>
      <c r="H70" s="112"/>
      <c r="I70" s="115">
        <f>F37*F70</f>
        <v>0</v>
      </c>
      <c r="J70" s="69"/>
      <c r="K70" s="69"/>
      <c r="L70" s="69"/>
      <c r="M70" s="69"/>
      <c r="N70" s="69"/>
      <c r="O70" s="69"/>
      <c r="P70" s="69"/>
      <c r="Q70" s="58"/>
    </row>
    <row r="71" spans="1:17" s="3537" customFormat="1" ht="13.5" thickBot="1">
      <c r="A71" s="69"/>
      <c r="B71" s="69"/>
      <c r="C71" s="116"/>
      <c r="D71" s="117"/>
      <c r="E71" s="117"/>
      <c r="F71" s="118">
        <f>SUM(F67:F70)</f>
        <v>1</v>
      </c>
      <c r="G71" s="117"/>
      <c r="H71" s="119"/>
      <c r="I71" s="120">
        <f>SUM(I67:I70)</f>
        <v>39.29</v>
      </c>
      <c r="J71" s="69"/>
      <c r="K71" s="69"/>
      <c r="L71" s="69"/>
      <c r="M71" s="69"/>
      <c r="N71" s="69"/>
      <c r="O71" s="69"/>
      <c r="P71" s="69"/>
      <c r="Q71" s="58"/>
    </row>
    <row r="72" spans="1:17" s="3537" customFormat="1">
      <c r="A72" s="122"/>
      <c r="B72" s="122"/>
      <c r="C72" s="122"/>
      <c r="D72" s="122"/>
      <c r="E72" s="122"/>
      <c r="F72" s="122"/>
      <c r="G72" s="122"/>
      <c r="H72" s="122"/>
      <c r="I72" s="122"/>
      <c r="J72" s="122"/>
      <c r="K72" s="122"/>
      <c r="L72" s="122"/>
      <c r="M72" s="122"/>
      <c r="N72" s="122"/>
      <c r="O72" s="122"/>
      <c r="P72" s="122"/>
    </row>
  </sheetData>
  <customSheetViews>
    <customSheetView guid="{43BC9397-3E8C-478C-B548-E4A845A7F82B}">
      <pageMargins left="0.7" right="0.7" top="0.75" bottom="0.75" header="0.3" footer="0.3"/>
      <pageSetup paperSize="9" orientation="portrait" r:id="rId1"/>
    </customSheetView>
  </customSheetViews>
  <mergeCells count="5">
    <mergeCell ref="E16:F16"/>
    <mergeCell ref="H16:I16"/>
    <mergeCell ref="K16:L16"/>
    <mergeCell ref="N16:O16"/>
    <mergeCell ref="C43:F43"/>
  </mergeCell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AE1399"/>
  <sheetViews>
    <sheetView workbookViewId="0"/>
  </sheetViews>
  <sheetFormatPr baseColWidth="10" defaultColWidth="11.42578125" defaultRowHeight="12.75"/>
  <cols>
    <col min="1" max="1" width="4" style="1083" customWidth="1"/>
    <col min="2" max="2" width="23.140625" style="1083" customWidth="1"/>
    <col min="3" max="3" width="11.42578125" style="1235"/>
    <col min="4" max="5" width="11.42578125" style="1083"/>
    <col min="6" max="6" width="15" style="1083" customWidth="1"/>
    <col min="7" max="8" width="11.42578125" style="1083"/>
    <col min="9" max="9" width="46.5703125" style="1916" customWidth="1"/>
    <col min="10" max="10" width="5.42578125" style="1916" customWidth="1"/>
    <col min="11" max="11" width="5.28515625" style="1916" customWidth="1"/>
    <col min="12" max="12" width="8.42578125" style="1916" customWidth="1"/>
    <col min="13" max="31" width="11.5703125" style="1916" customWidth="1"/>
    <col min="32" max="16384" width="11.42578125" style="1083"/>
  </cols>
  <sheetData>
    <row r="1" spans="2:31" ht="15.75">
      <c r="B1" s="1082"/>
      <c r="C1" s="1601"/>
      <c r="D1" s="1082"/>
      <c r="E1" s="1082"/>
      <c r="F1" s="1082"/>
    </row>
    <row r="2" spans="2:31">
      <c r="B2" s="4896" t="s">
        <v>1025</v>
      </c>
      <c r="C2" s="4896"/>
      <c r="D2" s="4896"/>
      <c r="E2" s="4896"/>
      <c r="F2" s="4896"/>
    </row>
    <row r="3" spans="2:31">
      <c r="B3" s="3241" t="s">
        <v>117</v>
      </c>
      <c r="C3" s="3242" t="s">
        <v>118</v>
      </c>
      <c r="D3" s="3243">
        <v>1</v>
      </c>
      <c r="E3" s="3244">
        <v>2.5</v>
      </c>
      <c r="F3" s="3245">
        <f t="shared" ref="F3:F11" si="0">E3*D3</f>
        <v>2.5</v>
      </c>
    </row>
    <row r="4" spans="2:31" ht="22.5">
      <c r="B4" s="3241" t="s">
        <v>119</v>
      </c>
      <c r="C4" s="3242" t="s">
        <v>1026</v>
      </c>
      <c r="D4" s="3245">
        <v>1</v>
      </c>
      <c r="E4" s="3244">
        <v>325</v>
      </c>
      <c r="F4" s="3245">
        <f t="shared" si="0"/>
        <v>325</v>
      </c>
    </row>
    <row r="5" spans="2:31">
      <c r="B5" s="3241" t="s">
        <v>1545</v>
      </c>
      <c r="C5" s="3242" t="s">
        <v>1026</v>
      </c>
      <c r="D5" s="3245">
        <v>1</v>
      </c>
      <c r="E5" s="3244">
        <v>271.02</v>
      </c>
      <c r="F5" s="3245">
        <f t="shared" si="0"/>
        <v>271.02</v>
      </c>
    </row>
    <row r="6" spans="2:31">
      <c r="B6" s="3241" t="s">
        <v>1027</v>
      </c>
      <c r="C6" s="3242" t="s">
        <v>2</v>
      </c>
      <c r="D6" s="3245">
        <v>1</v>
      </c>
      <c r="E6" s="3244">
        <v>1100</v>
      </c>
      <c r="F6" s="3245">
        <f t="shared" si="0"/>
        <v>1100</v>
      </c>
    </row>
    <row r="7" spans="2:31">
      <c r="B7" s="3241" t="s">
        <v>1028</v>
      </c>
      <c r="C7" s="3242" t="s">
        <v>2</v>
      </c>
      <c r="D7" s="3245">
        <v>1</v>
      </c>
      <c r="E7" s="3244">
        <v>1200</v>
      </c>
      <c r="F7" s="3245">
        <f t="shared" si="0"/>
        <v>1200</v>
      </c>
    </row>
    <row r="8" spans="2:31" s="1235" customFormat="1" ht="24" customHeight="1">
      <c r="B8" s="3246" t="s">
        <v>1029</v>
      </c>
      <c r="C8" s="3247" t="s">
        <v>2</v>
      </c>
      <c r="D8" s="3248">
        <v>1</v>
      </c>
      <c r="E8" s="3249">
        <v>1100</v>
      </c>
      <c r="F8" s="3248">
        <f t="shared" si="0"/>
        <v>1100</v>
      </c>
      <c r="I8" s="3250"/>
      <c r="J8" s="3250"/>
      <c r="K8" s="3250"/>
      <c r="L8" s="3250"/>
      <c r="M8" s="3250"/>
      <c r="N8" s="3250"/>
      <c r="O8" s="3250"/>
      <c r="P8" s="3250"/>
      <c r="Q8" s="3250"/>
      <c r="R8" s="3250"/>
      <c r="S8" s="3250"/>
      <c r="T8" s="3250"/>
      <c r="U8" s="3250"/>
      <c r="V8" s="3250"/>
      <c r="W8" s="3250"/>
      <c r="X8" s="3250"/>
      <c r="Y8" s="3250"/>
      <c r="Z8" s="3250"/>
      <c r="AA8" s="3250"/>
      <c r="AB8" s="3250"/>
      <c r="AC8" s="3250"/>
      <c r="AD8" s="3250"/>
      <c r="AE8" s="3250"/>
    </row>
    <row r="9" spans="2:31">
      <c r="B9" s="3241" t="s">
        <v>1546</v>
      </c>
      <c r="C9" s="3242" t="s">
        <v>127</v>
      </c>
      <c r="D9" s="3245">
        <v>1</v>
      </c>
      <c r="E9" s="3245">
        <v>1</v>
      </c>
      <c r="F9" s="3245">
        <f t="shared" si="0"/>
        <v>1</v>
      </c>
    </row>
    <row r="10" spans="2:31">
      <c r="B10" s="3241" t="s">
        <v>8</v>
      </c>
      <c r="C10" s="3242" t="s">
        <v>127</v>
      </c>
      <c r="D10" s="3245">
        <v>1</v>
      </c>
      <c r="E10" s="3251">
        <v>12.5</v>
      </c>
      <c r="F10" s="3245">
        <f t="shared" si="0"/>
        <v>12.5</v>
      </c>
    </row>
    <row r="11" spans="2:31">
      <c r="B11" s="3241" t="s">
        <v>125</v>
      </c>
      <c r="C11" s="3242" t="s">
        <v>126</v>
      </c>
      <c r="D11" s="3245">
        <v>1</v>
      </c>
      <c r="E11" s="3244">
        <v>2500</v>
      </c>
      <c r="F11" s="3245">
        <f t="shared" si="0"/>
        <v>2500</v>
      </c>
    </row>
    <row r="12" spans="2:31">
      <c r="B12" s="1087"/>
      <c r="C12" s="1603"/>
      <c r="D12" s="1087"/>
      <c r="E12" s="1087"/>
      <c r="F12" s="1087"/>
    </row>
    <row r="13" spans="2:31">
      <c r="B13" s="1088" t="s">
        <v>129</v>
      </c>
      <c r="C13" s="1603"/>
      <c r="D13" s="1087"/>
      <c r="E13" s="1087"/>
      <c r="F13" s="1087"/>
    </row>
    <row r="14" spans="2:31">
      <c r="B14" s="3252" t="s">
        <v>130</v>
      </c>
      <c r="C14" s="3253" t="s">
        <v>2</v>
      </c>
      <c r="D14" s="3254">
        <v>1</v>
      </c>
      <c r="E14" s="3254">
        <f>+F6</f>
        <v>1100</v>
      </c>
      <c r="F14" s="3245">
        <f>E14*D14</f>
        <v>1100</v>
      </c>
    </row>
    <row r="15" spans="2:31">
      <c r="B15" s="3252" t="s">
        <v>131</v>
      </c>
      <c r="C15" s="3255" t="s">
        <v>2</v>
      </c>
      <c r="D15" s="3254">
        <v>1</v>
      </c>
      <c r="E15" s="3254">
        <v>15</v>
      </c>
      <c r="F15" s="3245">
        <f>E15*D15</f>
        <v>15</v>
      </c>
    </row>
    <row r="16" spans="2:31">
      <c r="B16" s="3256"/>
      <c r="C16" s="3257" t="s">
        <v>315</v>
      </c>
      <c r="D16" s="3254"/>
      <c r="E16" s="3254"/>
      <c r="F16" s="3258">
        <f>SUM(F14:F15)</f>
        <v>1115</v>
      </c>
    </row>
    <row r="17" spans="2:31">
      <c r="B17" s="1087"/>
      <c r="C17" s="1603"/>
      <c r="D17" s="1087"/>
      <c r="E17" s="1087"/>
      <c r="F17" s="1093"/>
    </row>
    <row r="18" spans="2:31">
      <c r="B18" s="1088" t="s">
        <v>133</v>
      </c>
      <c r="C18" s="1603"/>
      <c r="D18" s="1087"/>
      <c r="E18" s="1087"/>
      <c r="F18" s="1087"/>
    </row>
    <row r="19" spans="2:31">
      <c r="B19" s="3252" t="s">
        <v>130</v>
      </c>
      <c r="C19" s="3253" t="s">
        <v>2</v>
      </c>
      <c r="D19" s="3254">
        <v>1</v>
      </c>
      <c r="E19" s="3254">
        <f>+F7</f>
        <v>1200</v>
      </c>
      <c r="F19" s="3245">
        <f>E19*D19</f>
        <v>1200</v>
      </c>
    </row>
    <row r="20" spans="2:31">
      <c r="B20" s="3252" t="s">
        <v>131</v>
      </c>
      <c r="C20" s="3255" t="s">
        <v>2</v>
      </c>
      <c r="D20" s="3254">
        <v>1</v>
      </c>
      <c r="E20" s="3254">
        <v>15</v>
      </c>
      <c r="F20" s="3245">
        <f>E20*D20</f>
        <v>15</v>
      </c>
    </row>
    <row r="21" spans="2:31">
      <c r="B21" s="3252"/>
      <c r="C21" s="3257" t="s">
        <v>315</v>
      </c>
      <c r="D21" s="3254"/>
      <c r="E21" s="3254"/>
      <c r="F21" s="3258">
        <f>SUM(F19:F20)</f>
        <v>1215</v>
      </c>
    </row>
    <row r="22" spans="2:31">
      <c r="B22" s="1087"/>
      <c r="C22" s="1606"/>
      <c r="D22" s="1094"/>
      <c r="E22" s="1094"/>
      <c r="F22" s="1095"/>
    </row>
    <row r="23" spans="2:31">
      <c r="B23" s="3259" t="s">
        <v>1030</v>
      </c>
      <c r="C23" s="3260"/>
      <c r="D23" s="3252"/>
      <c r="E23" s="3252"/>
      <c r="F23" s="3252"/>
    </row>
    <row r="24" spans="2:31" s="1235" customFormat="1" ht="22.5">
      <c r="B24" s="3246" t="s">
        <v>1547</v>
      </c>
      <c r="C24" s="3253" t="s">
        <v>2</v>
      </c>
      <c r="D24" s="3261">
        <v>1.02</v>
      </c>
      <c r="E24" s="3261">
        <v>7995</v>
      </c>
      <c r="F24" s="3248">
        <f>E24*D24</f>
        <v>8154.9</v>
      </c>
      <c r="I24" s="3250"/>
      <c r="J24" s="3250"/>
      <c r="K24" s="3250"/>
      <c r="L24" s="3250"/>
      <c r="M24" s="3250"/>
      <c r="N24" s="3250"/>
      <c r="O24" s="3250"/>
      <c r="P24" s="3250"/>
      <c r="Q24" s="3250"/>
      <c r="R24" s="3250"/>
      <c r="S24" s="3250"/>
      <c r="T24" s="3250"/>
      <c r="U24" s="3250"/>
      <c r="V24" s="3250"/>
      <c r="W24" s="3250"/>
      <c r="X24" s="3250"/>
      <c r="Y24" s="3250"/>
      <c r="Z24" s="3250"/>
      <c r="AA24" s="3250"/>
      <c r="AB24" s="3250"/>
      <c r="AC24" s="3250"/>
      <c r="AD24" s="3250"/>
      <c r="AE24" s="3250"/>
    </row>
    <row r="25" spans="2:31">
      <c r="B25" s="3252"/>
      <c r="C25" s="3260"/>
      <c r="D25" s="3252"/>
      <c r="E25" s="3262" t="s">
        <v>1031</v>
      </c>
      <c r="F25" s="3263">
        <f>SUM(F24:F24)</f>
        <v>8154.9</v>
      </c>
    </row>
    <row r="26" spans="2:31">
      <c r="B26" s="1087"/>
      <c r="C26" s="1606"/>
      <c r="D26" s="1094"/>
      <c r="E26" s="1094"/>
      <c r="F26" s="1095"/>
    </row>
    <row r="27" spans="2:31">
      <c r="B27" s="3259" t="s">
        <v>1032</v>
      </c>
      <c r="C27" s="3260"/>
      <c r="D27" s="3252"/>
      <c r="E27" s="3252"/>
      <c r="F27" s="3252"/>
    </row>
    <row r="28" spans="2:31">
      <c r="B28" s="3252" t="s">
        <v>122</v>
      </c>
      <c r="C28" s="3253" t="s">
        <v>2</v>
      </c>
      <c r="D28" s="3254">
        <v>0.45</v>
      </c>
      <c r="E28" s="3254">
        <f>+F16</f>
        <v>1115</v>
      </c>
      <c r="F28" s="3245">
        <f>E28*D28</f>
        <v>501.75</v>
      </c>
    </row>
    <row r="29" spans="2:31">
      <c r="B29" s="3252" t="s">
        <v>124</v>
      </c>
      <c r="C29" s="3253" t="s">
        <v>2</v>
      </c>
      <c r="D29" s="3254">
        <v>0.9</v>
      </c>
      <c r="E29" s="3254">
        <f>+F21</f>
        <v>1215</v>
      </c>
      <c r="F29" s="3245">
        <f>E29*D29</f>
        <v>1093.5</v>
      </c>
    </row>
    <row r="30" spans="2:31">
      <c r="B30" s="3252" t="s">
        <v>142</v>
      </c>
      <c r="C30" s="3253" t="s">
        <v>1026</v>
      </c>
      <c r="D30" s="3254">
        <v>13</v>
      </c>
      <c r="E30" s="3254">
        <f>+F4</f>
        <v>325</v>
      </c>
      <c r="F30" s="3245">
        <f>E30*D30</f>
        <v>4225</v>
      </c>
    </row>
    <row r="31" spans="2:31">
      <c r="B31" s="3252" t="s">
        <v>117</v>
      </c>
      <c r="C31" s="3253" t="s">
        <v>118</v>
      </c>
      <c r="D31" s="3254">
        <v>60</v>
      </c>
      <c r="E31" s="3254">
        <f>+F3</f>
        <v>2.5</v>
      </c>
      <c r="F31" s="3245">
        <f>E31*D31</f>
        <v>150</v>
      </c>
    </row>
    <row r="32" spans="2:31">
      <c r="B32" s="3252" t="s">
        <v>139</v>
      </c>
      <c r="C32" s="3253" t="s">
        <v>2</v>
      </c>
      <c r="D32" s="3254">
        <v>1</v>
      </c>
      <c r="E32" s="3254">
        <v>950</v>
      </c>
      <c r="F32" s="3245">
        <f>E32*D32</f>
        <v>950</v>
      </c>
    </row>
    <row r="33" spans="2:31">
      <c r="B33" s="3252" t="s">
        <v>140</v>
      </c>
      <c r="C33" s="3260"/>
      <c r="D33" s="3252"/>
      <c r="E33" s="3252"/>
      <c r="F33" s="3264">
        <f>SUM(F28+F29+F30+F31)*0.02</f>
        <v>119.41</v>
      </c>
    </row>
    <row r="34" spans="2:31">
      <c r="B34" s="3252"/>
      <c r="C34" s="3260"/>
      <c r="D34" s="3252"/>
      <c r="E34" s="3262" t="s">
        <v>1031</v>
      </c>
      <c r="F34" s="3265">
        <f>SUM(F28:F33)</f>
        <v>7039.66</v>
      </c>
    </row>
    <row r="35" spans="2:31">
      <c r="B35" s="3266"/>
      <c r="C35" s="3267"/>
      <c r="D35" s="3266"/>
      <c r="E35" s="3268"/>
      <c r="F35" s="3269"/>
    </row>
    <row r="36" spans="2:31">
      <c r="B36" s="3259" t="s">
        <v>1565</v>
      </c>
      <c r="C36" s="3260"/>
      <c r="D36" s="3252"/>
      <c r="E36" s="3252"/>
      <c r="F36" s="3252"/>
    </row>
    <row r="37" spans="2:31">
      <c r="B37" s="3252" t="s">
        <v>122</v>
      </c>
      <c r="C37" s="3253" t="s">
        <v>2</v>
      </c>
      <c r="D37" s="3254">
        <v>0.45</v>
      </c>
      <c r="E37" s="3254">
        <f>+E28</f>
        <v>1115</v>
      </c>
      <c r="F37" s="3245">
        <f>E37*D37</f>
        <v>501.75</v>
      </c>
    </row>
    <row r="38" spans="2:31">
      <c r="B38" s="3252" t="s">
        <v>124</v>
      </c>
      <c r="C38" s="3253" t="s">
        <v>2</v>
      </c>
      <c r="D38" s="3254">
        <v>0.9</v>
      </c>
      <c r="E38" s="3254">
        <f>+E29</f>
        <v>1215</v>
      </c>
      <c r="F38" s="3245">
        <f>E38*D38</f>
        <v>1093.5</v>
      </c>
    </row>
    <row r="39" spans="2:31">
      <c r="B39" s="3252" t="s">
        <v>142</v>
      </c>
      <c r="C39" s="3253" t="s">
        <v>1026</v>
      </c>
      <c r="D39" s="3254">
        <v>7</v>
      </c>
      <c r="E39" s="3254">
        <f>+E30</f>
        <v>325</v>
      </c>
      <c r="F39" s="3245">
        <f>E39*D39</f>
        <v>2275</v>
      </c>
    </row>
    <row r="40" spans="2:31">
      <c r="B40" s="3252" t="s">
        <v>117</v>
      </c>
      <c r="C40" s="3253" t="s">
        <v>118</v>
      </c>
      <c r="D40" s="3254">
        <v>60</v>
      </c>
      <c r="E40" s="3254">
        <f>+E31</f>
        <v>2.5</v>
      </c>
      <c r="F40" s="3245">
        <f>E40*D40</f>
        <v>150</v>
      </c>
    </row>
    <row r="41" spans="2:31">
      <c r="B41" s="3252" t="s">
        <v>139</v>
      </c>
      <c r="C41" s="3253" t="s">
        <v>2</v>
      </c>
      <c r="D41" s="3254">
        <v>1</v>
      </c>
      <c r="E41" s="3254">
        <v>950</v>
      </c>
      <c r="F41" s="3245">
        <f>E41*D41</f>
        <v>950</v>
      </c>
    </row>
    <row r="42" spans="2:31">
      <c r="B42" s="3252" t="s">
        <v>140</v>
      </c>
      <c r="C42" s="3260"/>
      <c r="D42" s="3252"/>
      <c r="E42" s="3252"/>
      <c r="F42" s="3264">
        <f>SUM(F37+F38+F39+F40)*0.02</f>
        <v>80.41</v>
      </c>
    </row>
    <row r="43" spans="2:31">
      <c r="B43" s="3252"/>
      <c r="C43" s="3260"/>
      <c r="D43" s="3252"/>
      <c r="E43" s="3262" t="s">
        <v>1031</v>
      </c>
      <c r="F43" s="3265">
        <f>SUM(F37:F42)</f>
        <v>5050.66</v>
      </c>
    </row>
    <row r="44" spans="2:31">
      <c r="B44" s="3266"/>
      <c r="C44" s="3267"/>
      <c r="D44" s="3266"/>
      <c r="E44" s="3268"/>
      <c r="F44" s="3269"/>
    </row>
    <row r="45" spans="2:31">
      <c r="B45" s="3259" t="s">
        <v>1565</v>
      </c>
      <c r="C45" s="3260"/>
      <c r="D45" s="3252"/>
      <c r="E45" s="3252"/>
      <c r="F45" s="3252"/>
    </row>
    <row r="46" spans="2:31" s="1235" customFormat="1" ht="22.5">
      <c r="B46" s="3246" t="s">
        <v>1566</v>
      </c>
      <c r="C46" s="3253" t="s">
        <v>2</v>
      </c>
      <c r="D46" s="3261">
        <v>1.02</v>
      </c>
      <c r="E46" s="3261">
        <v>6925</v>
      </c>
      <c r="F46" s="3248">
        <f>E46*D46</f>
        <v>7063.5</v>
      </c>
      <c r="I46" s="3250"/>
      <c r="J46" s="3250"/>
      <c r="K46" s="3250"/>
      <c r="L46" s="3250"/>
      <c r="M46" s="3250"/>
      <c r="N46" s="3250"/>
      <c r="O46" s="3250"/>
      <c r="P46" s="3250"/>
      <c r="Q46" s="3250"/>
      <c r="R46" s="3250"/>
      <c r="S46" s="3250"/>
      <c r="T46" s="3250"/>
      <c r="U46" s="3250"/>
      <c r="V46" s="3250"/>
      <c r="W46" s="3250"/>
      <c r="X46" s="3250"/>
      <c r="Y46" s="3250"/>
      <c r="Z46" s="3250"/>
      <c r="AA46" s="3250"/>
      <c r="AB46" s="3250"/>
      <c r="AC46" s="3250"/>
      <c r="AD46" s="3250"/>
      <c r="AE46" s="3250"/>
    </row>
    <row r="47" spans="2:31">
      <c r="B47" s="3252"/>
      <c r="C47" s="3260"/>
      <c r="D47" s="3252"/>
      <c r="E47" s="3262" t="s">
        <v>1031</v>
      </c>
      <c r="F47" s="3263">
        <f>SUM(F46:F46)</f>
        <v>7063.5</v>
      </c>
    </row>
    <row r="48" spans="2:31">
      <c r="B48" s="1087"/>
      <c r="C48" s="1606"/>
      <c r="D48" s="1094"/>
      <c r="E48" s="1094"/>
      <c r="F48" s="1095"/>
    </row>
    <row r="49" spans="2:31">
      <c r="B49" s="3259" t="s">
        <v>1033</v>
      </c>
      <c r="C49" s="3260"/>
      <c r="D49" s="3252"/>
      <c r="E49" s="3252"/>
      <c r="F49" s="3252"/>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row>
    <row r="50" spans="2:31">
      <c r="B50" s="3252" t="s">
        <v>122</v>
      </c>
      <c r="C50" s="3270" t="s">
        <v>2</v>
      </c>
      <c r="D50" s="3254">
        <v>0.52</v>
      </c>
      <c r="E50" s="3254">
        <f>SUM(F16)</f>
        <v>1115</v>
      </c>
      <c r="F50" s="3245">
        <f>E50*D50</f>
        <v>579.79999999999995</v>
      </c>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row>
    <row r="51" spans="2:31">
      <c r="B51" s="3252" t="s">
        <v>124</v>
      </c>
      <c r="C51" s="3270" t="s">
        <v>2</v>
      </c>
      <c r="D51" s="3254">
        <v>0.85</v>
      </c>
      <c r="E51" s="3254">
        <f>F21</f>
        <v>1215</v>
      </c>
      <c r="F51" s="3245">
        <f>E51*D51</f>
        <v>1032.75</v>
      </c>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row>
    <row r="52" spans="2:31">
      <c r="B52" s="3252" t="s">
        <v>135</v>
      </c>
      <c r="C52" s="3270" t="s">
        <v>1026</v>
      </c>
      <c r="D52" s="3254">
        <v>6.44</v>
      </c>
      <c r="E52" s="3254">
        <f>F4</f>
        <v>325</v>
      </c>
      <c r="F52" s="3245">
        <f>E52*D52</f>
        <v>2093</v>
      </c>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row>
    <row r="53" spans="2:31">
      <c r="B53" s="3252" t="s">
        <v>117</v>
      </c>
      <c r="C53" s="3270" t="s">
        <v>118</v>
      </c>
      <c r="D53" s="3254">
        <v>60</v>
      </c>
      <c r="E53" s="3254">
        <f>F3</f>
        <v>2.5</v>
      </c>
      <c r="F53" s="3245">
        <f>E53*D53</f>
        <v>150</v>
      </c>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row>
    <row r="54" spans="2:31">
      <c r="B54" s="3252" t="s">
        <v>139</v>
      </c>
      <c r="C54" s="3270" t="s">
        <v>2</v>
      </c>
      <c r="D54" s="3254">
        <v>1</v>
      </c>
      <c r="E54" s="3254">
        <v>850</v>
      </c>
      <c r="F54" s="3245">
        <f>E54*D54</f>
        <v>850</v>
      </c>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row>
    <row r="55" spans="2:31">
      <c r="B55" s="3252" t="s">
        <v>140</v>
      </c>
      <c r="C55" s="3270"/>
      <c r="D55" s="3254"/>
      <c r="E55" s="3254"/>
      <c r="F55" s="3264">
        <f>SUM(F50+F51+F52+F53)*0.02</f>
        <v>77.11</v>
      </c>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row>
    <row r="56" spans="2:31">
      <c r="B56" s="3252"/>
      <c r="C56" s="3255"/>
      <c r="D56" s="3252"/>
      <c r="E56" s="3262" t="s">
        <v>1031</v>
      </c>
      <c r="F56" s="3263">
        <f>SUM(F50:F55)</f>
        <v>4782.66</v>
      </c>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row>
    <row r="57" spans="2:31">
      <c r="B57" s="1087"/>
      <c r="C57" s="1608"/>
      <c r="D57" s="1087"/>
      <c r="E57" s="1100"/>
      <c r="F57" s="1095"/>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row>
    <row r="58" spans="2:31">
      <c r="B58" s="1101" t="s">
        <v>1043</v>
      </c>
      <c r="C58" s="1615"/>
      <c r="D58" s="1094"/>
      <c r="E58" s="1095"/>
      <c r="F58" s="1103"/>
    </row>
    <row r="59" spans="2:31">
      <c r="B59" s="3252" t="s">
        <v>181</v>
      </c>
      <c r="C59" s="3270" t="s">
        <v>126</v>
      </c>
      <c r="D59" s="3254">
        <v>1</v>
      </c>
      <c r="E59" s="3245">
        <v>2500</v>
      </c>
      <c r="F59" s="3245">
        <f>E59*D59</f>
        <v>2500</v>
      </c>
    </row>
    <row r="60" spans="2:31">
      <c r="B60" s="3271" t="s">
        <v>41</v>
      </c>
      <c r="C60" s="3270" t="s">
        <v>126</v>
      </c>
      <c r="D60" s="3254">
        <v>1</v>
      </c>
      <c r="E60" s="3245">
        <v>323</v>
      </c>
      <c r="F60" s="3245">
        <f>E60*D60</f>
        <v>323</v>
      </c>
      <c r="I60" s="1083"/>
      <c r="J60" s="1083"/>
      <c r="K60" s="1083"/>
      <c r="L60" s="1083"/>
      <c r="M60" s="1083"/>
      <c r="N60" s="1083"/>
      <c r="O60" s="1083"/>
      <c r="P60" s="1083"/>
      <c r="Q60" s="1083"/>
      <c r="R60" s="1083"/>
      <c r="S60" s="1083"/>
      <c r="T60" s="1083"/>
      <c r="U60" s="1083"/>
      <c r="V60" s="1083"/>
      <c r="W60" s="1083"/>
      <c r="X60" s="1083"/>
      <c r="Y60" s="1083"/>
      <c r="Z60" s="1083"/>
      <c r="AA60" s="1083"/>
      <c r="AB60" s="1083"/>
      <c r="AC60" s="1083"/>
      <c r="AD60" s="1083"/>
      <c r="AE60" s="1083"/>
    </row>
    <row r="61" spans="2:31">
      <c r="B61" s="3252" t="s">
        <v>1044</v>
      </c>
      <c r="C61" s="3270" t="s">
        <v>183</v>
      </c>
      <c r="D61" s="3254">
        <v>2</v>
      </c>
      <c r="E61" s="3272">
        <v>45</v>
      </c>
      <c r="F61" s="3245">
        <f>E61*D61</f>
        <v>90</v>
      </c>
      <c r="I61" s="1083"/>
      <c r="J61" s="1083"/>
      <c r="K61" s="1083"/>
      <c r="L61" s="1083"/>
      <c r="M61" s="1083"/>
      <c r="N61" s="1083"/>
      <c r="O61" s="1083"/>
      <c r="P61" s="1083"/>
      <c r="Q61" s="1083"/>
      <c r="R61" s="1083"/>
      <c r="S61" s="1083"/>
      <c r="T61" s="1083"/>
      <c r="U61" s="1083"/>
      <c r="V61" s="1083"/>
      <c r="W61" s="1083"/>
      <c r="X61" s="1083"/>
      <c r="Y61" s="1083"/>
      <c r="Z61" s="1083"/>
      <c r="AA61" s="1083"/>
      <c r="AB61" s="1083"/>
      <c r="AC61" s="1083"/>
      <c r="AD61" s="1083"/>
      <c r="AE61" s="1083"/>
    </row>
    <row r="62" spans="2:31">
      <c r="B62" s="3252"/>
      <c r="C62" s="3270"/>
      <c r="D62" s="3254"/>
      <c r="E62" s="3263" t="s">
        <v>1031</v>
      </c>
      <c r="F62" s="3273">
        <f>SUM(F59:F61)</f>
        <v>2913</v>
      </c>
      <c r="I62" s="1083"/>
      <c r="J62" s="1083"/>
      <c r="K62" s="1083"/>
      <c r="L62" s="1083"/>
      <c r="M62" s="1083"/>
      <c r="N62" s="1083"/>
      <c r="O62" s="1083"/>
      <c r="P62" s="1083"/>
      <c r="Q62" s="1083"/>
      <c r="R62" s="1083"/>
      <c r="S62" s="1083"/>
      <c r="T62" s="1083"/>
      <c r="U62" s="1083"/>
      <c r="V62" s="1083"/>
      <c r="W62" s="1083"/>
      <c r="X62" s="1083"/>
      <c r="Y62" s="1083"/>
      <c r="Z62" s="1083"/>
      <c r="AA62" s="1083"/>
      <c r="AB62" s="1083"/>
      <c r="AC62" s="1083"/>
      <c r="AD62" s="1083"/>
      <c r="AE62" s="1083"/>
    </row>
    <row r="63" spans="2:31">
      <c r="B63" s="1087"/>
      <c r="C63" s="1615"/>
      <c r="D63" s="1094"/>
      <c r="E63" s="1095"/>
      <c r="F63" s="1103"/>
      <c r="I63" s="1083"/>
      <c r="J63" s="1083"/>
      <c r="K63" s="1083"/>
      <c r="L63" s="1083"/>
      <c r="M63" s="1083"/>
      <c r="N63" s="1083"/>
      <c r="O63" s="1083"/>
      <c r="P63" s="1083"/>
      <c r="Q63" s="1083"/>
      <c r="R63" s="1083"/>
      <c r="S63" s="1083"/>
      <c r="T63" s="1083"/>
      <c r="U63" s="1083"/>
      <c r="V63" s="1083"/>
      <c r="W63" s="1083"/>
      <c r="X63" s="1083"/>
      <c r="Y63" s="1083"/>
      <c r="Z63" s="1083"/>
      <c r="AA63" s="1083"/>
      <c r="AB63" s="1083"/>
      <c r="AC63" s="1083"/>
      <c r="AD63" s="1083"/>
      <c r="AE63" s="1083"/>
    </row>
    <row r="64" spans="2:31">
      <c r="B64" s="1101" t="s">
        <v>1034</v>
      </c>
      <c r="C64" s="1608"/>
      <c r="D64" s="1087"/>
      <c r="E64" s="1087"/>
      <c r="F64" s="1087"/>
      <c r="I64" s="1083"/>
      <c r="J64" s="1083"/>
      <c r="K64" s="1083"/>
      <c r="L64" s="1083"/>
      <c r="M64" s="1083"/>
      <c r="N64" s="1083"/>
      <c r="O64" s="1083"/>
      <c r="P64" s="1083"/>
      <c r="Q64" s="1083"/>
      <c r="R64" s="1083"/>
      <c r="S64" s="1083"/>
      <c r="T64" s="1083"/>
      <c r="U64" s="1083"/>
      <c r="V64" s="1083"/>
      <c r="W64" s="1083"/>
      <c r="X64" s="1083"/>
      <c r="Y64" s="1083"/>
      <c r="Z64" s="1083"/>
      <c r="AA64" s="1083"/>
      <c r="AB64" s="1083"/>
      <c r="AC64" s="1083"/>
      <c r="AD64" s="1083"/>
      <c r="AE64" s="1083"/>
    </row>
    <row r="65" spans="2:31">
      <c r="B65" s="3252" t="s">
        <v>145</v>
      </c>
      <c r="C65" s="3270" t="s">
        <v>2</v>
      </c>
      <c r="D65" s="3254">
        <v>1</v>
      </c>
      <c r="E65" s="3254">
        <f>+F8</f>
        <v>1100</v>
      </c>
      <c r="F65" s="3245">
        <f>E65*D65</f>
        <v>1100</v>
      </c>
      <c r="I65" s="1083"/>
      <c r="J65" s="1083"/>
      <c r="K65" s="1083"/>
      <c r="L65" s="1083"/>
      <c r="M65" s="1083"/>
      <c r="N65" s="1083"/>
      <c r="O65" s="1083"/>
      <c r="P65" s="1083"/>
      <c r="Q65" s="1083"/>
      <c r="R65" s="1083"/>
      <c r="S65" s="1083"/>
      <c r="T65" s="1083"/>
      <c r="U65" s="1083"/>
      <c r="V65" s="1083"/>
      <c r="W65" s="1083"/>
      <c r="X65" s="1083"/>
      <c r="Y65" s="1083"/>
      <c r="Z65" s="1083"/>
      <c r="AA65" s="1083"/>
      <c r="AB65" s="1083"/>
      <c r="AC65" s="1083"/>
      <c r="AD65" s="1083"/>
      <c r="AE65" s="1083"/>
    </row>
    <row r="66" spans="2:31">
      <c r="B66" s="3252" t="s">
        <v>131</v>
      </c>
      <c r="C66" s="3255" t="s">
        <v>2</v>
      </c>
      <c r="D66" s="3254">
        <v>1</v>
      </c>
      <c r="E66" s="3254">
        <v>15</v>
      </c>
      <c r="F66" s="3245">
        <f>E66*D66</f>
        <v>15</v>
      </c>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row>
    <row r="67" spans="2:31">
      <c r="B67" s="3252"/>
      <c r="C67" s="3255"/>
      <c r="D67" s="3252"/>
      <c r="E67" s="3262" t="s">
        <v>1031</v>
      </c>
      <c r="F67" s="3263">
        <f>SUM(F65:F66)</f>
        <v>1115</v>
      </c>
      <c r="I67" s="1083"/>
      <c r="J67" s="1083"/>
      <c r="K67" s="1083"/>
      <c r="L67" s="1083"/>
      <c r="M67" s="1083"/>
      <c r="N67" s="1083"/>
      <c r="O67" s="1083"/>
      <c r="P67" s="1083"/>
      <c r="Q67" s="1083"/>
      <c r="R67" s="1083"/>
      <c r="S67" s="1083"/>
      <c r="T67" s="1083"/>
      <c r="U67" s="1083"/>
      <c r="V67" s="1083"/>
      <c r="W67" s="1083"/>
      <c r="X67" s="1083"/>
      <c r="Y67" s="1083"/>
      <c r="Z67" s="1083"/>
      <c r="AA67" s="1083"/>
      <c r="AB67" s="1083"/>
      <c r="AC67" s="1083"/>
      <c r="AD67" s="1083"/>
      <c r="AE67" s="1083"/>
    </row>
    <row r="68" spans="2:31">
      <c r="B68" s="1087"/>
      <c r="C68" s="1603"/>
      <c r="D68" s="1087"/>
      <c r="E68" s="1087"/>
      <c r="F68" s="1087"/>
      <c r="I68" s="1083"/>
      <c r="J68" s="1083"/>
      <c r="K68" s="1083"/>
      <c r="L68" s="1083"/>
      <c r="M68" s="1083"/>
      <c r="N68" s="1083"/>
      <c r="O68" s="1083"/>
      <c r="P68" s="1083"/>
      <c r="Q68" s="1083"/>
      <c r="R68" s="1083"/>
      <c r="S68" s="1083"/>
      <c r="T68" s="1083"/>
      <c r="U68" s="1083"/>
      <c r="V68" s="1083"/>
      <c r="W68" s="1083"/>
      <c r="X68" s="1083"/>
      <c r="Y68" s="1083"/>
      <c r="Z68" s="1083"/>
      <c r="AA68" s="1083"/>
      <c r="AB68" s="1083"/>
      <c r="AC68" s="1083"/>
      <c r="AD68" s="1083"/>
      <c r="AE68" s="1083"/>
    </row>
    <row r="69" spans="2:31">
      <c r="B69" s="1088" t="s">
        <v>146</v>
      </c>
      <c r="C69" s="1603"/>
      <c r="D69" s="1087"/>
      <c r="E69" s="1087"/>
      <c r="F69" s="1087"/>
      <c r="I69" s="1083"/>
      <c r="J69" s="1083"/>
      <c r="K69" s="1083"/>
      <c r="L69" s="1083"/>
      <c r="M69" s="1083"/>
      <c r="N69" s="1083"/>
      <c r="O69" s="1083"/>
      <c r="P69" s="1083"/>
      <c r="Q69" s="1083"/>
      <c r="R69" s="1083"/>
      <c r="S69" s="1083"/>
      <c r="T69" s="1083"/>
      <c r="U69" s="1083"/>
      <c r="V69" s="1083"/>
      <c r="W69" s="1083"/>
      <c r="X69" s="1083"/>
      <c r="Y69" s="1083"/>
      <c r="Z69" s="1083"/>
      <c r="AA69" s="1083"/>
      <c r="AB69" s="1083"/>
      <c r="AC69" s="1083"/>
      <c r="AD69" s="1083"/>
      <c r="AE69" s="1083"/>
    </row>
    <row r="70" spans="2:31">
      <c r="B70" s="3252" t="s">
        <v>122</v>
      </c>
      <c r="C70" s="3270" t="s">
        <v>2</v>
      </c>
      <c r="D70" s="3254">
        <v>1.02</v>
      </c>
      <c r="E70" s="3254">
        <f>+$F$67</f>
        <v>1115</v>
      </c>
      <c r="F70" s="3245">
        <f>E70*D70</f>
        <v>1137.3</v>
      </c>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row>
    <row r="71" spans="2:31">
      <c r="B71" s="3252" t="s">
        <v>135</v>
      </c>
      <c r="C71" s="3270" t="s">
        <v>1026</v>
      </c>
      <c r="D71" s="3254">
        <v>9.4600000000000009</v>
      </c>
      <c r="E71" s="3254">
        <f>F4</f>
        <v>325</v>
      </c>
      <c r="F71" s="3245">
        <f>E71*D71</f>
        <v>3074.5</v>
      </c>
      <c r="I71" s="1083"/>
      <c r="J71" s="1083"/>
      <c r="K71" s="1083"/>
      <c r="L71" s="1083"/>
      <c r="M71" s="1083"/>
      <c r="N71" s="1083"/>
      <c r="O71" s="1083"/>
      <c r="P71" s="1083"/>
      <c r="Q71" s="1083"/>
      <c r="R71" s="1083"/>
      <c r="S71" s="1083"/>
      <c r="T71" s="1083"/>
      <c r="U71" s="1083"/>
      <c r="V71" s="1083"/>
      <c r="W71" s="1083"/>
      <c r="X71" s="1083"/>
      <c r="Y71" s="1083"/>
      <c r="Z71" s="1083"/>
      <c r="AA71" s="1083"/>
      <c r="AB71" s="1083"/>
      <c r="AC71" s="1083"/>
      <c r="AD71" s="1083"/>
      <c r="AE71" s="1083"/>
    </row>
    <row r="72" spans="2:31">
      <c r="B72" s="3252" t="s">
        <v>117</v>
      </c>
      <c r="C72" s="3270" t="s">
        <v>118</v>
      </c>
      <c r="D72" s="3254">
        <v>50</v>
      </c>
      <c r="E72" s="3254">
        <f>$F$3</f>
        <v>2.5</v>
      </c>
      <c r="F72" s="3245">
        <f>E72*D72</f>
        <v>125</v>
      </c>
      <c r="I72" s="1083"/>
      <c r="J72" s="1083"/>
      <c r="K72" s="1083"/>
      <c r="L72" s="1083"/>
      <c r="M72" s="1083"/>
      <c r="N72" s="1083"/>
      <c r="O72" s="1083"/>
      <c r="P72" s="1083"/>
      <c r="Q72" s="1083"/>
      <c r="R72" s="1083"/>
      <c r="S72" s="1083"/>
      <c r="T72" s="1083"/>
      <c r="U72" s="1083"/>
      <c r="V72" s="1083"/>
      <c r="W72" s="1083"/>
      <c r="X72" s="1083"/>
      <c r="Y72" s="1083"/>
      <c r="Z72" s="1083"/>
      <c r="AA72" s="1083"/>
      <c r="AB72" s="1083"/>
      <c r="AC72" s="1083"/>
      <c r="AD72" s="1083"/>
      <c r="AE72" s="1083"/>
    </row>
    <row r="73" spans="2:31">
      <c r="B73" s="3252" t="s">
        <v>121</v>
      </c>
      <c r="C73" s="3270" t="s">
        <v>1026</v>
      </c>
      <c r="D73" s="3254">
        <v>3.07</v>
      </c>
      <c r="E73" s="3254">
        <f>$F$5</f>
        <v>271.02</v>
      </c>
      <c r="F73" s="3245">
        <f>E73*D73</f>
        <v>832.03</v>
      </c>
      <c r="I73" s="1083"/>
      <c r="J73" s="1083"/>
      <c r="K73" s="1083"/>
      <c r="L73" s="1083"/>
      <c r="M73" s="1083"/>
      <c r="N73" s="1083"/>
      <c r="O73" s="1083"/>
      <c r="P73" s="1083"/>
      <c r="Q73" s="1083"/>
      <c r="R73" s="1083"/>
      <c r="S73" s="1083"/>
      <c r="T73" s="1083"/>
      <c r="U73" s="1083"/>
      <c r="V73" s="1083"/>
      <c r="W73" s="1083"/>
      <c r="X73" s="1083"/>
      <c r="Y73" s="1083"/>
      <c r="Z73" s="1083"/>
      <c r="AA73" s="1083"/>
      <c r="AB73" s="1083"/>
      <c r="AC73" s="1083"/>
      <c r="AD73" s="1083"/>
      <c r="AE73" s="1083"/>
    </row>
    <row r="74" spans="2:31">
      <c r="B74" s="3252" t="s">
        <v>147</v>
      </c>
      <c r="C74" s="3270" t="s">
        <v>148</v>
      </c>
      <c r="D74" s="3254">
        <v>0.5</v>
      </c>
      <c r="E74" s="3254">
        <v>659</v>
      </c>
      <c r="F74" s="3245">
        <f>E74*D74</f>
        <v>329.5</v>
      </c>
      <c r="I74" s="1083"/>
      <c r="J74" s="1083"/>
      <c r="K74" s="1083"/>
      <c r="L74" s="1083"/>
      <c r="M74" s="1083"/>
      <c r="N74" s="1083"/>
      <c r="O74" s="1083"/>
      <c r="P74" s="1083"/>
      <c r="Q74" s="1083"/>
      <c r="R74" s="1083"/>
      <c r="S74" s="1083"/>
      <c r="T74" s="1083"/>
      <c r="U74" s="1083"/>
      <c r="V74" s="1083"/>
      <c r="W74" s="1083"/>
      <c r="X74" s="1083"/>
      <c r="Y74" s="1083"/>
      <c r="Z74" s="1083"/>
      <c r="AA74" s="1083"/>
      <c r="AB74" s="1083"/>
      <c r="AC74" s="1083"/>
      <c r="AD74" s="1083"/>
      <c r="AE74" s="1083"/>
    </row>
    <row r="75" spans="2:31">
      <c r="B75" s="3252" t="s">
        <v>149</v>
      </c>
      <c r="C75" s="3270"/>
      <c r="D75" s="3254"/>
      <c r="E75" s="3254"/>
      <c r="F75" s="3264">
        <f>SUM(F71+F72+F70+F73)*0.03</f>
        <v>155.06</v>
      </c>
      <c r="I75" s="1083"/>
      <c r="J75" s="1083"/>
      <c r="K75" s="1083"/>
      <c r="L75" s="1083"/>
      <c r="M75" s="1083"/>
      <c r="N75" s="1083"/>
      <c r="O75" s="1083"/>
      <c r="P75" s="1083"/>
      <c r="Q75" s="1083"/>
      <c r="R75" s="1083"/>
      <c r="S75" s="1083"/>
      <c r="T75" s="1083"/>
      <c r="U75" s="1083"/>
      <c r="V75" s="1083"/>
      <c r="W75" s="1083"/>
      <c r="X75" s="1083"/>
      <c r="Y75" s="1083"/>
      <c r="Z75" s="1083"/>
      <c r="AA75" s="1083"/>
      <c r="AB75" s="1083"/>
      <c r="AC75" s="1083"/>
      <c r="AD75" s="1083"/>
      <c r="AE75" s="1083"/>
    </row>
    <row r="76" spans="2:31">
      <c r="B76" s="3252" t="s">
        <v>43</v>
      </c>
      <c r="C76" s="3255"/>
      <c r="D76" s="3252"/>
      <c r="E76" s="3263" t="s">
        <v>1031</v>
      </c>
      <c r="F76" s="3263">
        <f>SUM(F70:F75)</f>
        <v>5653.39</v>
      </c>
      <c r="I76" s="1083"/>
      <c r="J76" s="1083"/>
      <c r="K76" s="1083"/>
      <c r="L76" s="1083"/>
      <c r="M76" s="1083"/>
      <c r="N76" s="1083"/>
      <c r="O76" s="1083"/>
      <c r="P76" s="1083"/>
      <c r="Q76" s="1083"/>
      <c r="R76" s="1083"/>
      <c r="S76" s="1083"/>
      <c r="T76" s="1083"/>
      <c r="U76" s="1083"/>
      <c r="V76" s="1083"/>
      <c r="W76" s="1083"/>
      <c r="X76" s="1083"/>
      <c r="Y76" s="1083"/>
      <c r="Z76" s="1083"/>
      <c r="AA76" s="1083"/>
      <c r="AB76" s="1083"/>
      <c r="AC76" s="1083"/>
      <c r="AD76" s="1083"/>
      <c r="AE76" s="1083"/>
    </row>
    <row r="77" spans="2:31" ht="13.5" thickBot="1">
      <c r="B77" s="1087"/>
      <c r="C77" s="1608"/>
      <c r="D77" s="1087"/>
      <c r="E77" s="1095"/>
      <c r="F77" s="1095"/>
      <c r="I77" s="1083"/>
      <c r="J77" s="1083"/>
      <c r="K77" s="1083"/>
      <c r="L77" s="1083"/>
      <c r="M77" s="1083"/>
      <c r="N77" s="1083"/>
      <c r="O77" s="1083"/>
      <c r="P77" s="1083"/>
      <c r="Q77" s="1083"/>
      <c r="R77" s="1083"/>
      <c r="S77" s="1083"/>
      <c r="T77" s="1083"/>
      <c r="U77" s="1083"/>
      <c r="V77" s="1083"/>
      <c r="W77" s="1083"/>
      <c r="X77" s="1083"/>
      <c r="Y77" s="1083"/>
      <c r="Z77" s="1083"/>
      <c r="AA77" s="1083"/>
      <c r="AB77" s="1083"/>
      <c r="AC77" s="1083"/>
      <c r="AD77" s="1083"/>
      <c r="AE77" s="1083"/>
    </row>
    <row r="78" spans="2:31" ht="13.5" thickTop="1">
      <c r="B78" s="1718" t="s">
        <v>150</v>
      </c>
      <c r="C78" s="1719"/>
      <c r="D78" s="1679"/>
      <c r="E78" s="1679"/>
      <c r="F78" s="1916"/>
      <c r="I78" s="1083"/>
      <c r="J78" s="1083"/>
      <c r="K78" s="1083"/>
      <c r="L78" s="1083"/>
      <c r="M78" s="1083"/>
      <c r="N78" s="1083"/>
      <c r="O78" s="1083"/>
      <c r="P78" s="1083"/>
      <c r="Q78" s="1083"/>
      <c r="R78" s="1083"/>
      <c r="S78" s="1083"/>
      <c r="T78" s="1083"/>
      <c r="U78" s="1083"/>
      <c r="V78" s="1083"/>
      <c r="W78" s="1083"/>
      <c r="X78" s="1083"/>
      <c r="Y78" s="1083"/>
      <c r="Z78" s="1083"/>
      <c r="AA78" s="1083"/>
      <c r="AB78" s="1083"/>
      <c r="AC78" s="1083"/>
      <c r="AD78" s="1083"/>
      <c r="AE78" s="1083"/>
    </row>
    <row r="79" spans="2:31">
      <c r="B79" s="3274" t="s">
        <v>151</v>
      </c>
      <c r="C79" s="3255" t="s">
        <v>2</v>
      </c>
      <c r="D79" s="3252">
        <v>0.998</v>
      </c>
      <c r="E79" s="3254">
        <f>+$F$67</f>
        <v>1115</v>
      </c>
      <c r="F79" s="3275">
        <f>E79*D79</f>
        <v>1112.77</v>
      </c>
      <c r="I79" s="1083"/>
      <c r="J79" s="1083"/>
      <c r="K79" s="1083"/>
      <c r="L79" s="1083"/>
      <c r="M79" s="1083"/>
      <c r="N79" s="1083"/>
      <c r="O79" s="1083"/>
      <c r="P79" s="1083"/>
      <c r="Q79" s="1083"/>
      <c r="R79" s="1083"/>
      <c r="S79" s="1083"/>
      <c r="T79" s="1083"/>
      <c r="U79" s="1083"/>
      <c r="V79" s="1083"/>
      <c r="W79" s="1083"/>
      <c r="X79" s="1083"/>
      <c r="Y79" s="1083"/>
      <c r="Z79" s="1083"/>
      <c r="AA79" s="1083"/>
      <c r="AB79" s="1083"/>
      <c r="AC79" s="1083"/>
      <c r="AD79" s="1083"/>
      <c r="AE79" s="1083"/>
    </row>
    <row r="80" spans="2:31">
      <c r="B80" s="3274" t="s">
        <v>117</v>
      </c>
      <c r="C80" s="3255" t="s">
        <v>118</v>
      </c>
      <c r="D80" s="3252">
        <v>69.040000000000006</v>
      </c>
      <c r="E80" s="3254">
        <f>$F$3</f>
        <v>2.5</v>
      </c>
      <c r="F80" s="3275">
        <f>E80*D80</f>
        <v>172.6</v>
      </c>
      <c r="I80" s="1083"/>
      <c r="J80" s="1083"/>
      <c r="K80" s="1083"/>
      <c r="L80" s="1083"/>
      <c r="M80" s="1083"/>
      <c r="N80" s="1083"/>
      <c r="O80" s="1083"/>
      <c r="P80" s="1083"/>
      <c r="Q80" s="1083"/>
      <c r="R80" s="1083"/>
      <c r="S80" s="1083"/>
      <c r="T80" s="1083"/>
      <c r="U80" s="1083"/>
      <c r="V80" s="1083"/>
      <c r="W80" s="1083"/>
      <c r="X80" s="1083"/>
      <c r="Y80" s="1083"/>
      <c r="Z80" s="1083"/>
      <c r="AA80" s="1083"/>
      <c r="AB80" s="1083"/>
      <c r="AC80" s="1083"/>
      <c r="AD80" s="1083"/>
      <c r="AE80" s="1083"/>
    </row>
    <row r="81" spans="2:31">
      <c r="B81" s="3274" t="s">
        <v>135</v>
      </c>
      <c r="C81" s="3255" t="s">
        <v>1026</v>
      </c>
      <c r="D81" s="3252">
        <v>11.51</v>
      </c>
      <c r="E81" s="3254">
        <f>$F$4</f>
        <v>325</v>
      </c>
      <c r="F81" s="3275">
        <f>E81*D81</f>
        <v>3740.75</v>
      </c>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row>
    <row r="82" spans="2:31">
      <c r="B82" s="3274" t="s">
        <v>147</v>
      </c>
      <c r="C82" s="3255" t="s">
        <v>148</v>
      </c>
      <c r="D82" s="3264">
        <v>0.5</v>
      </c>
      <c r="E82" s="3254">
        <v>659</v>
      </c>
      <c r="F82" s="3275">
        <f>E82*D82</f>
        <v>329.5</v>
      </c>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row>
    <row r="83" spans="2:31">
      <c r="B83" s="3274" t="s">
        <v>149</v>
      </c>
      <c r="C83" s="3255"/>
      <c r="D83" s="3252"/>
      <c r="E83" s="3254"/>
      <c r="F83" s="3276">
        <f>SUM(F79+F80+F78+F81)*0.03</f>
        <v>150.78</v>
      </c>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row>
    <row r="84" spans="2:31" ht="13.5" thickBot="1">
      <c r="B84" s="3277"/>
      <c r="C84" s="3278"/>
      <c r="D84" s="3279"/>
      <c r="E84" s="3280" t="s">
        <v>1031</v>
      </c>
      <c r="F84" s="3281">
        <f>SUM(F79:F83)</f>
        <v>5506.4</v>
      </c>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row>
    <row r="85" spans="2:31" ht="13.5" thickTop="1">
      <c r="B85" s="1087"/>
      <c r="C85" s="1603"/>
      <c r="D85" s="1087"/>
      <c r="E85" s="1100"/>
      <c r="F85" s="1095"/>
      <c r="I85" s="1083"/>
      <c r="J85" s="1083"/>
      <c r="K85" s="1083"/>
      <c r="L85" s="1083"/>
      <c r="M85" s="1083"/>
      <c r="N85" s="1083"/>
      <c r="O85" s="1083"/>
      <c r="P85" s="1083"/>
      <c r="Q85" s="1083"/>
      <c r="R85" s="1083"/>
      <c r="S85" s="1083"/>
      <c r="T85" s="1083"/>
      <c r="U85" s="1083"/>
      <c r="V85" s="1083"/>
      <c r="W85" s="1083"/>
      <c r="X85" s="1083"/>
      <c r="Y85" s="1083"/>
      <c r="Z85" s="1083"/>
      <c r="AA85" s="1083"/>
      <c r="AB85" s="1083"/>
      <c r="AC85" s="1083"/>
      <c r="AD85" s="1083"/>
      <c r="AE85" s="1083"/>
    </row>
    <row r="86" spans="2:31">
      <c r="B86" s="3282" t="s">
        <v>1534</v>
      </c>
      <c r="C86" s="1609"/>
      <c r="D86" s="1131"/>
      <c r="E86" s="1132"/>
      <c r="F86" s="1133"/>
      <c r="I86" s="1083"/>
      <c r="J86" s="1083"/>
      <c r="K86" s="1083"/>
      <c r="L86" s="1083"/>
      <c r="M86" s="1083"/>
      <c r="N86" s="1083"/>
      <c r="O86" s="1083"/>
      <c r="P86" s="1083"/>
      <c r="Q86" s="1083"/>
      <c r="R86" s="1083"/>
      <c r="S86" s="1083"/>
      <c r="T86" s="1083"/>
      <c r="U86" s="1083"/>
      <c r="V86" s="1083"/>
      <c r="W86" s="1083"/>
      <c r="X86" s="1083"/>
      <c r="Y86" s="1083"/>
      <c r="Z86" s="1083"/>
      <c r="AA86" s="1083"/>
      <c r="AB86" s="1083"/>
      <c r="AC86" s="1083"/>
      <c r="AD86" s="1083"/>
      <c r="AE86" s="1083"/>
    </row>
    <row r="87" spans="2:31">
      <c r="B87" s="3283" t="s">
        <v>1097</v>
      </c>
      <c r="C87" s="3284">
        <v>1.05</v>
      </c>
      <c r="D87" s="3285" t="s">
        <v>2</v>
      </c>
      <c r="E87" s="3286">
        <f>+$F$25</f>
        <v>8154.9</v>
      </c>
      <c r="F87" s="3286">
        <f>C87*E87</f>
        <v>8562.65</v>
      </c>
      <c r="I87" s="1083"/>
      <c r="J87" s="1083"/>
      <c r="K87" s="1083"/>
      <c r="L87" s="1083"/>
      <c r="M87" s="1083"/>
      <c r="N87" s="1083"/>
      <c r="O87" s="1083"/>
      <c r="P87" s="1083"/>
      <c r="Q87" s="1083"/>
      <c r="R87" s="1083"/>
      <c r="S87" s="1083"/>
      <c r="T87" s="1083"/>
      <c r="U87" s="1083"/>
      <c r="V87" s="1083"/>
      <c r="W87" s="1083"/>
      <c r="X87" s="1083"/>
      <c r="Y87" s="1083"/>
      <c r="Z87" s="1083"/>
      <c r="AA87" s="1083"/>
      <c r="AB87" s="1083"/>
      <c r="AC87" s="1083"/>
      <c r="AD87" s="1083"/>
      <c r="AE87" s="1083"/>
    </row>
    <row r="88" spans="2:31">
      <c r="B88" s="1648" t="s">
        <v>272</v>
      </c>
      <c r="C88" s="1611">
        <v>2.81</v>
      </c>
      <c r="D88" s="1142" t="s">
        <v>126</v>
      </c>
      <c r="E88" s="1143">
        <f>+$F$62</f>
        <v>2913</v>
      </c>
      <c r="F88" s="1143">
        <f>C88*E88</f>
        <v>8185.53</v>
      </c>
      <c r="I88" s="1083"/>
      <c r="J88" s="1083"/>
      <c r="K88" s="1083"/>
      <c r="L88" s="1083"/>
      <c r="M88" s="1083"/>
      <c r="N88" s="1083"/>
      <c r="O88" s="1083"/>
      <c r="P88" s="1083"/>
      <c r="Q88" s="1083"/>
      <c r="R88" s="1083"/>
      <c r="S88" s="1083"/>
      <c r="T88" s="1083"/>
      <c r="U88" s="1083"/>
      <c r="V88" s="1083"/>
      <c r="W88" s="1083"/>
      <c r="X88" s="1083"/>
      <c r="Y88" s="1083"/>
      <c r="Z88" s="1083"/>
      <c r="AA88" s="1083"/>
      <c r="AB88" s="1083"/>
      <c r="AC88" s="1083"/>
      <c r="AD88" s="1083"/>
      <c r="AE88" s="1083"/>
    </row>
    <row r="89" spans="2:31">
      <c r="B89" s="1648" t="s">
        <v>1089</v>
      </c>
      <c r="C89" s="1912">
        <v>1</v>
      </c>
      <c r="D89" s="1152" t="s">
        <v>1100</v>
      </c>
      <c r="E89" s="1913">
        <v>1000</v>
      </c>
      <c r="F89" s="1143">
        <f>C89*E89</f>
        <v>1000</v>
      </c>
      <c r="I89" s="1083"/>
      <c r="J89" s="1083"/>
      <c r="K89" s="1083"/>
      <c r="L89" s="1083"/>
      <c r="M89" s="1083"/>
      <c r="N89" s="1083"/>
      <c r="O89" s="1083"/>
      <c r="P89" s="1083"/>
      <c r="Q89" s="1083"/>
      <c r="R89" s="1083"/>
      <c r="S89" s="1083"/>
      <c r="T89" s="1083"/>
      <c r="U89" s="1083"/>
      <c r="V89" s="1083"/>
      <c r="W89" s="1083"/>
      <c r="X89" s="1083"/>
      <c r="Y89" s="1083"/>
      <c r="Z89" s="1083"/>
      <c r="AA89" s="1083"/>
      <c r="AB89" s="1083"/>
      <c r="AC89" s="1083"/>
      <c r="AD89" s="1083"/>
      <c r="AE89" s="1083"/>
    </row>
    <row r="90" spans="2:31">
      <c r="B90" s="1649"/>
      <c r="C90" s="1650"/>
      <c r="D90" s="1649"/>
      <c r="E90" s="1651" t="s">
        <v>1031</v>
      </c>
      <c r="F90" s="1652">
        <f>ROUND(SUM(F87:F89),2)</f>
        <v>17748.18</v>
      </c>
      <c r="I90" s="1083"/>
      <c r="J90" s="1083"/>
      <c r="K90" s="1083"/>
      <c r="L90" s="1083"/>
      <c r="M90" s="1083"/>
      <c r="N90" s="1083"/>
      <c r="O90" s="1083"/>
      <c r="P90" s="1083"/>
      <c r="Q90" s="1083"/>
      <c r="R90" s="1083"/>
      <c r="S90" s="1083"/>
      <c r="T90" s="1083"/>
      <c r="U90" s="1083"/>
      <c r="V90" s="1083"/>
      <c r="W90" s="1083"/>
      <c r="X90" s="1083"/>
      <c r="Y90" s="1083"/>
      <c r="Z90" s="1083"/>
      <c r="AA90" s="1083"/>
      <c r="AB90" s="1083"/>
      <c r="AC90" s="1083"/>
      <c r="AD90" s="1083"/>
      <c r="AE90" s="1083"/>
    </row>
    <row r="91" spans="2:31" ht="13.5" thickBot="1">
      <c r="B91" s="1149"/>
      <c r="C91" s="1613"/>
      <c r="D91" s="1149"/>
      <c r="E91" s="1150"/>
      <c r="F91" s="1151"/>
      <c r="I91" s="1083"/>
      <c r="J91" s="1083"/>
      <c r="K91" s="1083"/>
      <c r="L91" s="1083"/>
      <c r="M91" s="1083"/>
      <c r="N91" s="1083"/>
      <c r="O91" s="1083"/>
      <c r="P91" s="1083"/>
      <c r="Q91" s="1083"/>
      <c r="R91" s="1083"/>
      <c r="S91" s="1083"/>
      <c r="T91" s="1083"/>
      <c r="U91" s="1083"/>
      <c r="V91" s="1083"/>
      <c r="W91" s="1083"/>
      <c r="X91" s="1083"/>
      <c r="Y91" s="1083"/>
      <c r="Z91" s="1083"/>
      <c r="AA91" s="1083"/>
      <c r="AB91" s="1083"/>
      <c r="AC91" s="1083"/>
      <c r="AD91" s="1083"/>
      <c r="AE91" s="1083"/>
    </row>
    <row r="92" spans="2:31" ht="13.5" thickTop="1">
      <c r="B92" s="3287" t="s">
        <v>1532</v>
      </c>
      <c r="C92" s="1670"/>
      <c r="D92" s="1671"/>
      <c r="E92" s="1671"/>
      <c r="F92" s="1672"/>
      <c r="I92" s="1083"/>
      <c r="J92" s="1083"/>
      <c r="K92" s="1083"/>
      <c r="L92" s="1083"/>
      <c r="M92" s="1083"/>
      <c r="N92" s="1083"/>
      <c r="O92" s="1083"/>
      <c r="P92" s="1083"/>
      <c r="Q92" s="1083"/>
      <c r="R92" s="1083"/>
      <c r="S92" s="1083"/>
      <c r="T92" s="1083"/>
      <c r="U92" s="1083"/>
      <c r="V92" s="1083"/>
      <c r="W92" s="1083"/>
      <c r="X92" s="1083"/>
      <c r="Y92" s="1083"/>
      <c r="Z92" s="1083"/>
      <c r="AA92" s="1083"/>
      <c r="AB92" s="1083"/>
      <c r="AC92" s="1083"/>
      <c r="AD92" s="1083"/>
      <c r="AE92" s="1083"/>
    </row>
    <row r="93" spans="2:31">
      <c r="B93" s="3288" t="s">
        <v>1085</v>
      </c>
      <c r="C93" s="3284">
        <v>1.05</v>
      </c>
      <c r="D93" s="3285" t="s">
        <v>2</v>
      </c>
      <c r="E93" s="3286">
        <f>+$F$25</f>
        <v>8154.9</v>
      </c>
      <c r="F93" s="3289">
        <f>C93*E93</f>
        <v>8562.65</v>
      </c>
      <c r="I93" s="1083"/>
      <c r="J93" s="1083"/>
      <c r="K93" s="1083"/>
      <c r="L93" s="1083"/>
      <c r="M93" s="1083"/>
      <c r="N93" s="1083"/>
      <c r="O93" s="1083"/>
      <c r="P93" s="1083"/>
      <c r="Q93" s="1083"/>
      <c r="R93" s="1083"/>
      <c r="S93" s="1083"/>
      <c r="T93" s="1083"/>
      <c r="U93" s="1083"/>
      <c r="V93" s="1083"/>
      <c r="W93" s="1083"/>
      <c r="X93" s="1083"/>
      <c r="Y93" s="1083"/>
      <c r="Z93" s="1083"/>
      <c r="AA93" s="1083"/>
      <c r="AB93" s="1083"/>
      <c r="AC93" s="1083"/>
      <c r="AD93" s="1083"/>
      <c r="AE93" s="1083"/>
    </row>
    <row r="94" spans="2:31">
      <c r="B94" s="1141" t="s">
        <v>1087</v>
      </c>
      <c r="C94" s="1611">
        <v>1.35</v>
      </c>
      <c r="D94" s="1142" t="s">
        <v>126</v>
      </c>
      <c r="E94" s="1143">
        <f>+$F$62</f>
        <v>2913</v>
      </c>
      <c r="F94" s="1144">
        <f>C94*E94</f>
        <v>3932.55</v>
      </c>
      <c r="I94" s="1083"/>
      <c r="J94" s="1083"/>
      <c r="K94" s="1083"/>
      <c r="L94" s="1083"/>
      <c r="M94" s="1083"/>
      <c r="N94" s="1083"/>
      <c r="O94" s="1083"/>
      <c r="P94" s="1083"/>
      <c r="Q94" s="1083"/>
      <c r="R94" s="1083"/>
      <c r="S94" s="1083"/>
      <c r="T94" s="1083"/>
      <c r="U94" s="1083"/>
      <c r="V94" s="1083"/>
      <c r="W94" s="1083"/>
      <c r="X94" s="1083"/>
      <c r="Y94" s="1083"/>
      <c r="Z94" s="1083"/>
      <c r="AA94" s="1083"/>
      <c r="AB94" s="1083"/>
      <c r="AC94" s="1083"/>
      <c r="AD94" s="1083"/>
      <c r="AE94" s="1083"/>
    </row>
    <row r="95" spans="2:31">
      <c r="B95" s="1141" t="s">
        <v>1089</v>
      </c>
      <c r="C95" s="1611">
        <f>1/0.45</f>
        <v>2.2200000000000002</v>
      </c>
      <c r="D95" s="1152" t="s">
        <v>11</v>
      </c>
      <c r="E95" s="1143">
        <v>1200</v>
      </c>
      <c r="F95" s="1144">
        <f>C95*E95</f>
        <v>2664</v>
      </c>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row>
    <row r="96" spans="2:31" ht="13.5" thickBot="1">
      <c r="B96" s="1145"/>
      <c r="C96" s="1612"/>
      <c r="D96" s="1146"/>
      <c r="E96" s="1147" t="s">
        <v>1031</v>
      </c>
      <c r="F96" s="1673">
        <f>ROUND(SUM(F93:F95),2)</f>
        <v>15159.2</v>
      </c>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row>
    <row r="97" spans="2:31" ht="13.5" thickTop="1">
      <c r="B97" s="1149"/>
      <c r="C97" s="1613"/>
      <c r="D97" s="1149"/>
      <c r="E97" s="1150"/>
      <c r="F97" s="1151"/>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row>
    <row r="98" spans="2:31" ht="13.5" thickBot="1">
      <c r="B98" s="1149"/>
      <c r="C98" s="1613"/>
      <c r="D98" s="1149"/>
      <c r="E98" s="1150"/>
      <c r="F98" s="1151"/>
      <c r="I98" s="1083"/>
      <c r="J98" s="1083"/>
      <c r="K98" s="1083"/>
      <c r="L98" s="1083"/>
      <c r="M98" s="1083"/>
      <c r="N98" s="1083"/>
      <c r="O98" s="1083"/>
      <c r="P98" s="1083"/>
      <c r="Q98" s="1083"/>
      <c r="R98" s="1083"/>
      <c r="S98" s="1083"/>
      <c r="T98" s="1083"/>
      <c r="U98" s="1083"/>
      <c r="V98" s="1083"/>
      <c r="W98" s="1083"/>
      <c r="X98" s="1083"/>
      <c r="Y98" s="1083"/>
      <c r="Z98" s="1083"/>
      <c r="AA98" s="1083"/>
      <c r="AB98" s="1083"/>
      <c r="AC98" s="1083"/>
      <c r="AD98" s="1083"/>
      <c r="AE98" s="1083"/>
    </row>
    <row r="99" spans="2:31" ht="14.25" thickTop="1" thickBot="1">
      <c r="B99" s="3290" t="s">
        <v>1522</v>
      </c>
      <c r="C99" s="1670"/>
      <c r="D99" s="1671"/>
      <c r="E99" s="1671"/>
      <c r="F99" s="1672"/>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row>
    <row r="100" spans="2:31" ht="13.5" thickTop="1">
      <c r="B100" s="1137" t="s">
        <v>1085</v>
      </c>
      <c r="C100" s="1610">
        <v>1.05</v>
      </c>
      <c r="D100" s="1138" t="s">
        <v>2</v>
      </c>
      <c r="E100" s="3286">
        <f>+$F$25</f>
        <v>8154.9</v>
      </c>
      <c r="F100" s="1140">
        <f>C100*E100</f>
        <v>8562.65</v>
      </c>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row>
    <row r="101" spans="2:31">
      <c r="B101" s="1141" t="s">
        <v>1087</v>
      </c>
      <c r="C101" s="1611">
        <v>2.4700000000000002</v>
      </c>
      <c r="D101" s="1142" t="s">
        <v>126</v>
      </c>
      <c r="E101" s="1143">
        <f>+$F$62</f>
        <v>2913</v>
      </c>
      <c r="F101" s="1144">
        <f>C101*E101</f>
        <v>7195.11</v>
      </c>
      <c r="I101" s="1083"/>
      <c r="J101" s="1083"/>
      <c r="K101" s="1083"/>
      <c r="L101" s="1083"/>
      <c r="M101" s="1083"/>
      <c r="N101" s="1083"/>
      <c r="O101" s="1083"/>
      <c r="P101" s="1083"/>
      <c r="Q101" s="1083"/>
      <c r="R101" s="1083"/>
      <c r="S101" s="1083"/>
      <c r="T101" s="1083"/>
      <c r="U101" s="1083"/>
      <c r="V101" s="1083"/>
      <c r="W101" s="1083"/>
      <c r="X101" s="1083"/>
      <c r="Y101" s="1083"/>
      <c r="Z101" s="1083"/>
      <c r="AA101" s="1083"/>
      <c r="AB101" s="1083"/>
      <c r="AC101" s="1083"/>
      <c r="AD101" s="1083"/>
      <c r="AE101" s="1083"/>
    </row>
    <row r="102" spans="2:31">
      <c r="B102" s="1141" t="s">
        <v>1089</v>
      </c>
      <c r="C102" s="1611">
        <f>1/0.3</f>
        <v>3.33</v>
      </c>
      <c r="D102" s="1152" t="s">
        <v>11</v>
      </c>
      <c r="E102" s="1143">
        <v>1200</v>
      </c>
      <c r="F102" s="1144">
        <f>C102*E102</f>
        <v>3996</v>
      </c>
      <c r="I102" s="1083"/>
      <c r="J102" s="1083"/>
      <c r="K102" s="1083"/>
      <c r="L102" s="1083"/>
      <c r="M102" s="1083"/>
      <c r="N102" s="1083"/>
      <c r="O102" s="1083"/>
      <c r="P102" s="1083"/>
      <c r="Q102" s="1083"/>
      <c r="R102" s="1083"/>
      <c r="S102" s="1083"/>
      <c r="T102" s="1083"/>
      <c r="U102" s="1083"/>
      <c r="V102" s="1083"/>
      <c r="W102" s="1083"/>
      <c r="X102" s="1083"/>
      <c r="Y102" s="1083"/>
      <c r="Z102" s="1083"/>
      <c r="AA102" s="1083"/>
      <c r="AB102" s="1083"/>
      <c r="AC102" s="1083"/>
      <c r="AD102" s="1083"/>
      <c r="AE102" s="1083"/>
    </row>
    <row r="103" spans="2:31" ht="13.5" thickBot="1">
      <c r="B103" s="1145"/>
      <c r="C103" s="1612"/>
      <c r="D103" s="1146"/>
      <c r="E103" s="1147" t="s">
        <v>1031</v>
      </c>
      <c r="F103" s="1673">
        <f>ROUND(SUM(F100:F102),2)</f>
        <v>19753.759999999998</v>
      </c>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row>
    <row r="104" spans="2:31" ht="14.25" thickTop="1" thickBot="1">
      <c r="B104" s="1149"/>
      <c r="C104" s="1613"/>
      <c r="D104" s="1149"/>
      <c r="E104" s="1150"/>
      <c r="F104" s="1151"/>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row>
    <row r="105" spans="2:31" ht="14.25" thickTop="1" thickBot="1">
      <c r="B105" s="3290" t="s">
        <v>1523</v>
      </c>
      <c r="C105" s="1670"/>
      <c r="D105" s="1671"/>
      <c r="E105" s="1676"/>
      <c r="F105" s="1672"/>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row>
    <row r="106" spans="2:31" ht="13.5" thickTop="1">
      <c r="B106" s="1137" t="s">
        <v>1085</v>
      </c>
      <c r="C106" s="1610">
        <v>1.05</v>
      </c>
      <c r="D106" s="1138" t="s">
        <v>2</v>
      </c>
      <c r="E106" s="1143">
        <f>+$F$25</f>
        <v>8154.9</v>
      </c>
      <c r="F106" s="1140">
        <f>C106*E106</f>
        <v>8562.65</v>
      </c>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row>
    <row r="107" spans="2:31">
      <c r="B107" s="1141" t="s">
        <v>1087</v>
      </c>
      <c r="C107" s="1611">
        <v>0.51</v>
      </c>
      <c r="D107" s="1142" t="s">
        <v>126</v>
      </c>
      <c r="E107" s="1143">
        <f>+$F$62</f>
        <v>2913</v>
      </c>
      <c r="F107" s="1144">
        <f>C107*E107</f>
        <v>1485.63</v>
      </c>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row>
    <row r="108" spans="2:31">
      <c r="B108" s="1141" t="s">
        <v>1089</v>
      </c>
      <c r="C108" s="1611">
        <f>1/0.3</f>
        <v>3.33</v>
      </c>
      <c r="D108" s="1152" t="s">
        <v>11</v>
      </c>
      <c r="E108" s="1143">
        <v>1200</v>
      </c>
      <c r="F108" s="1144">
        <f>C108*E108</f>
        <v>3996</v>
      </c>
      <c r="I108" s="1083"/>
      <c r="J108" s="1083"/>
      <c r="K108" s="1083"/>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row>
    <row r="109" spans="2:31" ht="13.5" thickBot="1">
      <c r="B109" s="1145"/>
      <c r="C109" s="1612"/>
      <c r="D109" s="1146"/>
      <c r="E109" s="1147" t="s">
        <v>1031</v>
      </c>
      <c r="F109" s="1673">
        <f>ROUND(SUM(F106:F108),2)</f>
        <v>14044.28</v>
      </c>
      <c r="I109" s="1083"/>
      <c r="J109" s="1083"/>
      <c r="K109" s="1083"/>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row>
    <row r="110" spans="2:31" ht="14.25" thickTop="1" thickBot="1">
      <c r="B110" s="1149"/>
      <c r="C110" s="1613"/>
      <c r="D110" s="1149"/>
      <c r="E110" s="1150"/>
      <c r="F110" s="1151"/>
      <c r="I110" s="1083"/>
      <c r="J110" s="1083"/>
      <c r="K110" s="1083"/>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row>
    <row r="111" spans="2:31" ht="14.25" thickTop="1" thickBot="1">
      <c r="B111" s="3291" t="s">
        <v>1524</v>
      </c>
      <c r="C111" s="1670"/>
      <c r="D111" s="1671"/>
      <c r="E111" s="1676"/>
      <c r="F111" s="1672"/>
      <c r="I111" s="1083"/>
      <c r="J111" s="1083"/>
      <c r="K111" s="1083"/>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row>
    <row r="112" spans="2:31" ht="13.5" thickTop="1">
      <c r="B112" s="1137" t="s">
        <v>1085</v>
      </c>
      <c r="C112" s="1610">
        <v>1.05</v>
      </c>
      <c r="D112" s="1138" t="s">
        <v>2</v>
      </c>
      <c r="E112" s="1143">
        <f>+$F$25</f>
        <v>8154.9</v>
      </c>
      <c r="F112" s="1140">
        <f>C112*E112</f>
        <v>8562.65</v>
      </c>
      <c r="I112" s="1083"/>
      <c r="J112" s="1083"/>
      <c r="K112" s="1083"/>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row>
    <row r="113" spans="2:31">
      <c r="B113" s="1141" t="s">
        <v>1087</v>
      </c>
      <c r="C113" s="1611">
        <v>2.81</v>
      </c>
      <c r="D113" s="1142" t="s">
        <v>126</v>
      </c>
      <c r="E113" s="1143">
        <f>+$F$62</f>
        <v>2913</v>
      </c>
      <c r="F113" s="1144">
        <f>C113*E113</f>
        <v>8185.53</v>
      </c>
      <c r="I113" s="1083"/>
      <c r="J113" s="1083"/>
      <c r="K113" s="1083"/>
      <c r="L113" s="1083"/>
      <c r="M113" s="1083"/>
      <c r="N113" s="1083"/>
      <c r="O113" s="1083"/>
      <c r="P113" s="1083"/>
      <c r="Q113" s="1083"/>
      <c r="R113" s="1083"/>
      <c r="S113" s="1083"/>
      <c r="T113" s="1083"/>
      <c r="U113" s="1083"/>
      <c r="V113" s="1083"/>
      <c r="W113" s="1083"/>
      <c r="X113" s="1083"/>
      <c r="Y113" s="1083"/>
      <c r="Z113" s="1083"/>
      <c r="AA113" s="1083"/>
      <c r="AB113" s="1083"/>
      <c r="AC113" s="1083"/>
      <c r="AD113" s="1083"/>
      <c r="AE113" s="1083"/>
    </row>
    <row r="114" spans="2:31">
      <c r="B114" s="1141" t="s">
        <v>1089</v>
      </c>
      <c r="C114" s="1611">
        <f>1/0.25</f>
        <v>4</v>
      </c>
      <c r="D114" s="1152" t="s">
        <v>11</v>
      </c>
      <c r="E114" s="1143">
        <v>1200</v>
      </c>
      <c r="F114" s="1144">
        <f>C114*E114</f>
        <v>4800</v>
      </c>
      <c r="I114" s="1083"/>
      <c r="J114" s="1083"/>
      <c r="K114" s="1083"/>
      <c r="L114" s="1083"/>
      <c r="M114" s="1083"/>
      <c r="N114" s="1083"/>
      <c r="O114" s="1083"/>
      <c r="P114" s="1083"/>
      <c r="Q114" s="1083"/>
      <c r="R114" s="1083"/>
      <c r="S114" s="1083"/>
      <c r="T114" s="1083"/>
      <c r="U114" s="1083"/>
      <c r="V114" s="1083"/>
      <c r="W114" s="1083"/>
      <c r="X114" s="1083"/>
      <c r="Y114" s="1083"/>
      <c r="Z114" s="1083"/>
      <c r="AA114" s="1083"/>
      <c r="AB114" s="1083"/>
      <c r="AC114" s="1083"/>
      <c r="AD114" s="1083"/>
      <c r="AE114" s="1083"/>
    </row>
    <row r="115" spans="2:31" ht="13.5" thickBot="1">
      <c r="B115" s="1145"/>
      <c r="C115" s="1612"/>
      <c r="D115" s="1146"/>
      <c r="E115" s="1147" t="s">
        <v>1031</v>
      </c>
      <c r="F115" s="1673">
        <f>ROUND(SUM(F112:F114),2)</f>
        <v>21548.18</v>
      </c>
      <c r="I115" s="1083"/>
      <c r="J115" s="1083"/>
      <c r="K115" s="1083"/>
      <c r="L115" s="1083"/>
      <c r="M115" s="1083"/>
      <c r="N115" s="1083"/>
      <c r="O115" s="1083"/>
      <c r="P115" s="1083"/>
      <c r="Q115" s="1083"/>
      <c r="R115" s="1083"/>
      <c r="S115" s="1083"/>
      <c r="T115" s="1083"/>
      <c r="U115" s="1083"/>
      <c r="V115" s="1083"/>
      <c r="W115" s="1083"/>
      <c r="X115" s="1083"/>
      <c r="Y115" s="1083"/>
      <c r="Z115" s="1083"/>
      <c r="AA115" s="1083"/>
      <c r="AB115" s="1083"/>
      <c r="AC115" s="1083"/>
      <c r="AD115" s="1083"/>
      <c r="AE115" s="1083"/>
    </row>
    <row r="116" spans="2:31" ht="14.25" thickTop="1" thickBot="1">
      <c r="B116" s="1149"/>
      <c r="C116" s="1613"/>
      <c r="D116" s="1149"/>
      <c r="E116" s="1150"/>
      <c r="F116" s="1151"/>
      <c r="I116" s="1083"/>
      <c r="J116" s="1083"/>
      <c r="K116" s="1083"/>
      <c r="L116" s="1083"/>
      <c r="M116" s="1083"/>
      <c r="N116" s="1083"/>
      <c r="O116" s="1083"/>
      <c r="P116" s="1083"/>
      <c r="Q116" s="1083"/>
      <c r="R116" s="1083"/>
      <c r="S116" s="1083"/>
      <c r="T116" s="1083"/>
      <c r="U116" s="1083"/>
      <c r="V116" s="1083"/>
      <c r="W116" s="1083"/>
      <c r="X116" s="1083"/>
      <c r="Y116" s="1083"/>
      <c r="Z116" s="1083"/>
      <c r="AA116" s="1083"/>
      <c r="AB116" s="1083"/>
      <c r="AC116" s="1083"/>
      <c r="AD116" s="1083"/>
      <c r="AE116" s="1083"/>
    </row>
    <row r="117" spans="2:31" ht="14.25" thickTop="1" thickBot="1">
      <c r="B117" s="3291" t="s">
        <v>1524</v>
      </c>
      <c r="C117" s="1670"/>
      <c r="D117" s="1671"/>
      <c r="E117" s="1676"/>
      <c r="F117" s="1672"/>
      <c r="I117" s="1083"/>
      <c r="J117" s="1083"/>
      <c r="K117" s="1083"/>
      <c r="L117" s="1083"/>
      <c r="M117" s="1083"/>
      <c r="N117" s="1083"/>
      <c r="O117" s="1083"/>
      <c r="P117" s="1083"/>
      <c r="Q117" s="1083"/>
      <c r="R117" s="1083"/>
      <c r="S117" s="1083"/>
      <c r="T117" s="1083"/>
      <c r="U117" s="1083"/>
      <c r="V117" s="1083"/>
      <c r="W117" s="1083"/>
      <c r="X117" s="1083"/>
      <c r="Y117" s="1083"/>
      <c r="Z117" s="1083"/>
      <c r="AA117" s="1083"/>
      <c r="AB117" s="1083"/>
      <c r="AC117" s="1083"/>
      <c r="AD117" s="1083"/>
      <c r="AE117" s="1083"/>
    </row>
    <row r="118" spans="2:31" ht="13.5" thickTop="1">
      <c r="B118" s="1137" t="s">
        <v>1085</v>
      </c>
      <c r="C118" s="1610">
        <v>1.05</v>
      </c>
      <c r="D118" s="1138" t="s">
        <v>2</v>
      </c>
      <c r="E118" s="1143">
        <f>+$F$25</f>
        <v>8154.9</v>
      </c>
      <c r="F118" s="1140">
        <f>C118*E118</f>
        <v>8562.65</v>
      </c>
      <c r="I118" s="1083"/>
      <c r="J118" s="1083"/>
      <c r="K118" s="1083"/>
      <c r="L118" s="1083"/>
      <c r="M118" s="1083"/>
      <c r="N118" s="1083"/>
      <c r="O118" s="1083"/>
      <c r="P118" s="1083"/>
      <c r="Q118" s="1083"/>
      <c r="R118" s="1083"/>
      <c r="S118" s="1083"/>
      <c r="T118" s="1083"/>
      <c r="U118" s="1083"/>
      <c r="V118" s="1083"/>
      <c r="W118" s="1083"/>
      <c r="X118" s="1083"/>
      <c r="Y118" s="1083"/>
      <c r="Z118" s="1083"/>
      <c r="AA118" s="1083"/>
      <c r="AB118" s="1083"/>
      <c r="AC118" s="1083"/>
      <c r="AD118" s="1083"/>
      <c r="AE118" s="1083"/>
    </row>
    <row r="119" spans="2:31">
      <c r="B119" s="1141" t="s">
        <v>1087</v>
      </c>
      <c r="C119" s="1611">
        <v>2.81</v>
      </c>
      <c r="D119" s="1142" t="s">
        <v>126</v>
      </c>
      <c r="E119" s="1143">
        <f>+$F$62</f>
        <v>2913</v>
      </c>
      <c r="F119" s="1144">
        <f>C119*E119</f>
        <v>8185.53</v>
      </c>
      <c r="I119" s="1083"/>
      <c r="J119" s="1083"/>
      <c r="K119" s="1083"/>
      <c r="L119" s="1083"/>
      <c r="M119" s="1083"/>
      <c r="N119" s="1083"/>
      <c r="O119" s="1083"/>
      <c r="P119" s="1083"/>
      <c r="Q119" s="1083"/>
      <c r="R119" s="1083"/>
      <c r="S119" s="1083"/>
      <c r="T119" s="1083"/>
      <c r="U119" s="1083"/>
      <c r="V119" s="1083"/>
      <c r="W119" s="1083"/>
      <c r="X119" s="1083"/>
      <c r="Y119" s="1083"/>
      <c r="Z119" s="1083"/>
      <c r="AA119" s="1083"/>
      <c r="AB119" s="1083"/>
      <c r="AC119" s="1083"/>
      <c r="AD119" s="1083"/>
      <c r="AE119" s="1083"/>
    </row>
    <row r="120" spans="2:31">
      <c r="B120" s="1141" t="s">
        <v>1089</v>
      </c>
      <c r="C120" s="1611">
        <f>1/0.25</f>
        <v>4</v>
      </c>
      <c r="D120" s="1152" t="s">
        <v>11</v>
      </c>
      <c r="E120" s="1143">
        <v>120</v>
      </c>
      <c r="F120" s="1144">
        <f>C120*E120</f>
        <v>480</v>
      </c>
      <c r="I120" s="1083"/>
      <c r="J120" s="1083"/>
      <c r="K120" s="1083"/>
      <c r="L120" s="1083"/>
      <c r="M120" s="1083"/>
      <c r="N120" s="1083"/>
      <c r="O120" s="1083"/>
      <c r="P120" s="1083"/>
      <c r="Q120" s="1083"/>
      <c r="R120" s="1083"/>
      <c r="S120" s="1083"/>
      <c r="T120" s="1083"/>
      <c r="U120" s="1083"/>
      <c r="V120" s="1083"/>
      <c r="W120" s="1083"/>
      <c r="X120" s="1083"/>
      <c r="Y120" s="1083"/>
      <c r="Z120" s="1083"/>
      <c r="AA120" s="1083"/>
      <c r="AB120" s="1083"/>
      <c r="AC120" s="1083"/>
      <c r="AD120" s="1083"/>
      <c r="AE120" s="1083"/>
    </row>
    <row r="121" spans="2:31" ht="13.5" thickBot="1">
      <c r="B121" s="1145"/>
      <c r="C121" s="1612"/>
      <c r="D121" s="1146"/>
      <c r="E121" s="1147" t="s">
        <v>1031</v>
      </c>
      <c r="F121" s="1673">
        <f>ROUND(SUM(F118:F120),2)</f>
        <v>17228.18</v>
      </c>
      <c r="I121" s="1083"/>
      <c r="J121" s="1083"/>
      <c r="K121" s="1083"/>
      <c r="L121" s="1083"/>
      <c r="M121" s="1083"/>
      <c r="N121" s="1083"/>
      <c r="O121" s="1083"/>
      <c r="P121" s="1083"/>
      <c r="Q121" s="1083"/>
      <c r="R121" s="1083"/>
      <c r="S121" s="1083"/>
      <c r="T121" s="1083"/>
      <c r="U121" s="1083"/>
      <c r="V121" s="1083"/>
      <c r="W121" s="1083"/>
      <c r="X121" s="1083"/>
      <c r="Y121" s="1083"/>
      <c r="Z121" s="1083"/>
      <c r="AA121" s="1083"/>
      <c r="AB121" s="1083"/>
      <c r="AC121" s="1083"/>
      <c r="AD121" s="1083"/>
      <c r="AE121" s="1083"/>
    </row>
    <row r="122" spans="2:31" ht="14.25" thickTop="1" thickBot="1">
      <c r="B122" s="1149"/>
      <c r="C122" s="1613"/>
      <c r="D122" s="1149"/>
      <c r="E122" s="1150"/>
      <c r="F122" s="1151"/>
      <c r="I122" s="1083"/>
      <c r="J122" s="1083"/>
      <c r="K122" s="1083"/>
      <c r="L122" s="1083"/>
      <c r="M122" s="1083"/>
      <c r="N122" s="1083"/>
      <c r="O122" s="1083"/>
      <c r="P122" s="1083"/>
      <c r="Q122" s="1083"/>
      <c r="R122" s="1083"/>
      <c r="S122" s="1083"/>
      <c r="T122" s="1083"/>
      <c r="U122" s="1083"/>
      <c r="V122" s="1083"/>
      <c r="W122" s="1083"/>
      <c r="X122" s="1083"/>
      <c r="Y122" s="1083"/>
      <c r="Z122" s="1083"/>
      <c r="AA122" s="1083"/>
      <c r="AB122" s="1083"/>
      <c r="AC122" s="1083"/>
      <c r="AD122" s="1083"/>
      <c r="AE122" s="1083"/>
    </row>
    <row r="123" spans="2:31" ht="14.25" thickTop="1" thickBot="1">
      <c r="B123" s="3291" t="s">
        <v>1525</v>
      </c>
      <c r="C123" s="1670"/>
      <c r="D123" s="1671"/>
      <c r="E123" s="1676"/>
      <c r="F123" s="1672"/>
      <c r="I123" s="1083"/>
      <c r="J123" s="1083"/>
      <c r="K123" s="1083"/>
      <c r="L123" s="1083"/>
      <c r="M123" s="1083"/>
      <c r="N123" s="1083"/>
      <c r="O123" s="1083"/>
      <c r="P123" s="1083"/>
      <c r="Q123" s="1083"/>
      <c r="R123" s="1083"/>
      <c r="S123" s="1083"/>
      <c r="T123" s="1083"/>
      <c r="U123" s="1083"/>
      <c r="V123" s="1083"/>
      <c r="W123" s="1083"/>
      <c r="X123" s="1083"/>
      <c r="Y123" s="1083"/>
      <c r="Z123" s="1083"/>
      <c r="AA123" s="1083"/>
      <c r="AB123" s="1083"/>
      <c r="AC123" s="1083"/>
      <c r="AD123" s="1083"/>
      <c r="AE123" s="1083"/>
    </row>
    <row r="124" spans="2:31" ht="13.5" thickTop="1">
      <c r="B124" s="1137" t="s">
        <v>1085</v>
      </c>
      <c r="C124" s="1610">
        <v>1.05</v>
      </c>
      <c r="D124" s="1138" t="s">
        <v>2</v>
      </c>
      <c r="E124" s="1143">
        <f>+$F$25</f>
        <v>8154.9</v>
      </c>
      <c r="F124" s="1140">
        <f>C124*E124</f>
        <v>8562.65</v>
      </c>
      <c r="I124" s="1083"/>
      <c r="J124" s="1083"/>
      <c r="K124" s="1083"/>
      <c r="L124" s="1083"/>
      <c r="M124" s="1083"/>
      <c r="N124" s="1083"/>
      <c r="O124" s="1083"/>
      <c r="P124" s="1083"/>
      <c r="Q124" s="1083"/>
      <c r="R124" s="1083"/>
      <c r="S124" s="1083"/>
      <c r="T124" s="1083"/>
      <c r="U124" s="1083"/>
      <c r="V124" s="1083"/>
      <c r="W124" s="1083"/>
      <c r="X124" s="1083"/>
      <c r="Y124" s="1083"/>
      <c r="Z124" s="1083"/>
      <c r="AA124" s="1083"/>
      <c r="AB124" s="1083"/>
      <c r="AC124" s="1083"/>
      <c r="AD124" s="1083"/>
      <c r="AE124" s="1083"/>
    </row>
    <row r="125" spans="2:31">
      <c r="B125" s="1141" t="s">
        <v>1087</v>
      </c>
      <c r="C125" s="1611">
        <v>1.44</v>
      </c>
      <c r="D125" s="1142" t="s">
        <v>126</v>
      </c>
      <c r="E125" s="1143">
        <f>+$F$62</f>
        <v>2913</v>
      </c>
      <c r="F125" s="1144">
        <f>C125*E125</f>
        <v>4194.72</v>
      </c>
      <c r="I125" s="1083"/>
      <c r="J125" s="1083"/>
      <c r="K125" s="1083"/>
      <c r="L125" s="1083"/>
      <c r="M125" s="1083"/>
      <c r="N125" s="1083"/>
      <c r="O125" s="1083"/>
      <c r="P125" s="1083"/>
      <c r="Q125" s="1083"/>
      <c r="R125" s="1083"/>
      <c r="S125" s="1083"/>
      <c r="T125" s="1083"/>
      <c r="U125" s="1083"/>
      <c r="V125" s="1083"/>
      <c r="W125" s="1083"/>
      <c r="X125" s="1083"/>
      <c r="Y125" s="1083"/>
      <c r="Z125" s="1083"/>
      <c r="AA125" s="1083"/>
      <c r="AB125" s="1083"/>
      <c r="AC125" s="1083"/>
      <c r="AD125" s="1083"/>
      <c r="AE125" s="1083"/>
    </row>
    <row r="126" spans="2:31">
      <c r="B126" s="1141" t="s">
        <v>1089</v>
      </c>
      <c r="C126" s="1611">
        <f>1/0.2</f>
        <v>5</v>
      </c>
      <c r="D126" s="1152" t="s">
        <v>1</v>
      </c>
      <c r="E126" s="1143">
        <v>1200</v>
      </c>
      <c r="F126" s="1144">
        <f>C126*E126</f>
        <v>6000</v>
      </c>
      <c r="I126" s="1083"/>
      <c r="J126" s="1083"/>
      <c r="K126" s="1083"/>
      <c r="L126" s="1083"/>
      <c r="M126" s="1083"/>
      <c r="N126" s="1083"/>
      <c r="O126" s="1083"/>
      <c r="P126" s="1083"/>
      <c r="Q126" s="1083"/>
      <c r="R126" s="1083"/>
      <c r="S126" s="1083"/>
      <c r="T126" s="1083"/>
      <c r="U126" s="1083"/>
      <c r="V126" s="1083"/>
      <c r="W126" s="1083"/>
      <c r="X126" s="1083"/>
      <c r="Y126" s="1083"/>
      <c r="Z126" s="1083"/>
      <c r="AA126" s="1083"/>
      <c r="AB126" s="1083"/>
      <c r="AC126" s="1083"/>
      <c r="AD126" s="1083"/>
      <c r="AE126" s="1083"/>
    </row>
    <row r="127" spans="2:31" ht="13.5" thickBot="1">
      <c r="B127" s="1145"/>
      <c r="C127" s="1612"/>
      <c r="D127" s="1146"/>
      <c r="E127" s="1147" t="s">
        <v>1031</v>
      </c>
      <c r="F127" s="1673">
        <f>ROUND(SUM(F124:F126),2)</f>
        <v>18757.37</v>
      </c>
      <c r="I127" s="1083"/>
      <c r="J127" s="1083"/>
      <c r="K127" s="1083"/>
      <c r="L127" s="1083"/>
      <c r="M127" s="1083"/>
      <c r="N127" s="1083"/>
      <c r="O127" s="1083"/>
      <c r="P127" s="1083"/>
      <c r="Q127" s="1083"/>
      <c r="R127" s="1083"/>
      <c r="S127" s="1083"/>
      <c r="T127" s="1083"/>
      <c r="U127" s="1083"/>
      <c r="V127" s="1083"/>
      <c r="W127" s="1083"/>
      <c r="X127" s="1083"/>
      <c r="Y127" s="1083"/>
      <c r="Z127" s="1083"/>
      <c r="AA127" s="1083"/>
      <c r="AB127" s="1083"/>
      <c r="AC127" s="1083"/>
      <c r="AD127" s="1083"/>
      <c r="AE127" s="1083"/>
    </row>
    <row r="128" spans="2:31" ht="14.25" thickTop="1" thickBot="1">
      <c r="B128" s="1149"/>
      <c r="C128" s="1613"/>
      <c r="D128" s="1149"/>
      <c r="E128" s="1150"/>
      <c r="F128" s="1151"/>
      <c r="I128" s="1083"/>
      <c r="J128" s="1083"/>
      <c r="K128" s="1083"/>
      <c r="L128" s="1083"/>
      <c r="M128" s="1083"/>
      <c r="N128" s="1083"/>
      <c r="O128" s="1083"/>
      <c r="P128" s="1083"/>
      <c r="Q128" s="1083"/>
      <c r="R128" s="1083"/>
      <c r="S128" s="1083"/>
      <c r="T128" s="1083"/>
      <c r="U128" s="1083"/>
      <c r="V128" s="1083"/>
      <c r="W128" s="1083"/>
      <c r="X128" s="1083"/>
      <c r="Y128" s="1083"/>
      <c r="Z128" s="1083"/>
      <c r="AA128" s="1083"/>
      <c r="AB128" s="1083"/>
      <c r="AC128" s="1083"/>
      <c r="AD128" s="1083"/>
      <c r="AE128" s="1083"/>
    </row>
    <row r="129" spans="2:31" ht="14.25" thickTop="1" thickBot="1">
      <c r="B129" s="3291" t="s">
        <v>1526</v>
      </c>
      <c r="C129" s="1670"/>
      <c r="D129" s="1671"/>
      <c r="E129" s="1676"/>
      <c r="F129" s="1672"/>
      <c r="I129" s="1083"/>
      <c r="J129" s="1083"/>
      <c r="K129" s="1083"/>
      <c r="L129" s="1083"/>
      <c r="M129" s="1083"/>
      <c r="N129" s="1083"/>
      <c r="O129" s="1083"/>
      <c r="P129" s="1083"/>
      <c r="Q129" s="1083"/>
      <c r="R129" s="1083"/>
      <c r="S129" s="1083"/>
      <c r="T129" s="1083"/>
      <c r="U129" s="1083"/>
      <c r="V129" s="1083"/>
      <c r="W129" s="1083"/>
      <c r="X129" s="1083"/>
      <c r="Y129" s="1083"/>
      <c r="Z129" s="1083"/>
      <c r="AA129" s="1083"/>
      <c r="AB129" s="1083"/>
      <c r="AC129" s="1083"/>
      <c r="AD129" s="1083"/>
      <c r="AE129" s="1083"/>
    </row>
    <row r="130" spans="2:31" ht="13.5" thickTop="1">
      <c r="B130" s="1137" t="s">
        <v>1085</v>
      </c>
      <c r="C130" s="1610">
        <v>1.05</v>
      </c>
      <c r="D130" s="1138" t="s">
        <v>2</v>
      </c>
      <c r="E130" s="1143">
        <f>+$F$25</f>
        <v>8154.9</v>
      </c>
      <c r="F130" s="1140">
        <f>C130*E130</f>
        <v>8562.65</v>
      </c>
      <c r="I130" s="1083"/>
      <c r="J130" s="1083"/>
      <c r="K130" s="1083"/>
      <c r="L130" s="1083"/>
      <c r="M130" s="1083"/>
      <c r="N130" s="1083"/>
      <c r="O130" s="1083"/>
      <c r="P130" s="1083"/>
      <c r="Q130" s="1083"/>
      <c r="R130" s="1083"/>
      <c r="S130" s="1083"/>
      <c r="T130" s="1083"/>
      <c r="U130" s="1083"/>
      <c r="V130" s="1083"/>
      <c r="W130" s="1083"/>
      <c r="X130" s="1083"/>
      <c r="Y130" s="1083"/>
      <c r="Z130" s="1083"/>
      <c r="AA130" s="1083"/>
      <c r="AB130" s="1083"/>
      <c r="AC130" s="1083"/>
      <c r="AD130" s="1083"/>
      <c r="AE130" s="1083"/>
    </row>
    <row r="131" spans="2:31">
      <c r="B131" s="1141" t="s">
        <v>1087</v>
      </c>
      <c r="C131" s="1611">
        <v>2.59</v>
      </c>
      <c r="D131" s="1142" t="s">
        <v>126</v>
      </c>
      <c r="E131" s="1143">
        <f>+$F$62</f>
        <v>2913</v>
      </c>
      <c r="F131" s="1144">
        <f>C131*E131</f>
        <v>7544.67</v>
      </c>
      <c r="I131" s="1083"/>
      <c r="J131" s="1083"/>
      <c r="K131" s="1083"/>
      <c r="L131" s="1083"/>
      <c r="M131" s="1083"/>
      <c r="N131" s="1083"/>
      <c r="O131" s="1083"/>
      <c r="P131" s="1083"/>
      <c r="Q131" s="1083"/>
      <c r="R131" s="1083"/>
      <c r="S131" s="1083"/>
      <c r="T131" s="1083"/>
      <c r="U131" s="1083"/>
      <c r="V131" s="1083"/>
      <c r="W131" s="1083"/>
      <c r="X131" s="1083"/>
      <c r="Y131" s="1083"/>
      <c r="Z131" s="1083"/>
      <c r="AA131" s="1083"/>
      <c r="AB131" s="1083"/>
      <c r="AC131" s="1083"/>
      <c r="AD131" s="1083"/>
      <c r="AE131" s="1083"/>
    </row>
    <row r="132" spans="2:31">
      <c r="B132" s="1141" t="s">
        <v>1089</v>
      </c>
      <c r="C132" s="1611">
        <f>1/0.2</f>
        <v>5</v>
      </c>
      <c r="D132" s="1152" t="s">
        <v>11</v>
      </c>
      <c r="E132" s="1143">
        <v>1200</v>
      </c>
      <c r="F132" s="1144">
        <f>C132*E132</f>
        <v>6000</v>
      </c>
      <c r="I132" s="1083"/>
      <c r="J132" s="1083"/>
      <c r="K132" s="1083"/>
      <c r="L132" s="1083"/>
      <c r="M132" s="1083"/>
      <c r="N132" s="1083"/>
      <c r="O132" s="1083"/>
      <c r="P132" s="1083"/>
      <c r="Q132" s="1083"/>
      <c r="R132" s="1083"/>
      <c r="S132" s="1083"/>
      <c r="T132" s="1083"/>
      <c r="U132" s="1083"/>
      <c r="V132" s="1083"/>
      <c r="W132" s="1083"/>
      <c r="X132" s="1083"/>
      <c r="Y132" s="1083"/>
      <c r="Z132" s="1083"/>
      <c r="AA132" s="1083"/>
      <c r="AB132" s="1083"/>
      <c r="AC132" s="1083"/>
      <c r="AD132" s="1083"/>
      <c r="AE132" s="1083"/>
    </row>
    <row r="133" spans="2:31" ht="13.5" thickBot="1">
      <c r="B133" s="1145"/>
      <c r="C133" s="1612"/>
      <c r="D133" s="1146"/>
      <c r="E133" s="1147" t="s">
        <v>1031</v>
      </c>
      <c r="F133" s="1673">
        <f>ROUND(SUM(F130:F132),2)</f>
        <v>22107.32</v>
      </c>
      <c r="I133" s="1083"/>
      <c r="J133" s="1083"/>
      <c r="K133" s="1083"/>
      <c r="L133" s="1083"/>
      <c r="M133" s="1083"/>
      <c r="N133" s="1083"/>
      <c r="O133" s="1083"/>
      <c r="P133" s="1083"/>
      <c r="Q133" s="1083"/>
      <c r="R133" s="1083"/>
      <c r="S133" s="1083"/>
      <c r="T133" s="1083"/>
      <c r="U133" s="1083"/>
      <c r="V133" s="1083"/>
      <c r="W133" s="1083"/>
      <c r="X133" s="1083"/>
      <c r="Y133" s="1083"/>
      <c r="Z133" s="1083"/>
      <c r="AA133" s="1083"/>
      <c r="AB133" s="1083"/>
      <c r="AC133" s="1083"/>
      <c r="AD133" s="1083"/>
      <c r="AE133" s="1083"/>
    </row>
    <row r="134" spans="2:31" ht="14.25" thickTop="1" thickBot="1">
      <c r="B134" s="1149"/>
      <c r="C134" s="1613"/>
      <c r="D134" s="1149"/>
      <c r="E134" s="1150"/>
      <c r="F134" s="1151"/>
      <c r="I134" s="1083"/>
      <c r="J134" s="1083"/>
      <c r="K134" s="1083"/>
      <c r="L134" s="1083"/>
      <c r="M134" s="1083"/>
      <c r="N134" s="1083"/>
      <c r="O134" s="1083"/>
      <c r="P134" s="1083"/>
      <c r="Q134" s="1083"/>
      <c r="R134" s="1083"/>
      <c r="S134" s="1083"/>
      <c r="T134" s="1083"/>
      <c r="U134" s="1083"/>
      <c r="V134" s="1083"/>
      <c r="W134" s="1083"/>
      <c r="X134" s="1083"/>
      <c r="Y134" s="1083"/>
      <c r="Z134" s="1083"/>
      <c r="AA134" s="1083"/>
      <c r="AB134" s="1083"/>
      <c r="AC134" s="1083"/>
      <c r="AD134" s="1083"/>
      <c r="AE134" s="1083"/>
    </row>
    <row r="135" spans="2:31" ht="14.25" thickTop="1" thickBot="1">
      <c r="B135" s="3291" t="s">
        <v>1550</v>
      </c>
      <c r="C135" s="1670"/>
      <c r="D135" s="1671"/>
      <c r="E135" s="1676"/>
      <c r="F135" s="1672"/>
      <c r="I135" s="1083"/>
      <c r="J135" s="1083"/>
      <c r="K135" s="1083"/>
      <c r="L135" s="1083"/>
      <c r="M135" s="1083"/>
      <c r="N135" s="1083"/>
      <c r="O135" s="1083"/>
      <c r="P135" s="1083"/>
      <c r="Q135" s="1083"/>
      <c r="R135" s="1083"/>
      <c r="S135" s="1083"/>
      <c r="T135" s="1083"/>
      <c r="U135" s="1083"/>
      <c r="V135" s="1083"/>
      <c r="W135" s="1083"/>
      <c r="X135" s="1083"/>
      <c r="Y135" s="1083"/>
      <c r="Z135" s="1083"/>
      <c r="AA135" s="1083"/>
      <c r="AB135" s="1083"/>
      <c r="AC135" s="1083"/>
      <c r="AD135" s="1083"/>
      <c r="AE135" s="1083"/>
    </row>
    <row r="136" spans="2:31" ht="13.5" thickTop="1">
      <c r="B136" s="1137" t="s">
        <v>1085</v>
      </c>
      <c r="C136" s="1610">
        <v>1.05</v>
      </c>
      <c r="D136" s="1138" t="s">
        <v>2</v>
      </c>
      <c r="E136" s="1143">
        <f>+$F$25</f>
        <v>8154.9</v>
      </c>
      <c r="F136" s="1140">
        <f>C136*E136</f>
        <v>8562.65</v>
      </c>
      <c r="I136" s="1083"/>
      <c r="J136" s="1083"/>
      <c r="K136" s="1083"/>
      <c r="L136" s="1083"/>
      <c r="M136" s="1083"/>
      <c r="N136" s="1083"/>
      <c r="O136" s="1083"/>
      <c r="P136" s="1083"/>
      <c r="Q136" s="1083"/>
      <c r="R136" s="1083"/>
      <c r="S136" s="1083"/>
      <c r="T136" s="1083"/>
      <c r="U136" s="1083"/>
      <c r="V136" s="1083"/>
      <c r="W136" s="1083"/>
      <c r="X136" s="1083"/>
      <c r="Y136" s="1083"/>
      <c r="Z136" s="1083"/>
      <c r="AA136" s="1083"/>
      <c r="AB136" s="1083"/>
      <c r="AC136" s="1083"/>
      <c r="AD136" s="1083"/>
      <c r="AE136" s="1083"/>
    </row>
    <row r="137" spans="2:31">
      <c r="B137" s="1141" t="s">
        <v>1087</v>
      </c>
      <c r="C137" s="1611">
        <v>4.24</v>
      </c>
      <c r="D137" s="1142" t="s">
        <v>126</v>
      </c>
      <c r="E137" s="1143">
        <f>+$F$62</f>
        <v>2913</v>
      </c>
      <c r="F137" s="1144">
        <f>C137*E137</f>
        <v>12351.12</v>
      </c>
      <c r="I137" s="1083"/>
      <c r="J137" s="1083"/>
      <c r="K137" s="1083"/>
      <c r="L137" s="1083"/>
      <c r="M137" s="1083"/>
      <c r="N137" s="1083"/>
      <c r="O137" s="1083"/>
      <c r="P137" s="1083"/>
      <c r="Q137" s="1083"/>
      <c r="R137" s="1083"/>
      <c r="S137" s="1083"/>
      <c r="T137" s="1083"/>
      <c r="U137" s="1083"/>
      <c r="V137" s="1083"/>
      <c r="W137" s="1083"/>
      <c r="X137" s="1083"/>
      <c r="Y137" s="1083"/>
      <c r="Z137" s="1083"/>
      <c r="AA137" s="1083"/>
      <c r="AB137" s="1083"/>
      <c r="AC137" s="1083"/>
      <c r="AD137" s="1083"/>
      <c r="AE137" s="1083"/>
    </row>
    <row r="138" spans="2:31">
      <c r="B138" s="1141" t="s">
        <v>1089</v>
      </c>
      <c r="C138" s="1611">
        <f>1/0.2</f>
        <v>5</v>
      </c>
      <c r="D138" s="1152" t="s">
        <v>11</v>
      </c>
      <c r="E138" s="1143">
        <v>1200</v>
      </c>
      <c r="F138" s="1144">
        <f>C138*E138</f>
        <v>6000</v>
      </c>
      <c r="I138" s="1083"/>
      <c r="J138" s="1083"/>
      <c r="K138" s="1083"/>
      <c r="L138" s="1083"/>
      <c r="M138" s="1083"/>
      <c r="N138" s="1083"/>
      <c r="O138" s="1083"/>
      <c r="P138" s="1083"/>
      <c r="Q138" s="1083"/>
      <c r="R138" s="1083"/>
      <c r="S138" s="1083"/>
      <c r="T138" s="1083"/>
      <c r="U138" s="1083"/>
      <c r="V138" s="1083"/>
      <c r="W138" s="1083"/>
      <c r="X138" s="1083"/>
      <c r="Y138" s="1083"/>
      <c r="Z138" s="1083"/>
      <c r="AA138" s="1083"/>
      <c r="AB138" s="1083"/>
      <c r="AC138" s="1083"/>
      <c r="AD138" s="1083"/>
      <c r="AE138" s="1083"/>
    </row>
    <row r="139" spans="2:31" ht="13.5" thickBot="1">
      <c r="B139" s="1145"/>
      <c r="C139" s="1612"/>
      <c r="D139" s="1146"/>
      <c r="E139" s="1147" t="s">
        <v>1031</v>
      </c>
      <c r="F139" s="1673">
        <f>ROUND(SUM(F136:F138),2)</f>
        <v>26913.77</v>
      </c>
      <c r="I139" s="1083"/>
      <c r="J139" s="1083"/>
      <c r="K139" s="1083"/>
      <c r="L139" s="1083"/>
      <c r="M139" s="1083"/>
      <c r="N139" s="1083"/>
      <c r="O139" s="1083"/>
      <c r="P139" s="1083"/>
      <c r="Q139" s="1083"/>
      <c r="R139" s="1083"/>
      <c r="S139" s="1083"/>
      <c r="T139" s="1083"/>
      <c r="U139" s="1083"/>
      <c r="V139" s="1083"/>
      <c r="W139" s="1083"/>
      <c r="X139" s="1083"/>
      <c r="Y139" s="1083"/>
      <c r="Z139" s="1083"/>
      <c r="AA139" s="1083"/>
      <c r="AB139" s="1083"/>
      <c r="AC139" s="1083"/>
      <c r="AD139" s="1083"/>
      <c r="AE139" s="1083"/>
    </row>
    <row r="140" spans="2:31" ht="14.25" thickTop="1" thickBot="1">
      <c r="B140" s="1149"/>
      <c r="C140" s="1613"/>
      <c r="D140" s="1149"/>
      <c r="E140" s="1150"/>
      <c r="F140" s="1151"/>
      <c r="I140" s="1083"/>
      <c r="J140" s="1083"/>
      <c r="K140" s="1083"/>
      <c r="L140" s="1083"/>
      <c r="M140" s="1083"/>
      <c r="N140" s="1083"/>
      <c r="O140" s="1083"/>
      <c r="P140" s="1083"/>
      <c r="Q140" s="1083"/>
      <c r="R140" s="1083"/>
      <c r="S140" s="1083"/>
      <c r="T140" s="1083"/>
      <c r="U140" s="1083"/>
      <c r="V140" s="1083"/>
      <c r="W140" s="1083"/>
      <c r="X140" s="1083"/>
      <c r="Y140" s="1083"/>
      <c r="Z140" s="1083"/>
      <c r="AA140" s="1083"/>
      <c r="AB140" s="1083"/>
      <c r="AC140" s="1083"/>
      <c r="AD140" s="1083"/>
      <c r="AE140" s="1083"/>
    </row>
    <row r="141" spans="2:31" ht="14.25" thickTop="1" thickBot="1">
      <c r="B141" s="3291" t="s">
        <v>1528</v>
      </c>
      <c r="C141" s="1670"/>
      <c r="D141" s="1671"/>
      <c r="E141" s="1676"/>
      <c r="F141" s="1672"/>
      <c r="I141" s="1083"/>
      <c r="J141" s="1083"/>
      <c r="K141" s="1083"/>
      <c r="L141" s="1083"/>
      <c r="M141" s="1083"/>
      <c r="N141" s="1083"/>
      <c r="O141" s="1083"/>
      <c r="P141" s="1083"/>
      <c r="Q141" s="1083"/>
      <c r="R141" s="1083"/>
      <c r="S141" s="1083"/>
      <c r="T141" s="1083"/>
      <c r="U141" s="1083"/>
      <c r="V141" s="1083"/>
      <c r="W141" s="1083"/>
      <c r="X141" s="1083"/>
      <c r="Y141" s="1083"/>
      <c r="Z141" s="1083"/>
      <c r="AA141" s="1083"/>
      <c r="AB141" s="1083"/>
      <c r="AC141" s="1083"/>
      <c r="AD141" s="1083"/>
      <c r="AE141" s="1083"/>
    </row>
    <row r="142" spans="2:31" ht="13.5" thickTop="1">
      <c r="B142" s="1137" t="s">
        <v>1085</v>
      </c>
      <c r="C142" s="1610">
        <v>1.05</v>
      </c>
      <c r="D142" s="1138" t="s">
        <v>2</v>
      </c>
      <c r="E142" s="1143">
        <f>+$F$25</f>
        <v>8154.9</v>
      </c>
      <c r="F142" s="1140">
        <f>C142*E142</f>
        <v>8562.65</v>
      </c>
      <c r="I142" s="1083"/>
      <c r="J142" s="1083"/>
      <c r="K142" s="1083"/>
      <c r="L142" s="1083"/>
      <c r="M142" s="1083"/>
      <c r="N142" s="1083"/>
      <c r="O142" s="1083"/>
      <c r="P142" s="1083"/>
      <c r="Q142" s="1083"/>
      <c r="R142" s="1083"/>
      <c r="S142" s="1083"/>
      <c r="T142" s="1083"/>
      <c r="U142" s="1083"/>
      <c r="V142" s="1083"/>
      <c r="W142" s="1083"/>
      <c r="X142" s="1083"/>
      <c r="Y142" s="1083"/>
      <c r="Z142" s="1083"/>
      <c r="AA142" s="1083"/>
      <c r="AB142" s="1083"/>
      <c r="AC142" s="1083"/>
      <c r="AD142" s="1083"/>
      <c r="AE142" s="1083"/>
    </row>
    <row r="143" spans="2:31">
      <c r="B143" s="1141" t="s">
        <v>1087</v>
      </c>
      <c r="C143" s="1611">
        <v>2.11</v>
      </c>
      <c r="D143" s="1142" t="s">
        <v>126</v>
      </c>
      <c r="E143" s="1143">
        <f>+$F$62</f>
        <v>2913</v>
      </c>
      <c r="F143" s="1144">
        <f>C143*E143</f>
        <v>6146.43</v>
      </c>
      <c r="I143" s="1083"/>
      <c r="J143" s="1083"/>
      <c r="K143" s="1083"/>
      <c r="L143" s="1083"/>
      <c r="M143" s="1083"/>
      <c r="N143" s="1083"/>
      <c r="O143" s="1083"/>
      <c r="P143" s="1083"/>
      <c r="Q143" s="1083"/>
      <c r="R143" s="1083"/>
      <c r="S143" s="1083"/>
      <c r="T143" s="1083"/>
      <c r="U143" s="1083"/>
      <c r="V143" s="1083"/>
      <c r="W143" s="1083"/>
      <c r="X143" s="1083"/>
      <c r="Y143" s="1083"/>
      <c r="Z143" s="1083"/>
      <c r="AA143" s="1083"/>
      <c r="AB143" s="1083"/>
      <c r="AC143" s="1083"/>
      <c r="AD143" s="1083"/>
      <c r="AE143" s="1083"/>
    </row>
    <row r="144" spans="2:31">
      <c r="B144" s="1141" t="s">
        <v>1089</v>
      </c>
      <c r="C144" s="1611">
        <f>1/0.2</f>
        <v>5</v>
      </c>
      <c r="D144" s="1152" t="s">
        <v>11</v>
      </c>
      <c r="E144" s="1143">
        <v>1200</v>
      </c>
      <c r="F144" s="1144">
        <f>C144*E144</f>
        <v>6000</v>
      </c>
      <c r="I144" s="1083"/>
      <c r="J144" s="1083"/>
      <c r="K144" s="1083"/>
      <c r="L144" s="1083"/>
      <c r="M144" s="1083"/>
      <c r="N144" s="1083"/>
      <c r="O144" s="1083"/>
      <c r="P144" s="1083"/>
      <c r="Q144" s="1083"/>
      <c r="R144" s="1083"/>
      <c r="S144" s="1083"/>
      <c r="T144" s="1083"/>
      <c r="U144" s="1083"/>
      <c r="V144" s="1083"/>
      <c r="W144" s="1083"/>
      <c r="X144" s="1083"/>
      <c r="Y144" s="1083"/>
      <c r="Z144" s="1083"/>
      <c r="AA144" s="1083"/>
      <c r="AB144" s="1083"/>
      <c r="AC144" s="1083"/>
      <c r="AD144" s="1083"/>
      <c r="AE144" s="1083"/>
    </row>
    <row r="145" spans="2:31" ht="13.5" thickBot="1">
      <c r="B145" s="1145"/>
      <c r="C145" s="1612"/>
      <c r="D145" s="1146"/>
      <c r="E145" s="1147" t="s">
        <v>1031</v>
      </c>
      <c r="F145" s="1673">
        <f>ROUND(SUM(F142:F144),2)</f>
        <v>20709.080000000002</v>
      </c>
      <c r="I145" s="1083"/>
      <c r="J145" s="1083"/>
      <c r="K145" s="1083"/>
      <c r="L145" s="1083"/>
      <c r="M145" s="1083"/>
      <c r="N145" s="1083"/>
      <c r="O145" s="1083"/>
      <c r="P145" s="1083"/>
      <c r="Q145" s="1083"/>
      <c r="R145" s="1083"/>
      <c r="S145" s="1083"/>
      <c r="T145" s="1083"/>
      <c r="U145" s="1083"/>
      <c r="V145" s="1083"/>
      <c r="W145" s="1083"/>
      <c r="X145" s="1083"/>
      <c r="Y145" s="1083"/>
      <c r="Z145" s="1083"/>
      <c r="AA145" s="1083"/>
      <c r="AB145" s="1083"/>
      <c r="AC145" s="1083"/>
      <c r="AD145" s="1083"/>
      <c r="AE145" s="1083"/>
    </row>
    <row r="146" spans="2:31" ht="14.25" thickTop="1" thickBot="1">
      <c r="B146" s="1149"/>
      <c r="C146" s="1613"/>
      <c r="D146" s="1149"/>
      <c r="E146" s="1150"/>
      <c r="F146" s="1151"/>
      <c r="I146" s="1083"/>
      <c r="J146" s="1083"/>
      <c r="K146" s="1083"/>
      <c r="L146" s="1083"/>
      <c r="M146" s="1083"/>
      <c r="N146" s="1083"/>
      <c r="O146" s="1083"/>
      <c r="P146" s="1083"/>
      <c r="Q146" s="1083"/>
      <c r="R146" s="1083"/>
      <c r="S146" s="1083"/>
      <c r="T146" s="1083"/>
      <c r="U146" s="1083"/>
      <c r="V146" s="1083"/>
      <c r="W146" s="1083"/>
      <c r="X146" s="1083"/>
      <c r="Y146" s="1083"/>
      <c r="Z146" s="1083"/>
      <c r="AA146" s="1083"/>
      <c r="AB146" s="1083"/>
      <c r="AC146" s="1083"/>
      <c r="AD146" s="1083"/>
      <c r="AE146" s="1083"/>
    </row>
    <row r="147" spans="2:31" ht="14.25" thickTop="1" thickBot="1">
      <c r="B147" s="3291" t="s">
        <v>1529</v>
      </c>
      <c r="C147" s="1670"/>
      <c r="D147" s="1671"/>
      <c r="E147" s="1676"/>
      <c r="F147" s="1672"/>
      <c r="I147" s="1083"/>
      <c r="J147" s="1083"/>
      <c r="K147" s="1083"/>
      <c r="L147" s="1083"/>
      <c r="M147" s="1083"/>
      <c r="N147" s="1083"/>
      <c r="O147" s="1083"/>
      <c r="P147" s="1083"/>
      <c r="Q147" s="1083"/>
      <c r="R147" s="1083"/>
      <c r="S147" s="1083"/>
      <c r="T147" s="1083"/>
      <c r="U147" s="1083"/>
      <c r="V147" s="1083"/>
      <c r="W147" s="1083"/>
      <c r="X147" s="1083"/>
      <c r="Y147" s="1083"/>
      <c r="Z147" s="1083"/>
      <c r="AA147" s="1083"/>
      <c r="AB147" s="1083"/>
      <c r="AC147" s="1083"/>
      <c r="AD147" s="1083"/>
      <c r="AE147" s="1083"/>
    </row>
    <row r="148" spans="2:31" ht="13.5" thickTop="1">
      <c r="B148" s="1137" t="s">
        <v>1085</v>
      </c>
      <c r="C148" s="1610">
        <v>1.05</v>
      </c>
      <c r="D148" s="1138" t="s">
        <v>2</v>
      </c>
      <c r="E148" s="1143">
        <f>+$F$25</f>
        <v>8154.9</v>
      </c>
      <c r="F148" s="1140">
        <f>C148*E148</f>
        <v>8562.65</v>
      </c>
      <c r="I148" s="1083"/>
      <c r="J148" s="1083"/>
      <c r="K148" s="1083"/>
      <c r="L148" s="1083"/>
      <c r="M148" s="1083"/>
      <c r="N148" s="1083"/>
      <c r="O148" s="1083"/>
      <c r="P148" s="1083"/>
      <c r="Q148" s="1083"/>
      <c r="R148" s="1083"/>
      <c r="S148" s="1083"/>
      <c r="T148" s="1083"/>
      <c r="U148" s="1083"/>
      <c r="V148" s="1083"/>
      <c r="W148" s="1083"/>
      <c r="X148" s="1083"/>
      <c r="Y148" s="1083"/>
      <c r="Z148" s="1083"/>
      <c r="AA148" s="1083"/>
      <c r="AB148" s="1083"/>
      <c r="AC148" s="1083"/>
      <c r="AD148" s="1083"/>
      <c r="AE148" s="1083"/>
    </row>
    <row r="149" spans="2:31">
      <c r="B149" s="1141" t="s">
        <v>1087</v>
      </c>
      <c r="C149" s="1611">
        <v>1.27</v>
      </c>
      <c r="D149" s="1142" t="s">
        <v>126</v>
      </c>
      <c r="E149" s="1143">
        <f>+$F$62</f>
        <v>2913</v>
      </c>
      <c r="F149" s="1144">
        <f>C149*E149</f>
        <v>3699.51</v>
      </c>
      <c r="I149" s="1083"/>
      <c r="J149" s="1083"/>
      <c r="K149" s="1083"/>
      <c r="L149" s="1083"/>
      <c r="M149" s="1083"/>
      <c r="N149" s="1083"/>
      <c r="O149" s="1083"/>
      <c r="P149" s="1083"/>
      <c r="Q149" s="1083"/>
      <c r="R149" s="1083"/>
      <c r="S149" s="1083"/>
      <c r="T149" s="1083"/>
      <c r="U149" s="1083"/>
      <c r="V149" s="1083"/>
      <c r="W149" s="1083"/>
      <c r="X149" s="1083"/>
      <c r="Y149" s="1083"/>
      <c r="Z149" s="1083"/>
      <c r="AA149" s="1083"/>
      <c r="AB149" s="1083"/>
      <c r="AC149" s="1083"/>
      <c r="AD149" s="1083"/>
      <c r="AE149" s="1083"/>
    </row>
    <row r="150" spans="2:31">
      <c r="B150" s="1141" t="s">
        <v>1089</v>
      </c>
      <c r="C150" s="1611">
        <f>1/0.2</f>
        <v>5</v>
      </c>
      <c r="D150" s="1152" t="s">
        <v>11</v>
      </c>
      <c r="E150" s="1143">
        <v>1200</v>
      </c>
      <c r="F150" s="1144">
        <f>C150*E150</f>
        <v>6000</v>
      </c>
      <c r="I150" s="1083"/>
      <c r="J150" s="1083"/>
      <c r="K150" s="1083"/>
      <c r="L150" s="1083"/>
      <c r="M150" s="1083"/>
      <c r="N150" s="1083"/>
      <c r="O150" s="1083"/>
      <c r="P150" s="1083"/>
      <c r="Q150" s="1083"/>
      <c r="R150" s="1083"/>
      <c r="S150" s="1083"/>
      <c r="T150" s="1083"/>
      <c r="U150" s="1083"/>
      <c r="V150" s="1083"/>
      <c r="W150" s="1083"/>
      <c r="X150" s="1083"/>
      <c r="Y150" s="1083"/>
      <c r="Z150" s="1083"/>
      <c r="AA150" s="1083"/>
      <c r="AB150" s="1083"/>
      <c r="AC150" s="1083"/>
      <c r="AD150" s="1083"/>
      <c r="AE150" s="1083"/>
    </row>
    <row r="151" spans="2:31" ht="13.5" thickBot="1">
      <c r="B151" s="1145"/>
      <c r="C151" s="1612"/>
      <c r="D151" s="1146"/>
      <c r="E151" s="1147" t="s">
        <v>1031</v>
      </c>
      <c r="F151" s="1673">
        <f>ROUND(SUM(F148:F150),2)</f>
        <v>18262.16</v>
      </c>
      <c r="I151" s="1083"/>
      <c r="J151" s="1083"/>
      <c r="K151" s="1083"/>
      <c r="L151" s="1083"/>
      <c r="M151" s="1083"/>
      <c r="N151" s="1083"/>
      <c r="O151" s="1083"/>
      <c r="P151" s="1083"/>
      <c r="Q151" s="1083"/>
      <c r="R151" s="1083"/>
      <c r="S151" s="1083"/>
      <c r="T151" s="1083"/>
      <c r="U151" s="1083"/>
      <c r="V151" s="1083"/>
      <c r="W151" s="1083"/>
      <c r="X151" s="1083"/>
      <c r="Y151" s="1083"/>
      <c r="Z151" s="1083"/>
      <c r="AA151" s="1083"/>
      <c r="AB151" s="1083"/>
      <c r="AC151" s="1083"/>
      <c r="AD151" s="1083"/>
      <c r="AE151" s="1083"/>
    </row>
    <row r="152" spans="2:31" ht="14.25" thickTop="1" thickBot="1">
      <c r="B152" s="1149"/>
      <c r="C152" s="1613"/>
      <c r="D152" s="1149"/>
      <c r="E152" s="1150"/>
      <c r="F152" s="1151"/>
      <c r="I152" s="1083"/>
      <c r="J152" s="1083"/>
      <c r="K152" s="1083"/>
      <c r="L152" s="1083"/>
      <c r="M152" s="1083"/>
      <c r="N152" s="1083"/>
      <c r="O152" s="1083"/>
      <c r="P152" s="1083"/>
      <c r="Q152" s="1083"/>
      <c r="R152" s="1083"/>
      <c r="S152" s="1083"/>
      <c r="T152" s="1083"/>
      <c r="U152" s="1083"/>
      <c r="V152" s="1083"/>
      <c r="W152" s="1083"/>
      <c r="X152" s="1083"/>
      <c r="Y152" s="1083"/>
      <c r="Z152" s="1083"/>
      <c r="AA152" s="1083"/>
      <c r="AB152" s="1083"/>
      <c r="AC152" s="1083"/>
      <c r="AD152" s="1083"/>
      <c r="AE152" s="1083"/>
    </row>
    <row r="153" spans="2:31" ht="14.25" thickTop="1" thickBot="1">
      <c r="B153" s="3291" t="s">
        <v>1530</v>
      </c>
      <c r="C153" s="1670"/>
      <c r="D153" s="1671"/>
      <c r="E153" s="1676"/>
      <c r="F153" s="1672"/>
      <c r="I153" s="1083"/>
      <c r="J153" s="1083"/>
      <c r="K153" s="1083"/>
      <c r="L153" s="1083"/>
      <c r="M153" s="1083"/>
      <c r="N153" s="1083"/>
      <c r="O153" s="1083"/>
      <c r="P153" s="1083"/>
      <c r="Q153" s="1083"/>
      <c r="R153" s="1083"/>
      <c r="S153" s="1083"/>
      <c r="T153" s="1083"/>
      <c r="U153" s="1083"/>
      <c r="V153" s="1083"/>
      <c r="W153" s="1083"/>
      <c r="X153" s="1083"/>
      <c r="Y153" s="1083"/>
      <c r="Z153" s="1083"/>
      <c r="AA153" s="1083"/>
      <c r="AB153" s="1083"/>
      <c r="AC153" s="1083"/>
      <c r="AD153" s="1083"/>
      <c r="AE153" s="1083"/>
    </row>
    <row r="154" spans="2:31" ht="13.5" thickTop="1">
      <c r="B154" s="1137" t="s">
        <v>1085</v>
      </c>
      <c r="C154" s="1610">
        <v>1.05</v>
      </c>
      <c r="D154" s="1138" t="s">
        <v>2</v>
      </c>
      <c r="E154" s="1143">
        <f>+$F$25</f>
        <v>8154.9</v>
      </c>
      <c r="F154" s="1140">
        <f>C154*E154</f>
        <v>8562.65</v>
      </c>
      <c r="I154" s="1083"/>
      <c r="J154" s="1083"/>
      <c r="K154" s="1083"/>
      <c r="L154" s="1083"/>
      <c r="M154" s="1083"/>
      <c r="N154" s="1083"/>
      <c r="O154" s="1083"/>
      <c r="P154" s="1083"/>
      <c r="Q154" s="1083"/>
      <c r="R154" s="1083"/>
      <c r="S154" s="1083"/>
      <c r="T154" s="1083"/>
      <c r="U154" s="1083"/>
      <c r="V154" s="1083"/>
      <c r="W154" s="1083"/>
      <c r="X154" s="1083"/>
      <c r="Y154" s="1083"/>
      <c r="Z154" s="1083"/>
      <c r="AA154" s="1083"/>
      <c r="AB154" s="1083"/>
      <c r="AC154" s="1083"/>
      <c r="AD154" s="1083"/>
      <c r="AE154" s="1083"/>
    </row>
    <row r="155" spans="2:31">
      <c r="B155" s="1141" t="s">
        <v>1087</v>
      </c>
      <c r="C155" s="1611">
        <v>1.57</v>
      </c>
      <c r="D155" s="1142" t="s">
        <v>126</v>
      </c>
      <c r="E155" s="1143">
        <f>+$F$62</f>
        <v>2913</v>
      </c>
      <c r="F155" s="1144">
        <f>C155*E155</f>
        <v>4573.41</v>
      </c>
      <c r="I155" s="1083"/>
      <c r="J155" s="1083"/>
      <c r="K155" s="1083"/>
      <c r="L155" s="1083"/>
      <c r="M155" s="1083"/>
      <c r="N155" s="1083"/>
      <c r="O155" s="1083"/>
      <c r="P155" s="1083"/>
      <c r="Q155" s="1083"/>
      <c r="R155" s="1083"/>
      <c r="S155" s="1083"/>
      <c r="T155" s="1083"/>
      <c r="U155" s="1083"/>
      <c r="V155" s="1083"/>
      <c r="W155" s="1083"/>
      <c r="X155" s="1083"/>
      <c r="Y155" s="1083"/>
      <c r="Z155" s="1083"/>
      <c r="AA155" s="1083"/>
      <c r="AB155" s="1083"/>
      <c r="AC155" s="1083"/>
      <c r="AD155" s="1083"/>
      <c r="AE155" s="1083"/>
    </row>
    <row r="156" spans="2:31">
      <c r="B156" s="1141" t="s">
        <v>1089</v>
      </c>
      <c r="C156" s="1611">
        <f>1/0.15</f>
        <v>6.67</v>
      </c>
      <c r="D156" s="1152" t="s">
        <v>11</v>
      </c>
      <c r="E156" s="1143">
        <v>1000</v>
      </c>
      <c r="F156" s="1144">
        <f>C156*E156</f>
        <v>6670</v>
      </c>
      <c r="I156" s="1083"/>
      <c r="J156" s="1083"/>
      <c r="K156" s="1083"/>
      <c r="L156" s="1083"/>
      <c r="M156" s="1083"/>
      <c r="N156" s="1083"/>
      <c r="O156" s="1083"/>
      <c r="P156" s="1083"/>
      <c r="Q156" s="1083"/>
      <c r="R156" s="1083"/>
      <c r="S156" s="1083"/>
      <c r="T156" s="1083"/>
      <c r="U156" s="1083"/>
      <c r="V156" s="1083"/>
      <c r="W156" s="1083"/>
      <c r="X156" s="1083"/>
      <c r="Y156" s="1083"/>
      <c r="Z156" s="1083"/>
      <c r="AA156" s="1083"/>
      <c r="AB156" s="1083"/>
      <c r="AC156" s="1083"/>
      <c r="AD156" s="1083"/>
      <c r="AE156" s="1083"/>
    </row>
    <row r="157" spans="2:31" ht="13.5" thickBot="1">
      <c r="B157" s="1145"/>
      <c r="C157" s="1612"/>
      <c r="D157" s="1146"/>
      <c r="E157" s="1147" t="s">
        <v>1031</v>
      </c>
      <c r="F157" s="1673">
        <f>ROUND(SUM(F154:F156),2)</f>
        <v>19806.060000000001</v>
      </c>
      <c r="I157" s="1083"/>
      <c r="J157" s="1083"/>
      <c r="K157" s="1083"/>
      <c r="L157" s="1083"/>
      <c r="M157" s="1083"/>
      <c r="N157" s="1083"/>
      <c r="O157" s="1083"/>
      <c r="P157" s="1083"/>
      <c r="Q157" s="1083"/>
      <c r="R157" s="1083"/>
      <c r="S157" s="1083"/>
      <c r="T157" s="1083"/>
      <c r="U157" s="1083"/>
      <c r="V157" s="1083"/>
      <c r="W157" s="1083"/>
      <c r="X157" s="1083"/>
      <c r="Y157" s="1083"/>
      <c r="Z157" s="1083"/>
      <c r="AA157" s="1083"/>
      <c r="AB157" s="1083"/>
      <c r="AC157" s="1083"/>
      <c r="AD157" s="1083"/>
      <c r="AE157" s="1083"/>
    </row>
    <row r="158" spans="2:31" ht="14.25" thickTop="1" thickBot="1">
      <c r="B158" s="1149"/>
      <c r="C158" s="1613"/>
      <c r="D158" s="1149"/>
      <c r="E158" s="1150"/>
      <c r="F158" s="1151"/>
      <c r="I158" s="1083"/>
      <c r="J158" s="1083"/>
      <c r="K158" s="1083"/>
      <c r="L158" s="1083"/>
      <c r="M158" s="1083"/>
      <c r="N158" s="1083"/>
      <c r="O158" s="1083"/>
      <c r="P158" s="1083"/>
      <c r="Q158" s="1083"/>
      <c r="R158" s="1083"/>
      <c r="S158" s="1083"/>
      <c r="T158" s="1083"/>
      <c r="U158" s="1083"/>
      <c r="V158" s="1083"/>
      <c r="W158" s="1083"/>
      <c r="X158" s="1083"/>
      <c r="Y158" s="1083"/>
      <c r="Z158" s="1083"/>
      <c r="AA158" s="1083"/>
      <c r="AB158" s="1083"/>
      <c r="AC158" s="1083"/>
      <c r="AD158" s="1083"/>
      <c r="AE158" s="1083"/>
    </row>
    <row r="159" spans="2:31" ht="14.25" thickTop="1" thickBot="1">
      <c r="B159" s="3291" t="s">
        <v>1531</v>
      </c>
      <c r="C159" s="1670"/>
      <c r="D159" s="1671"/>
      <c r="E159" s="1676"/>
      <c r="F159" s="1672"/>
      <c r="I159" s="1083"/>
      <c r="J159" s="1083"/>
      <c r="K159" s="1083"/>
      <c r="L159" s="1083"/>
      <c r="M159" s="1083"/>
      <c r="N159" s="1083"/>
      <c r="O159" s="1083"/>
      <c r="P159" s="1083"/>
      <c r="Q159" s="1083"/>
      <c r="R159" s="1083"/>
      <c r="S159" s="1083"/>
      <c r="T159" s="1083"/>
      <c r="U159" s="1083"/>
      <c r="V159" s="1083"/>
      <c r="W159" s="1083"/>
      <c r="X159" s="1083"/>
      <c r="Y159" s="1083"/>
      <c r="Z159" s="1083"/>
      <c r="AA159" s="1083"/>
      <c r="AB159" s="1083"/>
      <c r="AC159" s="1083"/>
      <c r="AD159" s="1083"/>
      <c r="AE159" s="1083"/>
    </row>
    <row r="160" spans="2:31" ht="13.5" thickTop="1">
      <c r="B160" s="1137" t="s">
        <v>1085</v>
      </c>
      <c r="C160" s="1610">
        <v>1.05</v>
      </c>
      <c r="D160" s="1138" t="s">
        <v>2</v>
      </c>
      <c r="E160" s="1143">
        <f>+$F$25</f>
        <v>8154.9</v>
      </c>
      <c r="F160" s="1140">
        <f>C160*E160</f>
        <v>8562.65</v>
      </c>
      <c r="I160" s="1083"/>
      <c r="J160" s="1083"/>
      <c r="K160" s="1083"/>
      <c r="L160" s="1083"/>
      <c r="M160" s="1083"/>
      <c r="N160" s="1083"/>
      <c r="O160" s="1083"/>
      <c r="P160" s="1083"/>
      <c r="Q160" s="1083"/>
      <c r="R160" s="1083"/>
      <c r="S160" s="1083"/>
      <c r="T160" s="1083"/>
      <c r="U160" s="1083"/>
      <c r="V160" s="1083"/>
      <c r="W160" s="1083"/>
      <c r="X160" s="1083"/>
      <c r="Y160" s="1083"/>
      <c r="Z160" s="1083"/>
      <c r="AA160" s="1083"/>
      <c r="AB160" s="1083"/>
      <c r="AC160" s="1083"/>
      <c r="AD160" s="1083"/>
      <c r="AE160" s="1083"/>
    </row>
    <row r="161" spans="2:31">
      <c r="B161" s="1141" t="s">
        <v>1087</v>
      </c>
      <c r="C161" s="1611">
        <v>2.25</v>
      </c>
      <c r="D161" s="1142" t="s">
        <v>126</v>
      </c>
      <c r="E161" s="1143">
        <f>+$F$62</f>
        <v>2913</v>
      </c>
      <c r="F161" s="1144">
        <f>C161*E161</f>
        <v>6554.25</v>
      </c>
      <c r="I161" s="1083"/>
      <c r="J161" s="1083"/>
      <c r="K161" s="1083"/>
      <c r="L161" s="1083"/>
      <c r="M161" s="1083"/>
      <c r="N161" s="1083"/>
      <c r="O161" s="1083"/>
      <c r="P161" s="1083"/>
      <c r="Q161" s="1083"/>
      <c r="R161" s="1083"/>
      <c r="S161" s="1083"/>
      <c r="T161" s="1083"/>
      <c r="U161" s="1083"/>
      <c r="V161" s="1083"/>
      <c r="W161" s="1083"/>
      <c r="X161" s="1083"/>
      <c r="Y161" s="1083"/>
      <c r="Z161" s="1083"/>
      <c r="AA161" s="1083"/>
      <c r="AB161" s="1083"/>
      <c r="AC161" s="1083"/>
      <c r="AD161" s="1083"/>
      <c r="AE161" s="1083"/>
    </row>
    <row r="162" spans="2:31">
      <c r="B162" s="1141" t="s">
        <v>1089</v>
      </c>
      <c r="C162" s="1611">
        <f>1/0.15</f>
        <v>6.67</v>
      </c>
      <c r="D162" s="1152" t="s">
        <v>11</v>
      </c>
      <c r="E162" s="1143">
        <v>1200</v>
      </c>
      <c r="F162" s="1144">
        <f>C162*E162</f>
        <v>8004</v>
      </c>
      <c r="I162" s="1083"/>
      <c r="J162" s="1083"/>
      <c r="K162" s="1083"/>
      <c r="L162" s="1083"/>
      <c r="M162" s="1083"/>
      <c r="N162" s="1083"/>
      <c r="O162" s="1083"/>
      <c r="P162" s="1083"/>
      <c r="Q162" s="1083"/>
      <c r="R162" s="1083"/>
      <c r="S162" s="1083"/>
      <c r="T162" s="1083"/>
      <c r="U162" s="1083"/>
      <c r="V162" s="1083"/>
      <c r="W162" s="1083"/>
      <c r="X162" s="1083"/>
      <c r="Y162" s="1083"/>
      <c r="Z162" s="1083"/>
      <c r="AA162" s="1083"/>
      <c r="AB162" s="1083"/>
      <c r="AC162" s="1083"/>
      <c r="AD162" s="1083"/>
      <c r="AE162" s="1083"/>
    </row>
    <row r="163" spans="2:31" ht="13.5" thickBot="1">
      <c r="B163" s="1145"/>
      <c r="C163" s="1612"/>
      <c r="D163" s="1146"/>
      <c r="E163" s="1147" t="s">
        <v>1031</v>
      </c>
      <c r="F163" s="1673">
        <f>ROUND(SUM(F160:F162),2)</f>
        <v>23120.9</v>
      </c>
      <c r="I163" s="1083"/>
      <c r="J163" s="1083"/>
      <c r="K163" s="1083"/>
      <c r="L163" s="1083"/>
      <c r="M163" s="1083"/>
      <c r="N163" s="1083"/>
      <c r="O163" s="1083"/>
      <c r="P163" s="1083"/>
      <c r="Q163" s="1083"/>
      <c r="R163" s="1083"/>
      <c r="S163" s="1083"/>
      <c r="T163" s="1083"/>
      <c r="U163" s="1083"/>
      <c r="V163" s="1083"/>
      <c r="W163" s="1083"/>
      <c r="X163" s="1083"/>
      <c r="Y163" s="1083"/>
      <c r="Z163" s="1083"/>
      <c r="AA163" s="1083"/>
      <c r="AB163" s="1083"/>
      <c r="AC163" s="1083"/>
      <c r="AD163" s="1083"/>
      <c r="AE163" s="1083"/>
    </row>
    <row r="164" spans="2:31" ht="14.25" thickTop="1" thickBot="1">
      <c r="B164" s="1149"/>
      <c r="C164" s="1613"/>
      <c r="D164" s="1149"/>
      <c r="E164" s="1150"/>
      <c r="F164" s="1151"/>
      <c r="I164" s="1083"/>
      <c r="J164" s="1083"/>
      <c r="K164" s="1083"/>
      <c r="L164" s="1083"/>
      <c r="M164" s="1083"/>
      <c r="N164" s="1083"/>
      <c r="O164" s="1083"/>
      <c r="P164" s="1083"/>
      <c r="Q164" s="1083"/>
      <c r="R164" s="1083"/>
      <c r="S164" s="1083"/>
      <c r="T164" s="1083"/>
      <c r="U164" s="1083"/>
      <c r="V164" s="1083"/>
      <c r="W164" s="1083"/>
      <c r="X164" s="1083"/>
      <c r="Y164" s="1083"/>
      <c r="Z164" s="1083"/>
      <c r="AA164" s="1083"/>
      <c r="AB164" s="1083"/>
      <c r="AC164" s="1083"/>
      <c r="AD164" s="1083"/>
      <c r="AE164" s="1083"/>
    </row>
    <row r="165" spans="2:31" ht="14.25" thickTop="1" thickBot="1">
      <c r="B165" s="3291" t="s">
        <v>1539</v>
      </c>
      <c r="C165" s="1670"/>
      <c r="D165" s="1671"/>
      <c r="E165" s="1676"/>
      <c r="F165" s="1672"/>
      <c r="I165" s="1083"/>
      <c r="J165" s="1083"/>
      <c r="K165" s="1083"/>
      <c r="L165" s="1083"/>
      <c r="M165" s="1083"/>
      <c r="N165" s="1083"/>
      <c r="O165" s="1083"/>
      <c r="P165" s="1083"/>
      <c r="Q165" s="1083"/>
      <c r="R165" s="1083"/>
      <c r="S165" s="1083"/>
      <c r="T165" s="1083"/>
      <c r="U165" s="1083"/>
      <c r="V165" s="1083"/>
      <c r="W165" s="1083"/>
      <c r="X165" s="1083"/>
      <c r="Y165" s="1083"/>
      <c r="Z165" s="1083"/>
      <c r="AA165" s="1083"/>
      <c r="AB165" s="1083"/>
      <c r="AC165" s="1083"/>
      <c r="AD165" s="1083"/>
      <c r="AE165" s="1083"/>
    </row>
    <row r="166" spans="2:31" ht="13.5" thickTop="1">
      <c r="B166" s="1137" t="s">
        <v>1085</v>
      </c>
      <c r="C166" s="1610">
        <v>1.05</v>
      </c>
      <c r="D166" s="1138" t="s">
        <v>2</v>
      </c>
      <c r="E166" s="1143">
        <f>+$F$25</f>
        <v>8154.9</v>
      </c>
      <c r="F166" s="1140">
        <f>C166*E166</f>
        <v>8562.65</v>
      </c>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2:31">
      <c r="B167" s="1141" t="s">
        <v>1087</v>
      </c>
      <c r="C167" s="1611">
        <v>1.37</v>
      </c>
      <c r="D167" s="1142" t="s">
        <v>126</v>
      </c>
      <c r="E167" s="1143">
        <f>+$F$62</f>
        <v>2913</v>
      </c>
      <c r="F167" s="1144">
        <f>C167*E167</f>
        <v>3990.81</v>
      </c>
      <c r="I167" s="1083"/>
      <c r="J167" s="1083"/>
      <c r="K167" s="1083"/>
      <c r="L167" s="1083"/>
      <c r="M167" s="1083"/>
      <c r="N167" s="1083"/>
      <c r="O167" s="1083"/>
      <c r="P167" s="1083"/>
      <c r="Q167" s="1083"/>
      <c r="R167" s="1083"/>
      <c r="S167" s="1083"/>
      <c r="T167" s="1083"/>
      <c r="U167" s="1083"/>
      <c r="V167" s="1083"/>
      <c r="W167" s="1083"/>
      <c r="X167" s="1083"/>
      <c r="Y167" s="1083"/>
      <c r="Z167" s="1083"/>
      <c r="AA167" s="1083"/>
      <c r="AB167" s="1083"/>
      <c r="AC167" s="1083"/>
      <c r="AD167" s="1083"/>
      <c r="AE167" s="1083"/>
    </row>
    <row r="168" spans="2:31">
      <c r="B168" s="1141"/>
      <c r="C168" s="1611"/>
      <c r="D168" s="1152"/>
      <c r="E168" s="1143"/>
      <c r="F168" s="1144"/>
      <c r="I168" s="1083"/>
      <c r="J168" s="1083"/>
      <c r="K168" s="1083"/>
      <c r="L168" s="1083"/>
      <c r="M168" s="1083"/>
      <c r="N168" s="1083"/>
      <c r="O168" s="1083"/>
      <c r="P168" s="1083"/>
      <c r="Q168" s="1083"/>
      <c r="R168" s="1083"/>
      <c r="S168" s="1083"/>
      <c r="T168" s="1083"/>
      <c r="U168" s="1083"/>
      <c r="V168" s="1083"/>
      <c r="W168" s="1083"/>
      <c r="X168" s="1083"/>
      <c r="Y168" s="1083"/>
      <c r="Z168" s="1083"/>
      <c r="AA168" s="1083"/>
      <c r="AB168" s="1083"/>
      <c r="AC168" s="1083"/>
      <c r="AD168" s="1083"/>
      <c r="AE168" s="1083"/>
    </row>
    <row r="169" spans="2:31" ht="13.5" thickBot="1">
      <c r="B169" s="1145"/>
      <c r="C169" s="1612"/>
      <c r="D169" s="1146"/>
      <c r="E169" s="1147" t="s">
        <v>1031</v>
      </c>
      <c r="F169" s="1673">
        <f>ROUND(SUM(F166:F168),2)</f>
        <v>12553.46</v>
      </c>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row>
    <row r="170" spans="2:31" ht="14.25" thickTop="1" thickBot="1">
      <c r="B170" s="1149"/>
      <c r="C170" s="1613"/>
      <c r="D170" s="1149"/>
      <c r="E170" s="1150"/>
      <c r="F170" s="1151"/>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row>
    <row r="171" spans="2:31" ht="14.25" thickTop="1" thickBot="1">
      <c r="B171" s="3292" t="s">
        <v>1533</v>
      </c>
      <c r="C171" s="1670"/>
      <c r="D171" s="1671"/>
      <c r="E171" s="1676"/>
      <c r="F171" s="1672"/>
      <c r="I171" s="1083"/>
      <c r="J171" s="1083"/>
      <c r="K171" s="1083"/>
      <c r="L171" s="1083"/>
      <c r="M171" s="1083"/>
      <c r="N171" s="1083"/>
      <c r="O171" s="1083"/>
      <c r="P171" s="1083"/>
      <c r="Q171" s="1083"/>
      <c r="R171" s="1083"/>
      <c r="S171" s="1083"/>
      <c r="T171" s="1083"/>
      <c r="U171" s="1083"/>
      <c r="V171" s="1083"/>
      <c r="W171" s="1083"/>
      <c r="X171" s="1083"/>
      <c r="Y171" s="1083"/>
      <c r="Z171" s="1083"/>
      <c r="AA171" s="1083"/>
      <c r="AB171" s="1083"/>
      <c r="AC171" s="1083"/>
      <c r="AD171" s="1083"/>
      <c r="AE171" s="1083"/>
    </row>
    <row r="172" spans="2:31" ht="13.5" thickTop="1">
      <c r="B172" s="1137" t="s">
        <v>1085</v>
      </c>
      <c r="C172" s="1610">
        <v>1.05</v>
      </c>
      <c r="D172" s="1138" t="s">
        <v>2</v>
      </c>
      <c r="E172" s="1143">
        <f>+$F$25</f>
        <v>8154.9</v>
      </c>
      <c r="F172" s="1140">
        <f>C172*E172</f>
        <v>8562.65</v>
      </c>
      <c r="I172" s="1083"/>
      <c r="J172" s="1083"/>
      <c r="K172" s="1083"/>
      <c r="L172" s="1083"/>
      <c r="M172" s="1083"/>
      <c r="N172" s="1083"/>
      <c r="O172" s="1083"/>
      <c r="P172" s="1083"/>
      <c r="Q172" s="1083"/>
      <c r="R172" s="1083"/>
      <c r="S172" s="1083"/>
      <c r="T172" s="1083"/>
      <c r="U172" s="1083"/>
      <c r="V172" s="1083"/>
      <c r="W172" s="1083"/>
      <c r="X172" s="1083"/>
      <c r="Y172" s="1083"/>
      <c r="Z172" s="1083"/>
      <c r="AA172" s="1083"/>
      <c r="AB172" s="1083"/>
      <c r="AC172" s="1083"/>
      <c r="AD172" s="1083"/>
      <c r="AE172" s="1083"/>
    </row>
    <row r="173" spans="2:31">
      <c r="B173" s="1141" t="s">
        <v>1087</v>
      </c>
      <c r="C173" s="1611">
        <v>2.4500000000000002</v>
      </c>
      <c r="D173" s="1142" t="s">
        <v>126</v>
      </c>
      <c r="E173" s="1143">
        <f>+$F$62</f>
        <v>2913</v>
      </c>
      <c r="F173" s="1144">
        <f>C173*E173</f>
        <v>7136.85</v>
      </c>
      <c r="I173" s="1083"/>
      <c r="J173" s="1083"/>
      <c r="K173" s="1083"/>
      <c r="L173" s="1083"/>
      <c r="M173" s="1083"/>
      <c r="N173" s="1083"/>
      <c r="O173" s="1083"/>
      <c r="P173" s="1083"/>
      <c r="Q173" s="1083"/>
      <c r="R173" s="1083"/>
      <c r="S173" s="1083"/>
      <c r="T173" s="1083"/>
      <c r="U173" s="1083"/>
      <c r="V173" s="1083"/>
      <c r="W173" s="1083"/>
      <c r="X173" s="1083"/>
      <c r="Y173" s="1083"/>
      <c r="Z173" s="1083"/>
      <c r="AA173" s="1083"/>
      <c r="AB173" s="1083"/>
      <c r="AC173" s="1083"/>
      <c r="AD173" s="1083"/>
      <c r="AE173" s="1083"/>
    </row>
    <row r="174" spans="2:31">
      <c r="B174" s="1141"/>
      <c r="C174" s="1611"/>
      <c r="D174" s="1152"/>
      <c r="E174" s="1143"/>
      <c r="F174" s="1144"/>
      <c r="I174" s="1083"/>
      <c r="J174" s="1083"/>
      <c r="K174" s="1083"/>
      <c r="L174" s="1083"/>
      <c r="M174" s="1083"/>
      <c r="N174" s="1083"/>
      <c r="O174" s="1083"/>
      <c r="P174" s="1083"/>
      <c r="Q174" s="1083"/>
      <c r="R174" s="1083"/>
      <c r="S174" s="1083"/>
      <c r="T174" s="1083"/>
      <c r="U174" s="1083"/>
      <c r="V174" s="1083"/>
      <c r="W174" s="1083"/>
      <c r="X174" s="1083"/>
      <c r="Y174" s="1083"/>
      <c r="Z174" s="1083"/>
      <c r="AA174" s="1083"/>
      <c r="AB174" s="1083"/>
      <c r="AC174" s="1083"/>
      <c r="AD174" s="1083"/>
      <c r="AE174" s="1083"/>
    </row>
    <row r="175" spans="2:31" ht="13.5" thickBot="1">
      <c r="B175" s="1145"/>
      <c r="C175" s="1612"/>
      <c r="D175" s="1146"/>
      <c r="E175" s="1147" t="s">
        <v>1031</v>
      </c>
      <c r="F175" s="1673">
        <f>ROUND(SUM(F172:F174),2)</f>
        <v>15699.5</v>
      </c>
      <c r="I175" s="1083"/>
      <c r="J175" s="1083"/>
      <c r="K175" s="1083"/>
      <c r="L175" s="1083"/>
      <c r="M175" s="1083"/>
      <c r="N175" s="1083"/>
      <c r="O175" s="1083"/>
      <c r="P175" s="1083"/>
      <c r="Q175" s="1083"/>
      <c r="R175" s="1083"/>
      <c r="S175" s="1083"/>
      <c r="T175" s="1083"/>
      <c r="U175" s="1083"/>
      <c r="V175" s="1083"/>
      <c r="W175" s="1083"/>
      <c r="X175" s="1083"/>
      <c r="Y175" s="1083"/>
      <c r="Z175" s="1083"/>
      <c r="AA175" s="1083"/>
      <c r="AB175" s="1083"/>
      <c r="AC175" s="1083"/>
      <c r="AD175" s="1083"/>
      <c r="AE175" s="1083"/>
    </row>
    <row r="176" spans="2:31" ht="14.25" thickTop="1" thickBot="1">
      <c r="B176" s="1149"/>
      <c r="C176" s="1613"/>
      <c r="D176" s="1149"/>
      <c r="E176" s="1150"/>
      <c r="F176" s="1151"/>
      <c r="I176" s="1083"/>
      <c r="J176" s="1083"/>
      <c r="K176" s="1083"/>
      <c r="L176" s="1083"/>
      <c r="M176" s="1083"/>
      <c r="N176" s="1083"/>
      <c r="O176" s="1083"/>
      <c r="P176" s="1083"/>
      <c r="Q176" s="1083"/>
      <c r="R176" s="1083"/>
      <c r="S176" s="1083"/>
      <c r="T176" s="1083"/>
      <c r="U176" s="1083"/>
      <c r="V176" s="1083"/>
      <c r="W176" s="1083"/>
      <c r="X176" s="1083"/>
      <c r="Y176" s="1083"/>
      <c r="Z176" s="1083"/>
      <c r="AA176" s="1083"/>
      <c r="AB176" s="1083"/>
      <c r="AC176" s="1083"/>
      <c r="AD176" s="1083"/>
      <c r="AE176" s="1083"/>
    </row>
    <row r="177" spans="2:31" ht="14.25" thickTop="1" thickBot="1">
      <c r="B177" s="3292" t="s">
        <v>1535</v>
      </c>
      <c r="C177" s="1670"/>
      <c r="D177" s="1671"/>
      <c r="E177" s="1676"/>
      <c r="F177" s="1672"/>
      <c r="I177" s="1083"/>
      <c r="J177" s="1083"/>
      <c r="K177" s="1083"/>
      <c r="L177" s="1083"/>
      <c r="M177" s="1083"/>
      <c r="N177" s="1083"/>
      <c r="O177" s="1083"/>
      <c r="P177" s="1083"/>
      <c r="Q177" s="1083"/>
      <c r="R177" s="1083"/>
      <c r="S177" s="1083"/>
      <c r="T177" s="1083"/>
      <c r="U177" s="1083"/>
      <c r="V177" s="1083"/>
      <c r="W177" s="1083"/>
      <c r="X177" s="1083"/>
      <c r="Y177" s="1083"/>
      <c r="Z177" s="1083"/>
      <c r="AA177" s="1083"/>
      <c r="AB177" s="1083"/>
      <c r="AC177" s="1083"/>
      <c r="AD177" s="1083"/>
      <c r="AE177" s="1083"/>
    </row>
    <row r="178" spans="2:31" ht="13.5" thickTop="1">
      <c r="B178" s="1137" t="s">
        <v>1085</v>
      </c>
      <c r="C178" s="1610">
        <v>1.05</v>
      </c>
      <c r="D178" s="1138" t="s">
        <v>2</v>
      </c>
      <c r="E178" s="1143">
        <f>+$F$25</f>
        <v>8154.9</v>
      </c>
      <c r="F178" s="1140">
        <f>C178*E178</f>
        <v>8562.65</v>
      </c>
      <c r="I178" s="1083"/>
      <c r="J178" s="1083"/>
      <c r="K178" s="1083"/>
      <c r="L178" s="1083"/>
      <c r="M178" s="1083"/>
      <c r="N178" s="1083"/>
      <c r="O178" s="1083"/>
      <c r="P178" s="1083"/>
      <c r="Q178" s="1083"/>
      <c r="R178" s="1083"/>
      <c r="S178" s="1083"/>
      <c r="T178" s="1083"/>
      <c r="U178" s="1083"/>
      <c r="V178" s="1083"/>
      <c r="W178" s="1083"/>
      <c r="X178" s="1083"/>
      <c r="Y178" s="1083"/>
      <c r="Z178" s="1083"/>
      <c r="AA178" s="1083"/>
      <c r="AB178" s="1083"/>
      <c r="AC178" s="1083"/>
      <c r="AD178" s="1083"/>
      <c r="AE178" s="1083"/>
    </row>
    <row r="179" spans="2:31">
      <c r="B179" s="1141" t="s">
        <v>1087</v>
      </c>
      <c r="C179" s="1611">
        <v>1.32</v>
      </c>
      <c r="D179" s="1142" t="s">
        <v>126</v>
      </c>
      <c r="E179" s="1143">
        <f>+$F$62</f>
        <v>2913</v>
      </c>
      <c r="F179" s="1144">
        <f>C179*E179</f>
        <v>3845.16</v>
      </c>
      <c r="I179" s="1083"/>
      <c r="J179" s="1083"/>
      <c r="K179" s="1083"/>
      <c r="L179" s="1083"/>
      <c r="M179" s="1083"/>
      <c r="N179" s="1083"/>
      <c r="O179" s="1083"/>
      <c r="P179" s="1083"/>
      <c r="Q179" s="1083"/>
      <c r="R179" s="1083"/>
      <c r="S179" s="1083"/>
      <c r="T179" s="1083"/>
      <c r="U179" s="1083"/>
      <c r="V179" s="1083"/>
      <c r="W179" s="1083"/>
      <c r="X179" s="1083"/>
      <c r="Y179" s="1083"/>
      <c r="Z179" s="1083"/>
      <c r="AA179" s="1083"/>
      <c r="AB179" s="1083"/>
      <c r="AC179" s="1083"/>
      <c r="AD179" s="1083"/>
      <c r="AE179" s="1083"/>
    </row>
    <row r="180" spans="2:31">
      <c r="B180" s="1141"/>
      <c r="C180" s="1611"/>
      <c r="D180" s="1152"/>
      <c r="E180" s="1143"/>
      <c r="F180" s="1144"/>
      <c r="I180" s="1083"/>
      <c r="J180" s="1083"/>
      <c r="K180" s="1083"/>
      <c r="L180" s="1083"/>
      <c r="M180" s="1083"/>
      <c r="N180" s="1083"/>
      <c r="O180" s="1083"/>
      <c r="P180" s="1083"/>
      <c r="Q180" s="1083"/>
      <c r="R180" s="1083"/>
      <c r="S180" s="1083"/>
      <c r="T180" s="1083"/>
      <c r="U180" s="1083"/>
      <c r="V180" s="1083"/>
      <c r="W180" s="1083"/>
      <c r="X180" s="1083"/>
      <c r="Y180" s="1083"/>
      <c r="Z180" s="1083"/>
      <c r="AA180" s="1083"/>
      <c r="AB180" s="1083"/>
      <c r="AC180" s="1083"/>
      <c r="AD180" s="1083"/>
      <c r="AE180" s="1083"/>
    </row>
    <row r="181" spans="2:31" ht="13.5" thickBot="1">
      <c r="B181" s="1145"/>
      <c r="C181" s="1612"/>
      <c r="D181" s="1146"/>
      <c r="E181" s="1147" t="s">
        <v>1031</v>
      </c>
      <c r="F181" s="1673">
        <f>ROUND(SUM(F178:F180),2)</f>
        <v>12407.81</v>
      </c>
      <c r="I181" s="1083"/>
      <c r="J181" s="1083"/>
      <c r="K181" s="1083"/>
      <c r="L181" s="1083"/>
      <c r="M181" s="1083"/>
      <c r="N181" s="1083"/>
      <c r="O181" s="1083"/>
      <c r="P181" s="1083"/>
      <c r="Q181" s="1083"/>
      <c r="R181" s="1083"/>
      <c r="S181" s="1083"/>
      <c r="T181" s="1083"/>
      <c r="U181" s="1083"/>
      <c r="V181" s="1083"/>
      <c r="W181" s="1083"/>
      <c r="X181" s="1083"/>
      <c r="Y181" s="1083"/>
      <c r="Z181" s="1083"/>
      <c r="AA181" s="1083"/>
      <c r="AB181" s="1083"/>
      <c r="AC181" s="1083"/>
      <c r="AD181" s="1083"/>
      <c r="AE181" s="1083"/>
    </row>
    <row r="182" spans="2:31" ht="14.25" thickTop="1" thickBot="1">
      <c r="B182" s="1149"/>
      <c r="C182" s="1613"/>
      <c r="D182" s="1149"/>
      <c r="E182" s="1150"/>
      <c r="F182" s="1151"/>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row>
    <row r="183" spans="2:31" ht="14.25" thickTop="1" thickBot="1">
      <c r="B183" s="3292" t="s">
        <v>1536</v>
      </c>
      <c r="C183" s="1670"/>
      <c r="D183" s="1671"/>
      <c r="E183" s="1676"/>
      <c r="F183" s="1672"/>
      <c r="I183" s="1083"/>
      <c r="J183" s="1083"/>
      <c r="K183" s="1083"/>
      <c r="L183" s="1083"/>
      <c r="M183" s="1083"/>
      <c r="N183" s="1083"/>
      <c r="O183" s="1083"/>
      <c r="P183" s="1083"/>
      <c r="Q183" s="1083"/>
      <c r="R183" s="1083"/>
      <c r="S183" s="1083"/>
      <c r="T183" s="1083"/>
      <c r="U183" s="1083"/>
      <c r="V183" s="1083"/>
      <c r="W183" s="1083"/>
      <c r="X183" s="1083"/>
      <c r="Y183" s="1083"/>
      <c r="Z183" s="1083"/>
      <c r="AA183" s="1083"/>
      <c r="AB183" s="1083"/>
      <c r="AC183" s="1083"/>
      <c r="AD183" s="1083"/>
      <c r="AE183" s="1083"/>
    </row>
    <row r="184" spans="2:31" ht="13.5" thickTop="1">
      <c r="B184" s="1137" t="s">
        <v>1085</v>
      </c>
      <c r="C184" s="1610">
        <v>1.05</v>
      </c>
      <c r="D184" s="1138" t="s">
        <v>2</v>
      </c>
      <c r="E184" s="1143">
        <f>+$F$25</f>
        <v>8154.9</v>
      </c>
      <c r="F184" s="1140">
        <f>C184*E184</f>
        <v>8562.65</v>
      </c>
      <c r="I184" s="1083"/>
      <c r="J184" s="1083"/>
      <c r="K184" s="1083"/>
      <c r="L184" s="1083"/>
      <c r="M184" s="1083"/>
      <c r="N184" s="1083"/>
      <c r="O184" s="1083"/>
      <c r="P184" s="1083"/>
      <c r="Q184" s="1083"/>
      <c r="R184" s="1083"/>
      <c r="S184" s="1083"/>
      <c r="T184" s="1083"/>
      <c r="U184" s="1083"/>
      <c r="V184" s="1083"/>
      <c r="W184" s="1083"/>
      <c r="X184" s="1083"/>
      <c r="Y184" s="1083"/>
      <c r="Z184" s="1083"/>
      <c r="AA184" s="1083"/>
      <c r="AB184" s="1083"/>
      <c r="AC184" s="1083"/>
      <c r="AD184" s="1083"/>
      <c r="AE184" s="1083"/>
    </row>
    <row r="185" spans="2:31">
      <c r="B185" s="1141" t="s">
        <v>1087</v>
      </c>
      <c r="C185" s="1611">
        <v>1.1599999999999999</v>
      </c>
      <c r="D185" s="1142" t="s">
        <v>126</v>
      </c>
      <c r="E185" s="1143">
        <f>+$F$62</f>
        <v>2913</v>
      </c>
      <c r="F185" s="1144">
        <f>C185*E185</f>
        <v>3379.08</v>
      </c>
      <c r="I185" s="1083"/>
      <c r="J185" s="1083"/>
      <c r="K185" s="1083"/>
      <c r="L185" s="1083"/>
      <c r="M185" s="1083"/>
      <c r="N185" s="1083"/>
      <c r="O185" s="1083"/>
      <c r="P185" s="1083"/>
      <c r="Q185" s="1083"/>
      <c r="R185" s="1083"/>
      <c r="S185" s="1083"/>
      <c r="T185" s="1083"/>
      <c r="U185" s="1083"/>
      <c r="V185" s="1083"/>
      <c r="W185" s="1083"/>
      <c r="X185" s="1083"/>
      <c r="Y185" s="1083"/>
      <c r="Z185" s="1083"/>
      <c r="AA185" s="1083"/>
      <c r="AB185" s="1083"/>
      <c r="AC185" s="1083"/>
      <c r="AD185" s="1083"/>
      <c r="AE185" s="1083"/>
    </row>
    <row r="186" spans="2:31">
      <c r="B186" s="1141"/>
      <c r="C186" s="1611"/>
      <c r="D186" s="1152"/>
      <c r="E186" s="1143"/>
      <c r="F186" s="1144"/>
      <c r="I186" s="1083"/>
      <c r="J186" s="1083"/>
      <c r="K186" s="1083"/>
      <c r="L186" s="1083"/>
      <c r="M186" s="1083"/>
      <c r="N186" s="1083"/>
      <c r="O186" s="1083"/>
      <c r="P186" s="1083"/>
      <c r="Q186" s="1083"/>
      <c r="R186" s="1083"/>
      <c r="S186" s="1083"/>
      <c r="T186" s="1083"/>
      <c r="U186" s="1083"/>
      <c r="V186" s="1083"/>
      <c r="W186" s="1083"/>
      <c r="X186" s="1083"/>
      <c r="Y186" s="1083"/>
      <c r="Z186" s="1083"/>
      <c r="AA186" s="1083"/>
      <c r="AB186" s="1083"/>
      <c r="AC186" s="1083"/>
      <c r="AD186" s="1083"/>
      <c r="AE186" s="1083"/>
    </row>
    <row r="187" spans="2:31" ht="13.5" thickBot="1">
      <c r="B187" s="1145"/>
      <c r="C187" s="1612"/>
      <c r="D187" s="1146"/>
      <c r="E187" s="1147" t="s">
        <v>1031</v>
      </c>
      <c r="F187" s="1673">
        <f>ROUND(SUM(F184:F186),2)</f>
        <v>11941.73</v>
      </c>
      <c r="I187" s="1083"/>
      <c r="J187" s="1083"/>
      <c r="K187" s="1083"/>
      <c r="L187" s="1083"/>
      <c r="M187" s="1083"/>
      <c r="N187" s="1083"/>
      <c r="O187" s="1083"/>
      <c r="P187" s="1083"/>
      <c r="Q187" s="1083"/>
      <c r="R187" s="1083"/>
      <c r="S187" s="1083"/>
      <c r="T187" s="1083"/>
      <c r="U187" s="1083"/>
      <c r="V187" s="1083"/>
      <c r="W187" s="1083"/>
      <c r="X187" s="1083"/>
      <c r="Y187" s="1083"/>
      <c r="Z187" s="1083"/>
      <c r="AA187" s="1083"/>
      <c r="AB187" s="1083"/>
      <c r="AC187" s="1083"/>
      <c r="AD187" s="1083"/>
      <c r="AE187" s="1083"/>
    </row>
    <row r="188" spans="2:31" ht="14.25" thickTop="1" thickBot="1">
      <c r="B188" s="1149"/>
      <c r="C188" s="1613"/>
      <c r="D188" s="1149"/>
      <c r="E188" s="1150"/>
      <c r="F188" s="1151"/>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083"/>
      <c r="AE188" s="1083"/>
    </row>
    <row r="189" spans="2:31" ht="14.25" thickTop="1" thickBot="1">
      <c r="B189" s="3292" t="s">
        <v>1537</v>
      </c>
      <c r="C189" s="1670"/>
      <c r="D189" s="1671"/>
      <c r="E189" s="1676"/>
      <c r="F189" s="1672"/>
      <c r="I189" s="1083"/>
      <c r="J189" s="1083"/>
      <c r="K189" s="1083"/>
      <c r="L189" s="1083"/>
      <c r="M189" s="1083"/>
      <c r="N189" s="1083"/>
      <c r="O189" s="1083"/>
      <c r="P189" s="1083"/>
      <c r="Q189" s="1083"/>
      <c r="R189" s="1083"/>
      <c r="S189" s="1083"/>
      <c r="T189" s="1083"/>
      <c r="U189" s="1083"/>
      <c r="V189" s="1083"/>
      <c r="W189" s="1083"/>
      <c r="X189" s="1083"/>
      <c r="Y189" s="1083"/>
      <c r="Z189" s="1083"/>
      <c r="AA189" s="1083"/>
      <c r="AB189" s="1083"/>
      <c r="AC189" s="1083"/>
      <c r="AD189" s="1083"/>
      <c r="AE189" s="1083"/>
    </row>
    <row r="190" spans="2:31" ht="13.5" thickTop="1">
      <c r="B190" s="1137" t="s">
        <v>1085</v>
      </c>
      <c r="C190" s="1610">
        <v>1.05</v>
      </c>
      <c r="D190" s="1138" t="s">
        <v>2</v>
      </c>
      <c r="E190" s="1143">
        <f>+$F$25</f>
        <v>8154.9</v>
      </c>
      <c r="F190" s="1140">
        <f>C190*E190</f>
        <v>8562.65</v>
      </c>
      <c r="I190" s="1083"/>
      <c r="J190" s="1083"/>
      <c r="K190" s="1083"/>
      <c r="L190" s="1083"/>
      <c r="M190" s="1083"/>
      <c r="N190" s="1083"/>
      <c r="O190" s="1083"/>
      <c r="P190" s="1083"/>
      <c r="Q190" s="1083"/>
      <c r="R190" s="1083"/>
      <c r="S190" s="1083"/>
      <c r="T190" s="1083"/>
      <c r="U190" s="1083"/>
      <c r="V190" s="1083"/>
      <c r="W190" s="1083"/>
      <c r="X190" s="1083"/>
      <c r="Y190" s="1083"/>
      <c r="Z190" s="1083"/>
      <c r="AA190" s="1083"/>
      <c r="AB190" s="1083"/>
      <c r="AC190" s="1083"/>
      <c r="AD190" s="1083"/>
      <c r="AE190" s="1083"/>
    </row>
    <row r="191" spans="2:31">
      <c r="B191" s="1141" t="s">
        <v>1087</v>
      </c>
      <c r="C191" s="1611">
        <v>1.38</v>
      </c>
      <c r="D191" s="1142" t="s">
        <v>126</v>
      </c>
      <c r="E191" s="1143">
        <f>+$F$62</f>
        <v>2913</v>
      </c>
      <c r="F191" s="1144">
        <f>C191*E191</f>
        <v>4019.94</v>
      </c>
      <c r="I191" s="1083"/>
      <c r="J191" s="1083"/>
      <c r="K191" s="1083"/>
      <c r="L191" s="1083"/>
      <c r="M191" s="1083"/>
      <c r="N191" s="1083"/>
      <c r="O191" s="1083"/>
      <c r="P191" s="1083"/>
      <c r="Q191" s="1083"/>
      <c r="R191" s="1083"/>
      <c r="S191" s="1083"/>
      <c r="T191" s="1083"/>
      <c r="U191" s="1083"/>
      <c r="V191" s="1083"/>
      <c r="W191" s="1083"/>
      <c r="X191" s="1083"/>
      <c r="Y191" s="1083"/>
      <c r="Z191" s="1083"/>
      <c r="AA191" s="1083"/>
      <c r="AB191" s="1083"/>
      <c r="AC191" s="1083"/>
      <c r="AD191" s="1083"/>
      <c r="AE191" s="1083"/>
    </row>
    <row r="192" spans="2:31">
      <c r="B192" s="1141"/>
      <c r="C192" s="1611"/>
      <c r="D192" s="1152"/>
      <c r="E192" s="1143"/>
      <c r="F192" s="1144"/>
      <c r="I192" s="1083"/>
      <c r="J192" s="1083"/>
      <c r="K192" s="1083"/>
      <c r="L192" s="1083"/>
      <c r="M192" s="1083"/>
      <c r="N192" s="1083"/>
      <c r="O192" s="1083"/>
      <c r="P192" s="1083"/>
      <c r="Q192" s="1083"/>
      <c r="R192" s="1083"/>
      <c r="S192" s="1083"/>
      <c r="T192" s="1083"/>
      <c r="U192" s="1083"/>
      <c r="V192" s="1083"/>
      <c r="W192" s="1083"/>
      <c r="X192" s="1083"/>
      <c r="Y192" s="1083"/>
      <c r="Z192" s="1083"/>
      <c r="AA192" s="1083"/>
      <c r="AB192" s="1083"/>
      <c r="AC192" s="1083"/>
      <c r="AD192" s="1083"/>
      <c r="AE192" s="1083"/>
    </row>
    <row r="193" spans="2:31" ht="13.5" thickBot="1">
      <c r="B193" s="1145"/>
      <c r="C193" s="1612"/>
      <c r="D193" s="1146"/>
      <c r="E193" s="1147" t="s">
        <v>1031</v>
      </c>
      <c r="F193" s="1673">
        <f>ROUND(SUM(F190:F192),2)</f>
        <v>12582.59</v>
      </c>
      <c r="I193" s="1083"/>
      <c r="J193" s="1083"/>
      <c r="K193" s="1083"/>
      <c r="L193" s="1083"/>
      <c r="M193" s="1083"/>
      <c r="N193" s="1083"/>
      <c r="O193" s="1083"/>
      <c r="P193" s="1083"/>
      <c r="Q193" s="1083"/>
      <c r="R193" s="1083"/>
      <c r="S193" s="1083"/>
      <c r="T193" s="1083"/>
      <c r="U193" s="1083"/>
      <c r="V193" s="1083"/>
      <c r="W193" s="1083"/>
      <c r="X193" s="1083"/>
      <c r="Y193" s="1083"/>
      <c r="Z193" s="1083"/>
      <c r="AA193" s="1083"/>
      <c r="AB193" s="1083"/>
      <c r="AC193" s="1083"/>
      <c r="AD193" s="1083"/>
      <c r="AE193" s="1083"/>
    </row>
    <row r="194" spans="2:31" ht="14.25" thickTop="1" thickBot="1">
      <c r="B194" s="1149"/>
      <c r="C194" s="1613"/>
      <c r="D194" s="1149"/>
      <c r="E194" s="1150"/>
      <c r="F194" s="1151"/>
      <c r="I194" s="1083"/>
      <c r="J194" s="1083"/>
      <c r="K194" s="1083"/>
      <c r="L194" s="1083"/>
      <c r="M194" s="1083"/>
      <c r="N194" s="1083"/>
      <c r="O194" s="1083"/>
      <c r="P194" s="1083"/>
      <c r="Q194" s="1083"/>
      <c r="R194" s="1083"/>
      <c r="S194" s="1083"/>
      <c r="T194" s="1083"/>
      <c r="U194" s="1083"/>
      <c r="V194" s="1083"/>
      <c r="W194" s="1083"/>
      <c r="X194" s="1083"/>
      <c r="Y194" s="1083"/>
      <c r="Z194" s="1083"/>
      <c r="AA194" s="1083"/>
      <c r="AB194" s="1083"/>
      <c r="AC194" s="1083"/>
      <c r="AD194" s="1083"/>
      <c r="AE194" s="1083"/>
    </row>
    <row r="195" spans="2:31" ht="14.25" thickTop="1" thickBot="1">
      <c r="B195" s="3292" t="s">
        <v>1537</v>
      </c>
      <c r="C195" s="1670"/>
      <c r="D195" s="1671"/>
      <c r="E195" s="1676"/>
      <c r="F195" s="1672"/>
      <c r="I195" s="1083"/>
      <c r="J195" s="1083"/>
      <c r="K195" s="1083"/>
      <c r="L195" s="1083"/>
      <c r="M195" s="1083"/>
      <c r="N195" s="1083"/>
      <c r="O195" s="1083"/>
      <c r="P195" s="1083"/>
      <c r="Q195" s="1083"/>
      <c r="R195" s="1083"/>
      <c r="S195" s="1083"/>
      <c r="T195" s="1083"/>
      <c r="U195" s="1083"/>
      <c r="V195" s="1083"/>
      <c r="W195" s="1083"/>
      <c r="X195" s="1083"/>
      <c r="Y195" s="1083"/>
      <c r="Z195" s="1083"/>
      <c r="AA195" s="1083"/>
      <c r="AB195" s="1083"/>
      <c r="AC195" s="1083"/>
      <c r="AD195" s="1083"/>
      <c r="AE195" s="1083"/>
    </row>
    <row r="196" spans="2:31" ht="13.5" thickTop="1">
      <c r="B196" s="1137" t="s">
        <v>1085</v>
      </c>
      <c r="C196" s="1610">
        <v>1.05</v>
      </c>
      <c r="D196" s="1138" t="s">
        <v>2</v>
      </c>
      <c r="E196" s="1143">
        <f>+$F$25</f>
        <v>8154.9</v>
      </c>
      <c r="F196" s="1140">
        <f>C196*E196</f>
        <v>8562.65</v>
      </c>
      <c r="I196" s="1083"/>
      <c r="J196" s="1083"/>
      <c r="K196" s="1083"/>
      <c r="L196" s="1083"/>
      <c r="M196" s="1083"/>
      <c r="N196" s="1083"/>
      <c r="O196" s="1083"/>
      <c r="P196" s="1083"/>
      <c r="Q196" s="1083"/>
      <c r="R196" s="1083"/>
      <c r="S196" s="1083"/>
      <c r="T196" s="1083"/>
      <c r="U196" s="1083"/>
      <c r="V196" s="1083"/>
      <c r="W196" s="1083"/>
      <c r="X196" s="1083"/>
      <c r="Y196" s="1083"/>
      <c r="Z196" s="1083"/>
      <c r="AA196" s="1083"/>
      <c r="AB196" s="1083"/>
      <c r="AC196" s="1083"/>
      <c r="AD196" s="1083"/>
      <c r="AE196" s="1083"/>
    </row>
    <row r="197" spans="2:31">
      <c r="B197" s="1141" t="s">
        <v>1087</v>
      </c>
      <c r="C197" s="1611">
        <v>1.38</v>
      </c>
      <c r="D197" s="1142" t="s">
        <v>126</v>
      </c>
      <c r="E197" s="1143">
        <f>+$F$62</f>
        <v>2913</v>
      </c>
      <c r="F197" s="1144">
        <f>C197*E197</f>
        <v>4019.94</v>
      </c>
      <c r="I197" s="1083"/>
      <c r="J197" s="1083"/>
      <c r="K197" s="1083"/>
      <c r="L197" s="1083"/>
      <c r="M197" s="1083"/>
      <c r="N197" s="1083"/>
      <c r="O197" s="1083"/>
      <c r="P197" s="1083"/>
      <c r="Q197" s="1083"/>
      <c r="R197" s="1083"/>
      <c r="S197" s="1083"/>
      <c r="T197" s="1083"/>
      <c r="U197" s="1083"/>
      <c r="V197" s="1083"/>
      <c r="W197" s="1083"/>
      <c r="X197" s="1083"/>
      <c r="Y197" s="1083"/>
      <c r="Z197" s="1083"/>
      <c r="AA197" s="1083"/>
      <c r="AB197" s="1083"/>
      <c r="AC197" s="1083"/>
      <c r="AD197" s="1083"/>
      <c r="AE197" s="1083"/>
    </row>
    <row r="198" spans="2:31">
      <c r="B198" s="1141"/>
      <c r="C198" s="1611"/>
      <c r="D198" s="1152"/>
      <c r="E198" s="1143"/>
      <c r="F198" s="1144"/>
      <c r="I198" s="1083"/>
      <c r="J198" s="1083"/>
      <c r="K198" s="1083"/>
      <c r="L198" s="1083"/>
      <c r="M198" s="1083"/>
      <c r="N198" s="1083"/>
      <c r="O198" s="1083"/>
      <c r="P198" s="1083"/>
      <c r="Q198" s="1083"/>
      <c r="R198" s="1083"/>
      <c r="S198" s="1083"/>
      <c r="T198" s="1083"/>
      <c r="U198" s="1083"/>
      <c r="V198" s="1083"/>
      <c r="W198" s="1083"/>
      <c r="X198" s="1083"/>
      <c r="Y198" s="1083"/>
      <c r="Z198" s="1083"/>
      <c r="AA198" s="1083"/>
      <c r="AB198" s="1083"/>
      <c r="AC198" s="1083"/>
      <c r="AD198" s="1083"/>
      <c r="AE198" s="1083"/>
    </row>
    <row r="199" spans="2:31" ht="13.5" thickBot="1">
      <c r="B199" s="1145"/>
      <c r="C199" s="1612"/>
      <c r="D199" s="1146"/>
      <c r="E199" s="1147" t="s">
        <v>1031</v>
      </c>
      <c r="F199" s="1673">
        <f>ROUND(SUM(F196:F198),2)</f>
        <v>12582.59</v>
      </c>
      <c r="I199" s="1083"/>
      <c r="J199" s="1083"/>
      <c r="K199" s="1083"/>
      <c r="L199" s="1083"/>
      <c r="M199" s="1083"/>
      <c r="N199" s="1083"/>
      <c r="O199" s="1083"/>
      <c r="P199" s="1083"/>
      <c r="Q199" s="1083"/>
      <c r="R199" s="1083"/>
      <c r="S199" s="1083"/>
      <c r="T199" s="1083"/>
      <c r="U199" s="1083"/>
      <c r="V199" s="1083"/>
      <c r="W199" s="1083"/>
      <c r="X199" s="1083"/>
      <c r="Y199" s="1083"/>
      <c r="Z199" s="1083"/>
      <c r="AA199" s="1083"/>
      <c r="AB199" s="1083"/>
      <c r="AC199" s="1083"/>
      <c r="AD199" s="1083"/>
      <c r="AE199" s="1083"/>
    </row>
    <row r="200" spans="2:31" ht="14.25" thickTop="1" thickBot="1">
      <c r="B200" s="1149"/>
      <c r="C200" s="1613"/>
      <c r="D200" s="1149"/>
      <c r="E200" s="1150"/>
      <c r="F200" s="1151"/>
      <c r="I200" s="1083"/>
      <c r="J200" s="1083"/>
      <c r="K200" s="1083"/>
      <c r="L200" s="1083"/>
      <c r="M200" s="1083"/>
      <c r="N200" s="1083"/>
      <c r="O200" s="1083"/>
      <c r="P200" s="1083"/>
      <c r="Q200" s="1083"/>
      <c r="R200" s="1083"/>
      <c r="S200" s="1083"/>
      <c r="T200" s="1083"/>
      <c r="U200" s="1083"/>
      <c r="V200" s="1083"/>
      <c r="W200" s="1083"/>
      <c r="X200" s="1083"/>
      <c r="Y200" s="1083"/>
      <c r="Z200" s="1083"/>
      <c r="AA200" s="1083"/>
      <c r="AB200" s="1083"/>
      <c r="AC200" s="1083"/>
      <c r="AD200" s="1083"/>
      <c r="AE200" s="1083"/>
    </row>
    <row r="201" spans="2:31" ht="14.25" thickTop="1" thickBot="1">
      <c r="B201" s="3292" t="s">
        <v>1538</v>
      </c>
      <c r="C201" s="1670"/>
      <c r="D201" s="1671"/>
      <c r="E201" s="1676"/>
      <c r="F201" s="1672"/>
      <c r="I201" s="1083"/>
      <c r="J201" s="1083"/>
      <c r="K201" s="1083"/>
      <c r="L201" s="1083"/>
      <c r="M201" s="1083"/>
      <c r="N201" s="1083"/>
      <c r="O201" s="1083"/>
      <c r="P201" s="1083"/>
      <c r="Q201" s="1083"/>
      <c r="R201" s="1083"/>
      <c r="S201" s="1083"/>
      <c r="T201" s="1083"/>
      <c r="U201" s="1083"/>
      <c r="V201" s="1083"/>
      <c r="W201" s="1083"/>
      <c r="X201" s="1083"/>
      <c r="Y201" s="1083"/>
      <c r="Z201" s="1083"/>
      <c r="AA201" s="1083"/>
      <c r="AB201" s="1083"/>
      <c r="AC201" s="1083"/>
      <c r="AD201" s="1083"/>
      <c r="AE201" s="1083"/>
    </row>
    <row r="202" spans="2:31" ht="13.5" thickTop="1">
      <c r="B202" s="1137" t="s">
        <v>1085</v>
      </c>
      <c r="C202" s="1610">
        <v>1.05</v>
      </c>
      <c r="D202" s="1138" t="s">
        <v>2</v>
      </c>
      <c r="E202" s="1143">
        <f>+$F$25</f>
        <v>8154.9</v>
      </c>
      <c r="F202" s="1140">
        <f>C202*E202</f>
        <v>8562.65</v>
      </c>
      <c r="I202" s="1083"/>
      <c r="J202" s="1083"/>
      <c r="K202" s="1083"/>
      <c r="L202" s="1083"/>
      <c r="M202" s="1083"/>
      <c r="N202" s="1083"/>
      <c r="O202" s="1083"/>
      <c r="P202" s="1083"/>
      <c r="Q202" s="1083"/>
      <c r="R202" s="1083"/>
      <c r="S202" s="1083"/>
      <c r="T202" s="1083"/>
      <c r="U202" s="1083"/>
      <c r="V202" s="1083"/>
      <c r="W202" s="1083"/>
      <c r="X202" s="1083"/>
      <c r="Y202" s="1083"/>
      <c r="Z202" s="1083"/>
      <c r="AA202" s="1083"/>
      <c r="AB202" s="1083"/>
      <c r="AC202" s="1083"/>
      <c r="AD202" s="1083"/>
      <c r="AE202" s="1083"/>
    </row>
    <row r="203" spans="2:31">
      <c r="B203" s="1141" t="s">
        <v>1087</v>
      </c>
      <c r="C203" s="1611">
        <v>1.6</v>
      </c>
      <c r="D203" s="1142" t="s">
        <v>126</v>
      </c>
      <c r="E203" s="1143">
        <f>+$F$62</f>
        <v>2913</v>
      </c>
      <c r="F203" s="1144">
        <f>C203*E203</f>
        <v>4660.8</v>
      </c>
      <c r="I203" s="1083"/>
      <c r="J203" s="1083"/>
      <c r="K203" s="1083"/>
      <c r="L203" s="1083"/>
      <c r="M203" s="1083"/>
      <c r="N203" s="1083"/>
      <c r="O203" s="1083"/>
      <c r="P203" s="1083"/>
      <c r="Q203" s="1083"/>
      <c r="R203" s="1083"/>
      <c r="S203" s="1083"/>
      <c r="T203" s="1083"/>
      <c r="U203" s="1083"/>
      <c r="V203" s="1083"/>
      <c r="W203" s="1083"/>
      <c r="X203" s="1083"/>
      <c r="Y203" s="1083"/>
      <c r="Z203" s="1083"/>
      <c r="AA203" s="1083"/>
      <c r="AB203" s="1083"/>
      <c r="AC203" s="1083"/>
      <c r="AD203" s="1083"/>
      <c r="AE203" s="1083"/>
    </row>
    <row r="204" spans="2:31">
      <c r="B204" s="1141"/>
      <c r="C204" s="1611"/>
      <c r="D204" s="1152"/>
      <c r="E204" s="1143"/>
      <c r="F204" s="1144"/>
      <c r="I204" s="1083"/>
      <c r="J204" s="1083"/>
      <c r="K204" s="1083"/>
      <c r="L204" s="1083"/>
      <c r="M204" s="1083"/>
      <c r="N204" s="1083"/>
      <c r="O204" s="1083"/>
      <c r="P204" s="1083"/>
      <c r="Q204" s="1083"/>
      <c r="R204" s="1083"/>
      <c r="S204" s="1083"/>
      <c r="T204" s="1083"/>
      <c r="U204" s="1083"/>
      <c r="V204" s="1083"/>
      <c r="W204" s="1083"/>
      <c r="X204" s="1083"/>
      <c r="Y204" s="1083"/>
      <c r="Z204" s="1083"/>
      <c r="AA204" s="1083"/>
      <c r="AB204" s="1083"/>
      <c r="AC204" s="1083"/>
      <c r="AD204" s="1083"/>
      <c r="AE204" s="1083"/>
    </row>
    <row r="205" spans="2:31" ht="13.5" thickBot="1">
      <c r="B205" s="1145"/>
      <c r="C205" s="1612"/>
      <c r="D205" s="1146"/>
      <c r="E205" s="1147" t="s">
        <v>1031</v>
      </c>
      <c r="F205" s="1673">
        <f>ROUND(SUM(F202:F204),2)</f>
        <v>13223.45</v>
      </c>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row>
    <row r="206" spans="2:31" ht="14.25" thickTop="1" thickBot="1">
      <c r="B206" s="1149"/>
      <c r="C206" s="1613"/>
      <c r="D206" s="1149"/>
      <c r="E206" s="1150"/>
      <c r="F206" s="1151"/>
      <c r="I206" s="1083"/>
      <c r="J206" s="1083"/>
      <c r="K206" s="1083"/>
      <c r="L206" s="1083"/>
      <c r="M206" s="1083"/>
      <c r="N206" s="1083"/>
      <c r="O206" s="1083"/>
      <c r="P206" s="1083"/>
      <c r="Q206" s="1083"/>
      <c r="R206" s="1083"/>
      <c r="S206" s="1083"/>
      <c r="T206" s="1083"/>
      <c r="U206" s="1083"/>
      <c r="V206" s="1083"/>
      <c r="W206" s="1083"/>
      <c r="X206" s="1083"/>
      <c r="Y206" s="1083"/>
      <c r="Z206" s="1083"/>
      <c r="AA206" s="1083"/>
      <c r="AB206" s="1083"/>
      <c r="AC206" s="1083"/>
      <c r="AD206" s="1083"/>
      <c r="AE206" s="1083"/>
    </row>
    <row r="207" spans="2:31" ht="14.25" thickTop="1" thickBot="1">
      <c r="B207" s="3291" t="s">
        <v>1540</v>
      </c>
      <c r="C207" s="1670"/>
      <c r="D207" s="1671"/>
      <c r="E207" s="1676"/>
      <c r="F207" s="1672"/>
      <c r="I207" s="1083"/>
      <c r="J207" s="1083"/>
      <c r="K207" s="1083"/>
      <c r="L207" s="1083"/>
      <c r="M207" s="1083"/>
      <c r="N207" s="1083"/>
      <c r="O207" s="1083"/>
      <c r="P207" s="1083"/>
      <c r="Q207" s="1083"/>
      <c r="R207" s="1083"/>
      <c r="S207" s="1083"/>
      <c r="T207" s="1083"/>
      <c r="U207" s="1083"/>
      <c r="V207" s="1083"/>
      <c r="W207" s="1083"/>
      <c r="X207" s="1083"/>
      <c r="Y207" s="1083"/>
      <c r="Z207" s="1083"/>
      <c r="AA207" s="1083"/>
      <c r="AB207" s="1083"/>
      <c r="AC207" s="1083"/>
      <c r="AD207" s="1083"/>
      <c r="AE207" s="1083"/>
    </row>
    <row r="208" spans="2:31" ht="13.5" thickTop="1">
      <c r="B208" s="1137" t="s">
        <v>1085</v>
      </c>
      <c r="C208" s="1610">
        <v>1.05</v>
      </c>
      <c r="D208" s="1138" t="s">
        <v>2</v>
      </c>
      <c r="E208" s="1143">
        <f>+$F$25</f>
        <v>8154.9</v>
      </c>
      <c r="F208" s="1140">
        <f>C208*E208</f>
        <v>8562.65</v>
      </c>
      <c r="I208" s="1083"/>
      <c r="J208" s="1083"/>
      <c r="K208" s="1083"/>
      <c r="L208" s="1083"/>
      <c r="M208" s="1083"/>
      <c r="N208" s="1083"/>
      <c r="O208" s="1083"/>
      <c r="P208" s="1083"/>
      <c r="Q208" s="1083"/>
      <c r="R208" s="1083"/>
      <c r="S208" s="1083"/>
      <c r="T208" s="1083"/>
      <c r="U208" s="1083"/>
      <c r="V208" s="1083"/>
      <c r="W208" s="1083"/>
      <c r="X208" s="1083"/>
      <c r="Y208" s="1083"/>
      <c r="Z208" s="1083"/>
      <c r="AA208" s="1083"/>
      <c r="AB208" s="1083"/>
      <c r="AC208" s="1083"/>
      <c r="AD208" s="1083"/>
      <c r="AE208" s="1083"/>
    </row>
    <row r="209" spans="2:31">
      <c r="B209" s="1141" t="s">
        <v>1087</v>
      </c>
      <c r="C209" s="1611">
        <v>0.87</v>
      </c>
      <c r="D209" s="1142" t="s">
        <v>126</v>
      </c>
      <c r="E209" s="1143">
        <f>+F59+F61</f>
        <v>2590</v>
      </c>
      <c r="F209" s="1144">
        <f>C209*E209</f>
        <v>2253.3000000000002</v>
      </c>
      <c r="I209" s="1083"/>
      <c r="J209" s="1083"/>
      <c r="K209" s="1083"/>
      <c r="L209" s="1083"/>
      <c r="M209" s="1083"/>
      <c r="N209" s="1083"/>
      <c r="O209" s="1083"/>
      <c r="P209" s="1083"/>
      <c r="Q209" s="1083"/>
      <c r="R209" s="1083"/>
      <c r="S209" s="1083"/>
      <c r="T209" s="1083"/>
      <c r="U209" s="1083"/>
      <c r="V209" s="1083"/>
      <c r="W209" s="1083"/>
      <c r="X209" s="1083"/>
      <c r="Y209" s="1083"/>
      <c r="Z209" s="1083"/>
      <c r="AA209" s="1083"/>
      <c r="AB209" s="1083"/>
      <c r="AC209" s="1083"/>
      <c r="AD209" s="1083"/>
      <c r="AE209" s="1083"/>
    </row>
    <row r="210" spans="2:31">
      <c r="B210" s="1141" t="s">
        <v>1089</v>
      </c>
      <c r="C210" s="1611">
        <f>1/(0.9*0.35)</f>
        <v>3.17</v>
      </c>
      <c r="D210" s="1152" t="s">
        <v>1</v>
      </c>
      <c r="E210" s="1143">
        <v>110</v>
      </c>
      <c r="F210" s="1144">
        <f>C210*E210</f>
        <v>348.7</v>
      </c>
      <c r="I210" s="1083"/>
      <c r="J210" s="1083"/>
      <c r="K210" s="1083"/>
      <c r="L210" s="1083"/>
      <c r="M210" s="1083"/>
      <c r="N210" s="1083"/>
      <c r="O210" s="1083"/>
      <c r="P210" s="1083"/>
      <c r="Q210" s="1083"/>
      <c r="R210" s="1083"/>
      <c r="S210" s="1083"/>
      <c r="T210" s="1083"/>
      <c r="U210" s="1083"/>
      <c r="V210" s="1083"/>
      <c r="W210" s="1083"/>
      <c r="X210" s="1083"/>
      <c r="Y210" s="1083"/>
      <c r="Z210" s="1083"/>
      <c r="AA210" s="1083"/>
      <c r="AB210" s="1083"/>
      <c r="AC210" s="1083"/>
      <c r="AD210" s="1083"/>
      <c r="AE210" s="1083"/>
    </row>
    <row r="211" spans="2:31" ht="13.5" thickBot="1">
      <c r="B211" s="1145"/>
      <c r="C211" s="1612"/>
      <c r="D211" s="1146"/>
      <c r="E211" s="1147" t="s">
        <v>1031</v>
      </c>
      <c r="F211" s="1673">
        <f>ROUND(SUM(F208:F210),2)</f>
        <v>11164.65</v>
      </c>
      <c r="I211" s="1083"/>
      <c r="J211" s="1083"/>
      <c r="K211" s="1083"/>
      <c r="L211" s="1083"/>
      <c r="M211" s="1083"/>
      <c r="N211" s="1083"/>
      <c r="O211" s="1083"/>
      <c r="P211" s="1083"/>
      <c r="Q211" s="1083"/>
      <c r="R211" s="1083"/>
      <c r="S211" s="1083"/>
      <c r="T211" s="1083"/>
      <c r="U211" s="1083"/>
      <c r="V211" s="1083"/>
      <c r="W211" s="1083"/>
      <c r="X211" s="1083"/>
      <c r="Y211" s="1083"/>
      <c r="Z211" s="1083"/>
      <c r="AA211" s="1083"/>
      <c r="AB211" s="1083"/>
      <c r="AC211" s="1083"/>
      <c r="AD211" s="1083"/>
      <c r="AE211" s="1083"/>
    </row>
    <row r="212" spans="2:31" ht="14.25" thickTop="1" thickBot="1">
      <c r="B212" s="1149"/>
      <c r="C212" s="1613"/>
      <c r="D212" s="1149"/>
      <c r="E212" s="1150"/>
      <c r="F212" s="1151"/>
      <c r="I212" s="1083"/>
      <c r="J212" s="1083"/>
      <c r="K212" s="1083"/>
      <c r="L212" s="1083"/>
      <c r="M212" s="1083"/>
      <c r="N212" s="1083"/>
      <c r="O212" s="1083"/>
      <c r="P212" s="1083"/>
      <c r="Q212" s="1083"/>
      <c r="R212" s="1083"/>
      <c r="S212" s="1083"/>
      <c r="T212" s="1083"/>
      <c r="U212" s="1083"/>
      <c r="V212" s="1083"/>
      <c r="W212" s="1083"/>
      <c r="X212" s="1083"/>
      <c r="Y212" s="1083"/>
      <c r="Z212" s="1083"/>
      <c r="AA212" s="1083"/>
      <c r="AB212" s="1083"/>
      <c r="AC212" s="1083"/>
      <c r="AD212" s="1083"/>
      <c r="AE212" s="1083"/>
    </row>
    <row r="213" spans="2:31" ht="14.25" thickTop="1" thickBot="1">
      <c r="B213" s="3291" t="s">
        <v>1542</v>
      </c>
      <c r="C213" s="1670"/>
      <c r="D213" s="1671"/>
      <c r="E213" s="1676"/>
      <c r="F213" s="1672"/>
      <c r="I213" s="1083"/>
      <c r="J213" s="1083"/>
      <c r="K213" s="1083"/>
      <c r="L213" s="1083"/>
      <c r="M213" s="1083"/>
      <c r="N213" s="1083"/>
      <c r="O213" s="1083"/>
      <c r="P213" s="1083"/>
      <c r="Q213" s="1083"/>
      <c r="R213" s="1083"/>
      <c r="S213" s="1083"/>
      <c r="T213" s="1083"/>
      <c r="U213" s="1083"/>
      <c r="V213" s="1083"/>
      <c r="W213" s="1083"/>
      <c r="X213" s="1083"/>
      <c r="Y213" s="1083"/>
      <c r="Z213" s="1083"/>
      <c r="AA213" s="1083"/>
      <c r="AB213" s="1083"/>
      <c r="AC213" s="1083"/>
      <c r="AD213" s="1083"/>
      <c r="AE213" s="1083"/>
    </row>
    <row r="214" spans="2:31" ht="13.5" thickTop="1">
      <c r="B214" s="1137" t="s">
        <v>1085</v>
      </c>
      <c r="C214" s="1610">
        <v>1.05</v>
      </c>
      <c r="D214" s="1138" t="s">
        <v>2</v>
      </c>
      <c r="E214" s="1143">
        <f>+$F$25</f>
        <v>8154.9</v>
      </c>
      <c r="F214" s="1140">
        <f>C214*E214</f>
        <v>8562.65</v>
      </c>
      <c r="I214" s="1083"/>
      <c r="J214" s="1083"/>
      <c r="K214" s="1083"/>
      <c r="L214" s="1083"/>
      <c r="M214" s="1083"/>
      <c r="N214" s="1083"/>
      <c r="O214" s="1083"/>
      <c r="P214" s="1083"/>
      <c r="Q214" s="1083"/>
      <c r="R214" s="1083"/>
      <c r="S214" s="1083"/>
      <c r="T214" s="1083"/>
      <c r="U214" s="1083"/>
      <c r="V214" s="1083"/>
      <c r="W214" s="1083"/>
      <c r="X214" s="1083"/>
      <c r="Y214" s="1083"/>
      <c r="Z214" s="1083"/>
      <c r="AA214" s="1083"/>
      <c r="AB214" s="1083"/>
      <c r="AC214" s="1083"/>
      <c r="AD214" s="1083"/>
      <c r="AE214" s="1083"/>
    </row>
    <row r="215" spans="2:31">
      <c r="B215" s="1141" t="s">
        <v>1087</v>
      </c>
      <c r="C215" s="1611">
        <v>0.61</v>
      </c>
      <c r="D215" s="1142" t="s">
        <v>126</v>
      </c>
      <c r="E215" s="1143">
        <f>+E209</f>
        <v>2590</v>
      </c>
      <c r="F215" s="1144">
        <f>C215*E215</f>
        <v>1579.9</v>
      </c>
      <c r="I215" s="1083"/>
      <c r="J215" s="1083"/>
      <c r="K215" s="1083"/>
      <c r="L215" s="1083"/>
      <c r="M215" s="1083"/>
      <c r="N215" s="1083"/>
      <c r="O215" s="1083"/>
      <c r="P215" s="1083"/>
      <c r="Q215" s="1083"/>
      <c r="R215" s="1083"/>
      <c r="S215" s="1083"/>
      <c r="T215" s="1083"/>
      <c r="U215" s="1083"/>
      <c r="V215" s="1083"/>
      <c r="W215" s="1083"/>
      <c r="X215" s="1083"/>
      <c r="Y215" s="1083"/>
      <c r="Z215" s="1083"/>
      <c r="AA215" s="1083"/>
      <c r="AB215" s="1083"/>
      <c r="AC215" s="1083"/>
      <c r="AD215" s="1083"/>
      <c r="AE215" s="1083"/>
    </row>
    <row r="216" spans="2:31">
      <c r="B216" s="1141" t="s">
        <v>1089</v>
      </c>
      <c r="C216" s="1611">
        <f>1/(0.9*0.35)</f>
        <v>3.17</v>
      </c>
      <c r="D216" s="1152" t="s">
        <v>1</v>
      </c>
      <c r="E216" s="1143">
        <v>110</v>
      </c>
      <c r="F216" s="1144">
        <f>C216*E216</f>
        <v>348.7</v>
      </c>
      <c r="I216" s="1083"/>
      <c r="J216" s="1083"/>
      <c r="K216" s="1083"/>
      <c r="L216" s="1083"/>
      <c r="M216" s="1083"/>
      <c r="N216" s="1083"/>
      <c r="O216" s="1083"/>
      <c r="P216" s="1083"/>
      <c r="Q216" s="1083"/>
      <c r="R216" s="1083"/>
      <c r="S216" s="1083"/>
      <c r="T216" s="1083"/>
      <c r="U216" s="1083"/>
      <c r="V216" s="1083"/>
      <c r="W216" s="1083"/>
      <c r="X216" s="1083"/>
      <c r="Y216" s="1083"/>
      <c r="Z216" s="1083"/>
      <c r="AA216" s="1083"/>
      <c r="AB216" s="1083"/>
      <c r="AC216" s="1083"/>
      <c r="AD216" s="1083"/>
      <c r="AE216" s="1083"/>
    </row>
    <row r="217" spans="2:31" ht="13.5" thickBot="1">
      <c r="B217" s="1145"/>
      <c r="C217" s="1612"/>
      <c r="D217" s="1146"/>
      <c r="E217" s="1147" t="s">
        <v>1031</v>
      </c>
      <c r="F217" s="1673">
        <f>ROUND(SUM(F214:F216),2)</f>
        <v>10491.25</v>
      </c>
      <c r="I217" s="1083"/>
      <c r="J217" s="1083"/>
      <c r="K217" s="1083"/>
      <c r="L217" s="1083"/>
      <c r="M217" s="1083"/>
      <c r="N217" s="1083"/>
      <c r="O217" s="1083"/>
      <c r="P217" s="1083"/>
      <c r="Q217" s="1083"/>
      <c r="R217" s="1083"/>
      <c r="S217" s="1083"/>
      <c r="T217" s="1083"/>
      <c r="U217" s="1083"/>
      <c r="V217" s="1083"/>
      <c r="W217" s="1083"/>
      <c r="X217" s="1083"/>
      <c r="Y217" s="1083"/>
      <c r="Z217" s="1083"/>
      <c r="AA217" s="1083"/>
      <c r="AB217" s="1083"/>
      <c r="AC217" s="1083"/>
      <c r="AD217" s="1083"/>
      <c r="AE217" s="1083"/>
    </row>
    <row r="218" spans="2:31" ht="14.25" thickTop="1" thickBot="1">
      <c r="B218" s="1149"/>
      <c r="C218" s="1613"/>
      <c r="D218" s="1149"/>
      <c r="E218" s="1150"/>
      <c r="F218" s="1151"/>
      <c r="I218" s="1083"/>
      <c r="J218" s="1083"/>
      <c r="K218" s="1083"/>
      <c r="L218" s="1083"/>
      <c r="M218" s="1083"/>
      <c r="N218" s="1083"/>
      <c r="O218" s="1083"/>
      <c r="P218" s="1083"/>
      <c r="Q218" s="1083"/>
      <c r="R218" s="1083"/>
      <c r="S218" s="1083"/>
      <c r="T218" s="1083"/>
      <c r="U218" s="1083"/>
      <c r="V218" s="1083"/>
      <c r="W218" s="1083"/>
      <c r="X218" s="1083"/>
      <c r="Y218" s="1083"/>
      <c r="Z218" s="1083"/>
      <c r="AA218" s="1083"/>
      <c r="AB218" s="1083"/>
      <c r="AC218" s="1083"/>
      <c r="AD218" s="1083"/>
      <c r="AE218" s="1083"/>
    </row>
    <row r="219" spans="2:31" ht="14.25" thickTop="1" thickBot="1">
      <c r="B219" s="3291" t="s">
        <v>1541</v>
      </c>
      <c r="C219" s="1670"/>
      <c r="D219" s="1671"/>
      <c r="E219" s="1676"/>
      <c r="F219" s="1672"/>
      <c r="I219" s="1083"/>
      <c r="J219" s="1083"/>
      <c r="K219" s="1083"/>
      <c r="L219" s="1083"/>
      <c r="M219" s="1083"/>
      <c r="N219" s="1083"/>
      <c r="O219" s="1083"/>
      <c r="P219" s="1083"/>
      <c r="Q219" s="1083"/>
      <c r="R219" s="1083"/>
      <c r="S219" s="1083"/>
      <c r="T219" s="1083"/>
      <c r="U219" s="1083"/>
      <c r="V219" s="1083"/>
      <c r="W219" s="1083"/>
      <c r="X219" s="1083"/>
      <c r="Y219" s="1083"/>
      <c r="Z219" s="1083"/>
      <c r="AA219" s="1083"/>
      <c r="AB219" s="1083"/>
      <c r="AC219" s="1083"/>
      <c r="AD219" s="1083"/>
      <c r="AE219" s="1083"/>
    </row>
    <row r="220" spans="2:31" ht="13.5" thickTop="1">
      <c r="B220" s="1137" t="s">
        <v>1085</v>
      </c>
      <c r="C220" s="1610">
        <v>1.05</v>
      </c>
      <c r="D220" s="1138" t="s">
        <v>2</v>
      </c>
      <c r="E220" s="1143">
        <f>+$F$25</f>
        <v>8154.9</v>
      </c>
      <c r="F220" s="1140">
        <f>C220*E220</f>
        <v>8562.65</v>
      </c>
      <c r="I220" s="1083"/>
      <c r="J220" s="1083"/>
      <c r="K220" s="1083"/>
      <c r="L220" s="1083"/>
      <c r="M220" s="1083"/>
      <c r="N220" s="1083"/>
      <c r="O220" s="1083"/>
      <c r="P220" s="1083"/>
      <c r="Q220" s="1083"/>
      <c r="R220" s="1083"/>
      <c r="S220" s="1083"/>
      <c r="T220" s="1083"/>
      <c r="U220" s="1083"/>
      <c r="V220" s="1083"/>
      <c r="W220" s="1083"/>
      <c r="X220" s="1083"/>
      <c r="Y220" s="1083"/>
      <c r="Z220" s="1083"/>
      <c r="AA220" s="1083"/>
      <c r="AB220" s="1083"/>
      <c r="AC220" s="1083"/>
      <c r="AD220" s="1083"/>
      <c r="AE220" s="1083"/>
    </row>
    <row r="221" spans="2:31">
      <c r="B221" s="1141" t="s">
        <v>1087</v>
      </c>
      <c r="C221" s="1611">
        <v>1.27</v>
      </c>
      <c r="D221" s="1142" t="s">
        <v>126</v>
      </c>
      <c r="E221" s="1143">
        <f>+E203</f>
        <v>2913</v>
      </c>
      <c r="F221" s="1144">
        <f>C221*E221</f>
        <v>3699.51</v>
      </c>
      <c r="I221" s="1083"/>
      <c r="J221" s="1083"/>
      <c r="K221" s="1083"/>
      <c r="L221" s="1083"/>
      <c r="M221" s="1083"/>
      <c r="N221" s="1083"/>
      <c r="O221" s="1083"/>
      <c r="P221" s="1083"/>
      <c r="Q221" s="1083"/>
      <c r="R221" s="1083"/>
      <c r="S221" s="1083"/>
      <c r="T221" s="1083"/>
      <c r="U221" s="1083"/>
      <c r="V221" s="1083"/>
      <c r="W221" s="1083"/>
      <c r="X221" s="1083"/>
      <c r="Y221" s="1083"/>
      <c r="Z221" s="1083"/>
      <c r="AA221" s="1083"/>
      <c r="AB221" s="1083"/>
      <c r="AC221" s="1083"/>
      <c r="AD221" s="1083"/>
      <c r="AE221" s="1083"/>
    </row>
    <row r="222" spans="2:31">
      <c r="B222" s="1141" t="s">
        <v>1089</v>
      </c>
      <c r="C222" s="1611">
        <f>1/0.15</f>
        <v>6.67</v>
      </c>
      <c r="D222" s="1152" t="s">
        <v>11</v>
      </c>
      <c r="E222" s="1143">
        <v>350</v>
      </c>
      <c r="F222" s="1144">
        <f>C222*E222</f>
        <v>2334.5</v>
      </c>
      <c r="I222" s="1083"/>
      <c r="J222" s="1083"/>
      <c r="K222" s="1083"/>
      <c r="L222" s="1083"/>
      <c r="M222" s="1083"/>
      <c r="N222" s="1083"/>
      <c r="O222" s="1083"/>
      <c r="P222" s="1083"/>
      <c r="Q222" s="1083"/>
      <c r="R222" s="1083"/>
      <c r="S222" s="1083"/>
      <c r="T222" s="1083"/>
      <c r="U222" s="1083"/>
      <c r="V222" s="1083"/>
      <c r="W222" s="1083"/>
      <c r="X222" s="1083"/>
      <c r="Y222" s="1083"/>
      <c r="Z222" s="1083"/>
      <c r="AA222" s="1083"/>
      <c r="AB222" s="1083"/>
      <c r="AC222" s="1083"/>
      <c r="AD222" s="1083"/>
      <c r="AE222" s="1083"/>
    </row>
    <row r="223" spans="2:31" ht="13.5" thickBot="1">
      <c r="B223" s="1145"/>
      <c r="C223" s="1612"/>
      <c r="D223" s="1146"/>
      <c r="E223" s="1147" t="s">
        <v>1031</v>
      </c>
      <c r="F223" s="1673">
        <f>ROUND(SUM(F220:F222),2)</f>
        <v>14596.66</v>
      </c>
      <c r="I223" s="1083"/>
      <c r="J223" s="1083"/>
      <c r="K223" s="1083"/>
      <c r="L223" s="1083"/>
      <c r="M223" s="1083"/>
      <c r="N223" s="1083"/>
      <c r="O223" s="1083"/>
      <c r="P223" s="1083"/>
      <c r="Q223" s="1083"/>
      <c r="R223" s="1083"/>
      <c r="S223" s="1083"/>
      <c r="T223" s="1083"/>
      <c r="U223" s="1083"/>
      <c r="V223" s="1083"/>
      <c r="W223" s="1083"/>
      <c r="X223" s="1083"/>
      <c r="Y223" s="1083"/>
      <c r="Z223" s="1083"/>
      <c r="AA223" s="1083"/>
      <c r="AB223" s="1083"/>
      <c r="AC223" s="1083"/>
      <c r="AD223" s="1083"/>
      <c r="AE223" s="1083"/>
    </row>
    <row r="224" spans="2:31" ht="14.25" thickTop="1" thickBot="1">
      <c r="B224" s="1149"/>
      <c r="C224" s="1613"/>
      <c r="D224" s="1149"/>
      <c r="E224" s="1150"/>
      <c r="F224" s="1151"/>
      <c r="I224" s="1083"/>
      <c r="J224" s="1083"/>
      <c r="K224" s="1083"/>
      <c r="L224" s="1083"/>
      <c r="M224" s="1083"/>
      <c r="N224" s="1083"/>
      <c r="O224" s="1083"/>
      <c r="P224" s="1083"/>
      <c r="Q224" s="1083"/>
      <c r="R224" s="1083"/>
      <c r="S224" s="1083"/>
      <c r="T224" s="1083"/>
      <c r="U224" s="1083"/>
      <c r="V224" s="1083"/>
      <c r="W224" s="1083"/>
      <c r="X224" s="1083"/>
      <c r="Y224" s="1083"/>
      <c r="Z224" s="1083"/>
      <c r="AA224" s="1083"/>
      <c r="AB224" s="1083"/>
      <c r="AC224" s="1083"/>
      <c r="AD224" s="1083"/>
      <c r="AE224" s="1083"/>
    </row>
    <row r="225" spans="2:31" ht="14.25" thickTop="1" thickBot="1">
      <c r="B225" s="3291" t="s">
        <v>1543</v>
      </c>
      <c r="C225" s="1670"/>
      <c r="D225" s="1671"/>
      <c r="E225" s="1676"/>
      <c r="F225" s="1672"/>
      <c r="I225" s="1083"/>
      <c r="J225" s="1083"/>
      <c r="K225" s="1083"/>
      <c r="L225" s="1083"/>
      <c r="M225" s="1083"/>
      <c r="N225" s="1083"/>
      <c r="O225" s="1083"/>
      <c r="P225" s="1083"/>
      <c r="Q225" s="1083"/>
      <c r="R225" s="1083"/>
      <c r="S225" s="1083"/>
      <c r="T225" s="1083"/>
      <c r="U225" s="1083"/>
      <c r="V225" s="1083"/>
      <c r="W225" s="1083"/>
      <c r="X225" s="1083"/>
      <c r="Y225" s="1083"/>
      <c r="Z225" s="1083"/>
      <c r="AA225" s="1083"/>
      <c r="AB225" s="1083"/>
      <c r="AC225" s="1083"/>
      <c r="AD225" s="1083"/>
      <c r="AE225" s="1083"/>
    </row>
    <row r="226" spans="2:31" ht="13.5" thickTop="1">
      <c r="B226" s="1137" t="s">
        <v>1085</v>
      </c>
      <c r="C226" s="1610">
        <v>1.05</v>
      </c>
      <c r="D226" s="1138" t="s">
        <v>2</v>
      </c>
      <c r="E226" s="1143">
        <f>+$F$25</f>
        <v>8154.9</v>
      </c>
      <c r="F226" s="1140">
        <f>C226*E226</f>
        <v>8562.65</v>
      </c>
      <c r="I226" s="1083"/>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row>
    <row r="227" spans="2:31">
      <c r="B227" s="1141" t="s">
        <v>1087</v>
      </c>
      <c r="C227" s="1611">
        <v>1.89</v>
      </c>
      <c r="D227" s="1142" t="s">
        <v>126</v>
      </c>
      <c r="E227" s="1143">
        <f>+$F$62</f>
        <v>2913</v>
      </c>
      <c r="F227" s="1144">
        <f>C227*E227</f>
        <v>5505.57</v>
      </c>
      <c r="I227" s="1083"/>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row>
    <row r="228" spans="2:31">
      <c r="B228" s="1141" t="s">
        <v>1089</v>
      </c>
      <c r="C228" s="1611">
        <f>1/0.15</f>
        <v>6.67</v>
      </c>
      <c r="D228" s="1152" t="s">
        <v>11</v>
      </c>
      <c r="E228" s="1143">
        <f>+E222</f>
        <v>350</v>
      </c>
      <c r="F228" s="1144">
        <f>C228*E228</f>
        <v>2334.5</v>
      </c>
      <c r="I228" s="1083"/>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row>
    <row r="229" spans="2:31" ht="13.5" thickBot="1">
      <c r="B229" s="1145"/>
      <c r="C229" s="1612"/>
      <c r="D229" s="1146"/>
      <c r="E229" s="1147" t="s">
        <v>1031</v>
      </c>
      <c r="F229" s="1673">
        <f>ROUND(SUM(F226:F228),2)</f>
        <v>16402.72</v>
      </c>
      <c r="I229" s="1083"/>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row>
    <row r="230" spans="2:31" ht="14.25" thickTop="1" thickBot="1">
      <c r="B230" s="1149"/>
      <c r="C230" s="1613"/>
      <c r="D230" s="1149"/>
      <c r="E230" s="1150"/>
      <c r="F230" s="1151"/>
      <c r="I230" s="1083"/>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row>
    <row r="231" spans="2:31" ht="14.25" thickTop="1" thickBot="1">
      <c r="B231" s="3291" t="s">
        <v>587</v>
      </c>
      <c r="C231" s="1693"/>
      <c r="D231" s="1694"/>
      <c r="E231" s="1694"/>
      <c r="F231" s="1695"/>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row>
    <row r="232" spans="2:31" ht="13.5" thickTop="1">
      <c r="B232" s="1688" t="s">
        <v>171</v>
      </c>
      <c r="C232" s="1689" t="s">
        <v>2</v>
      </c>
      <c r="D232" s="1690">
        <v>6.3E-2</v>
      </c>
      <c r="E232" s="1691">
        <f>+F84</f>
        <v>5506.4</v>
      </c>
      <c r="F232" s="1692">
        <f t="shared" ref="F232:F237" si="1">E232*D232</f>
        <v>346.9</v>
      </c>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row>
    <row r="233" spans="2:31">
      <c r="B233" s="3274" t="s">
        <v>154</v>
      </c>
      <c r="C233" s="3270" t="s">
        <v>155</v>
      </c>
      <c r="D233" s="3254">
        <v>0.33</v>
      </c>
      <c r="E233" s="3245">
        <v>45</v>
      </c>
      <c r="F233" s="3275">
        <f t="shared" si="1"/>
        <v>14.85</v>
      </c>
      <c r="I233" s="1083"/>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row>
    <row r="234" spans="2:31">
      <c r="B234" s="3274" t="s">
        <v>156</v>
      </c>
      <c r="C234" s="3270" t="s">
        <v>42</v>
      </c>
      <c r="D234" s="3254">
        <v>1</v>
      </c>
      <c r="E234" s="3272">
        <v>10</v>
      </c>
      <c r="F234" s="3275">
        <f t="shared" si="1"/>
        <v>10</v>
      </c>
      <c r="I234" s="1083"/>
      <c r="J234" s="1083"/>
      <c r="K234" s="1083"/>
      <c r="L234" s="1083"/>
      <c r="M234" s="1083"/>
      <c r="N234" s="1083"/>
      <c r="O234" s="1083"/>
      <c r="P234" s="1083"/>
      <c r="Q234" s="1083"/>
      <c r="R234" s="1083"/>
      <c r="S234" s="1083"/>
      <c r="T234" s="1083"/>
      <c r="U234" s="1083"/>
      <c r="V234" s="1083"/>
      <c r="W234" s="1083"/>
      <c r="X234" s="1083"/>
      <c r="Y234" s="1083"/>
      <c r="Z234" s="1083"/>
      <c r="AA234" s="1083"/>
      <c r="AB234" s="1083"/>
      <c r="AC234" s="1083"/>
      <c r="AD234" s="1083"/>
      <c r="AE234" s="1083"/>
    </row>
    <row r="235" spans="2:31">
      <c r="B235" s="3274" t="s">
        <v>172</v>
      </c>
      <c r="C235" s="3270" t="s">
        <v>42</v>
      </c>
      <c r="D235" s="3254">
        <v>1</v>
      </c>
      <c r="E235" s="3272">
        <v>10</v>
      </c>
      <c r="F235" s="3275">
        <f t="shared" si="1"/>
        <v>10</v>
      </c>
      <c r="I235" s="1083"/>
      <c r="J235" s="1083"/>
      <c r="K235" s="1083"/>
      <c r="L235" s="1083"/>
      <c r="M235" s="1083"/>
      <c r="N235" s="1083"/>
      <c r="O235" s="1083"/>
      <c r="P235" s="1083"/>
      <c r="Q235" s="1083"/>
      <c r="R235" s="1083"/>
      <c r="S235" s="1083"/>
      <c r="T235" s="1083"/>
      <c r="U235" s="1083"/>
      <c r="V235" s="1083"/>
      <c r="W235" s="1083"/>
      <c r="X235" s="1083"/>
      <c r="Y235" s="1083"/>
      <c r="Z235" s="1083"/>
      <c r="AA235" s="1083"/>
      <c r="AB235" s="1083"/>
      <c r="AC235" s="1083"/>
      <c r="AD235" s="1083"/>
      <c r="AE235" s="1083"/>
    </row>
    <row r="236" spans="2:31">
      <c r="B236" s="3274" t="s">
        <v>2225</v>
      </c>
      <c r="C236" s="3270" t="s">
        <v>11</v>
      </c>
      <c r="D236" s="3254">
        <v>1</v>
      </c>
      <c r="E236" s="3245">
        <v>120</v>
      </c>
      <c r="F236" s="3275">
        <f t="shared" si="1"/>
        <v>120</v>
      </c>
      <c r="I236" s="1083"/>
      <c r="J236" s="1083"/>
      <c r="K236" s="1083"/>
      <c r="L236" s="1083"/>
      <c r="M236" s="1083"/>
      <c r="N236" s="1083"/>
      <c r="O236" s="1083"/>
      <c r="P236" s="1083"/>
      <c r="Q236" s="1083"/>
      <c r="R236" s="1083"/>
      <c r="S236" s="1083"/>
      <c r="T236" s="1083"/>
      <c r="U236" s="1083"/>
      <c r="V236" s="1083"/>
      <c r="W236" s="1083"/>
      <c r="X236" s="1083"/>
      <c r="Y236" s="1083"/>
      <c r="Z236" s="1083"/>
      <c r="AA236" s="1083"/>
      <c r="AB236" s="1083"/>
      <c r="AC236" s="1083"/>
      <c r="AD236" s="1083"/>
      <c r="AE236" s="1083"/>
    </row>
    <row r="237" spans="2:31">
      <c r="B237" s="3274" t="s">
        <v>167</v>
      </c>
      <c r="C237" s="3255" t="s">
        <v>1026</v>
      </c>
      <c r="D237" s="3252">
        <v>5.2999999999999999E-2</v>
      </c>
      <c r="E237" s="3245">
        <f>+E251</f>
        <v>325</v>
      </c>
      <c r="F237" s="3275">
        <f t="shared" si="1"/>
        <v>17.23</v>
      </c>
      <c r="I237" s="1083"/>
      <c r="J237" s="1083"/>
      <c r="K237" s="1083"/>
      <c r="L237" s="1083"/>
      <c r="M237" s="1083"/>
      <c r="N237" s="1083"/>
      <c r="O237" s="1083"/>
      <c r="P237" s="1083"/>
      <c r="Q237" s="1083"/>
      <c r="R237" s="1083"/>
      <c r="S237" s="1083"/>
      <c r="T237" s="1083"/>
      <c r="U237" s="1083"/>
      <c r="V237" s="1083"/>
      <c r="W237" s="1083"/>
      <c r="X237" s="1083"/>
      <c r="Y237" s="1083"/>
      <c r="Z237" s="1083"/>
      <c r="AA237" s="1083"/>
      <c r="AB237" s="1083"/>
      <c r="AC237" s="1083"/>
      <c r="AD237" s="1083"/>
      <c r="AE237" s="1083"/>
    </row>
    <row r="238" spans="2:31" ht="13.5" thickBot="1">
      <c r="B238" s="3277"/>
      <c r="C238" s="3293" t="s">
        <v>1037</v>
      </c>
      <c r="D238" s="3294"/>
      <c r="E238" s="3295" t="s">
        <v>1038</v>
      </c>
      <c r="F238" s="3296">
        <f>SUM(F232:F237)</f>
        <v>518.98</v>
      </c>
      <c r="I238" s="1083"/>
      <c r="J238" s="1083"/>
      <c r="K238" s="1083"/>
      <c r="L238" s="1083"/>
      <c r="M238" s="1083"/>
      <c r="N238" s="1083"/>
      <c r="O238" s="1083"/>
      <c r="P238" s="1083"/>
      <c r="Q238" s="1083"/>
      <c r="R238" s="1083"/>
      <c r="S238" s="1083"/>
      <c r="T238" s="1083"/>
      <c r="U238" s="1083"/>
      <c r="V238" s="1083"/>
      <c r="W238" s="1083"/>
      <c r="X238" s="1083"/>
      <c r="Y238" s="1083"/>
      <c r="Z238" s="1083"/>
      <c r="AA238" s="1083"/>
      <c r="AB238" s="1083"/>
      <c r="AC238" s="1083"/>
      <c r="AD238" s="1083"/>
      <c r="AE238" s="1083"/>
    </row>
    <row r="239" spans="2:31" ht="14.25" thickTop="1" thickBot="1">
      <c r="C239" s="1603"/>
      <c r="D239" s="1087"/>
      <c r="E239" s="1094"/>
      <c r="F239" s="1087"/>
      <c r="I239" s="1083"/>
      <c r="J239" s="1083"/>
      <c r="K239" s="1083"/>
      <c r="L239" s="1083"/>
      <c r="M239" s="1083"/>
      <c r="N239" s="1083"/>
      <c r="O239" s="1083"/>
      <c r="P239" s="1083"/>
      <c r="Q239" s="1083"/>
      <c r="R239" s="1083"/>
      <c r="S239" s="1083"/>
      <c r="T239" s="1083"/>
      <c r="U239" s="1083"/>
      <c r="V239" s="1083"/>
      <c r="W239" s="1083"/>
      <c r="X239" s="1083"/>
      <c r="Y239" s="1083"/>
      <c r="Z239" s="1083"/>
      <c r="AA239" s="1083"/>
      <c r="AB239" s="1083"/>
      <c r="AC239" s="1083"/>
      <c r="AD239" s="1083"/>
      <c r="AE239" s="1083"/>
    </row>
    <row r="240" spans="2:31" s="1697" customFormat="1" ht="13.5" thickTop="1">
      <c r="B240" s="1703" t="s">
        <v>174</v>
      </c>
      <c r="C240" s="1704"/>
      <c r="D240" s="1705"/>
      <c r="E240" s="1705"/>
      <c r="F240" s="1706"/>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97"/>
      <c r="AD240" s="3297"/>
      <c r="AE240" s="3297"/>
    </row>
    <row r="241" spans="2:31" s="1697" customFormat="1">
      <c r="B241" s="3298" t="s">
        <v>175</v>
      </c>
      <c r="C241" s="3299" t="s">
        <v>2</v>
      </c>
      <c r="D241" s="3300">
        <v>6.3E-2</v>
      </c>
      <c r="E241" s="3301">
        <f>+F84</f>
        <v>5506.4</v>
      </c>
      <c r="F241" s="3302">
        <f>E241*D241</f>
        <v>346.9</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97"/>
      <c r="AD241" s="3297"/>
      <c r="AE241" s="3297"/>
    </row>
    <row r="242" spans="2:31" s="1697" customFormat="1">
      <c r="B242" s="3298" t="s">
        <v>154</v>
      </c>
      <c r="C242" s="3299" t="s">
        <v>155</v>
      </c>
      <c r="D242" s="3303">
        <v>0.33</v>
      </c>
      <c r="E242" s="3301">
        <v>45</v>
      </c>
      <c r="F242" s="3302">
        <f>E242*D242</f>
        <v>14.85</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97"/>
      <c r="AD242" s="3297"/>
      <c r="AE242" s="3297"/>
    </row>
    <row r="243" spans="2:31" s="1697" customFormat="1">
      <c r="B243" s="3298" t="s">
        <v>176</v>
      </c>
      <c r="C243" s="3299" t="s">
        <v>42</v>
      </c>
      <c r="D243" s="3303">
        <v>1</v>
      </c>
      <c r="E243" s="3304">
        <v>10</v>
      </c>
      <c r="F243" s="3302">
        <f>E243*D243</f>
        <v>10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97"/>
      <c r="AD243" s="3297"/>
      <c r="AE243" s="3297"/>
    </row>
    <row r="244" spans="2:31" s="1697" customFormat="1">
      <c r="B244" s="3298" t="s">
        <v>41</v>
      </c>
      <c r="C244" s="3299" t="s">
        <v>11</v>
      </c>
      <c r="D244" s="3303">
        <v>1</v>
      </c>
      <c r="E244" s="3301">
        <v>130</v>
      </c>
      <c r="F244" s="3302">
        <f>E244*D244</f>
        <v>130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97"/>
      <c r="AD244" s="3297"/>
      <c r="AE244" s="3297"/>
    </row>
    <row r="245" spans="2:31" s="1697" customFormat="1" ht="13.5" thickBot="1">
      <c r="B245" s="3305"/>
      <c r="C245" s="3306" t="s">
        <v>1037</v>
      </c>
      <c r="D245" s="3307"/>
      <c r="E245" s="3308" t="s">
        <v>1031</v>
      </c>
      <c r="F245" s="3309">
        <f>+SUM(F241:F244)</f>
        <v>501.75</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97"/>
      <c r="AD245" s="3297"/>
      <c r="AE245" s="3297"/>
    </row>
    <row r="246" spans="2:31" s="1697" customFormat="1" ht="14.25" thickTop="1" thickBot="1">
      <c r="B246" s="1713"/>
      <c r="C246" s="1714"/>
      <c r="D246" s="1715"/>
      <c r="E246" s="1716"/>
      <c r="F246" s="1717"/>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97"/>
      <c r="AD246" s="3297"/>
      <c r="AE246" s="3297"/>
    </row>
    <row r="247" spans="2:31" ht="13.5" thickTop="1">
      <c r="B247" s="1703" t="s">
        <v>165</v>
      </c>
      <c r="C247" s="1678"/>
      <c r="D247" s="1679"/>
      <c r="E247" s="1725"/>
      <c r="F247" s="1680"/>
      <c r="I247" s="1083"/>
      <c r="J247" s="1083"/>
      <c r="K247" s="1083"/>
      <c r="L247" s="1083"/>
      <c r="M247" s="1083"/>
      <c r="N247" s="1083"/>
      <c r="O247" s="1083"/>
      <c r="P247" s="1083"/>
      <c r="Q247" s="1083"/>
      <c r="R247" s="1083"/>
      <c r="S247" s="1083"/>
      <c r="T247" s="1083"/>
      <c r="U247" s="1083"/>
      <c r="V247" s="1083"/>
      <c r="W247" s="1083"/>
      <c r="X247" s="1083"/>
      <c r="Y247" s="1083"/>
      <c r="Z247" s="1083"/>
      <c r="AA247" s="1083"/>
      <c r="AB247" s="1083"/>
      <c r="AC247" s="1083"/>
      <c r="AD247" s="1083"/>
      <c r="AE247" s="1083"/>
    </row>
    <row r="248" spans="2:31">
      <c r="B248" s="3274" t="s">
        <v>166</v>
      </c>
      <c r="C248" s="3255" t="s">
        <v>2</v>
      </c>
      <c r="D248" s="3252">
        <v>2.5999999999999999E-2</v>
      </c>
      <c r="E248" s="3245">
        <f>+$F$76</f>
        <v>5653.39</v>
      </c>
      <c r="F248" s="3275">
        <f>+E248*D248</f>
        <v>146.99</v>
      </c>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row>
    <row r="249" spans="2:31">
      <c r="B249" s="3274" t="s">
        <v>154</v>
      </c>
      <c r="C249" s="3255" t="s">
        <v>155</v>
      </c>
      <c r="D249" s="3252">
        <v>3.3000000000000002E-2</v>
      </c>
      <c r="E249" s="3245">
        <v>45</v>
      </c>
      <c r="F249" s="3275">
        <f>E249*D249</f>
        <v>1.49</v>
      </c>
      <c r="I249" s="1083"/>
      <c r="J249" s="1083"/>
      <c r="K249" s="1083"/>
      <c r="L249" s="1083"/>
      <c r="M249" s="1083"/>
      <c r="N249" s="1083"/>
      <c r="O249" s="1083"/>
      <c r="P249" s="1083"/>
      <c r="Q249" s="1083"/>
      <c r="R249" s="1083"/>
      <c r="S249" s="1083"/>
      <c r="T249" s="1083"/>
      <c r="U249" s="1083"/>
      <c r="V249" s="1083"/>
      <c r="W249" s="1083"/>
      <c r="X249" s="1083"/>
      <c r="Y249" s="1083"/>
      <c r="Z249" s="1083"/>
      <c r="AA249" s="1083"/>
      <c r="AB249" s="1083"/>
      <c r="AC249" s="1083"/>
      <c r="AD249" s="1083"/>
      <c r="AE249" s="1083"/>
    </row>
    <row r="250" spans="2:31">
      <c r="B250" s="3274" t="s">
        <v>156</v>
      </c>
      <c r="C250" s="3255" t="s">
        <v>42</v>
      </c>
      <c r="D250" s="3264">
        <v>1</v>
      </c>
      <c r="E250" s="3272">
        <v>10</v>
      </c>
      <c r="F250" s="3275">
        <f>E250*D250</f>
        <v>10</v>
      </c>
      <c r="I250" s="1083"/>
      <c r="J250" s="1083"/>
      <c r="K250" s="1083"/>
      <c r="L250" s="1083"/>
      <c r="M250" s="1083"/>
      <c r="N250" s="1083"/>
      <c r="O250" s="1083"/>
      <c r="P250" s="1083"/>
      <c r="Q250" s="1083"/>
      <c r="R250" s="1083"/>
      <c r="S250" s="1083"/>
      <c r="T250" s="1083"/>
      <c r="U250" s="1083"/>
      <c r="V250" s="1083"/>
      <c r="W250" s="1083"/>
      <c r="X250" s="1083"/>
      <c r="Y250" s="1083"/>
      <c r="Z250" s="1083"/>
      <c r="AA250" s="1083"/>
      <c r="AB250" s="1083"/>
      <c r="AC250" s="1083"/>
      <c r="AD250" s="1083"/>
      <c r="AE250" s="1083"/>
    </row>
    <row r="251" spans="2:31">
      <c r="B251" s="3274" t="s">
        <v>167</v>
      </c>
      <c r="C251" s="3255" t="s">
        <v>1026</v>
      </c>
      <c r="D251" s="3252">
        <v>5.2999999999999999E-2</v>
      </c>
      <c r="E251" s="3245">
        <f>$F$4</f>
        <v>325</v>
      </c>
      <c r="F251" s="3275">
        <f>E251*D251</f>
        <v>17.23</v>
      </c>
      <c r="I251" s="1083"/>
      <c r="J251" s="1083"/>
      <c r="K251" s="1083"/>
      <c r="L251" s="1083"/>
      <c r="M251" s="1083"/>
      <c r="N251" s="1083"/>
      <c r="O251" s="1083"/>
      <c r="P251" s="1083"/>
      <c r="Q251" s="1083"/>
      <c r="R251" s="1083"/>
      <c r="S251" s="1083"/>
      <c r="T251" s="1083"/>
      <c r="U251" s="1083"/>
      <c r="V251" s="1083"/>
      <c r="W251" s="1083"/>
      <c r="X251" s="1083"/>
      <c r="Y251" s="1083"/>
      <c r="Z251" s="1083"/>
      <c r="AA251" s="1083"/>
      <c r="AB251" s="1083"/>
      <c r="AC251" s="1083"/>
      <c r="AD251" s="1083"/>
      <c r="AE251" s="1083"/>
    </row>
    <row r="252" spans="2:31" s="1235" customFormat="1" ht="22.5">
      <c r="B252" s="3310" t="s">
        <v>162</v>
      </c>
      <c r="C252" s="3311" t="s">
        <v>11</v>
      </c>
      <c r="D252" s="3312">
        <v>1</v>
      </c>
      <c r="E252" s="3248">
        <v>137</v>
      </c>
      <c r="F252" s="3313">
        <f>E252*D252</f>
        <v>137</v>
      </c>
    </row>
    <row r="253" spans="2:31" ht="13.5" thickBot="1">
      <c r="B253" s="3277"/>
      <c r="C253" s="3314"/>
      <c r="D253" s="3315"/>
      <c r="E253" s="3316" t="s">
        <v>1031</v>
      </c>
      <c r="F253" s="3296">
        <f>SUM(F248:F252)</f>
        <v>312.70999999999998</v>
      </c>
      <c r="I253" s="1083"/>
      <c r="J253" s="1083"/>
      <c r="K253" s="1083"/>
      <c r="L253" s="1083"/>
      <c r="M253" s="1083"/>
      <c r="N253" s="1083"/>
      <c r="O253" s="1083"/>
      <c r="P253" s="1083"/>
      <c r="Q253" s="1083"/>
      <c r="R253" s="1083"/>
      <c r="S253" s="1083"/>
      <c r="T253" s="1083"/>
      <c r="U253" s="1083"/>
      <c r="V253" s="1083"/>
      <c r="W253" s="1083"/>
      <c r="X253" s="1083"/>
      <c r="Y253" s="1083"/>
      <c r="Z253" s="1083"/>
      <c r="AA253" s="1083"/>
      <c r="AB253" s="1083"/>
      <c r="AC253" s="1083"/>
      <c r="AD253" s="1083"/>
      <c r="AE253" s="1083"/>
    </row>
    <row r="254" spans="2:31" ht="13.5" thickTop="1">
      <c r="B254" s="1101" t="s">
        <v>158</v>
      </c>
      <c r="C254" s="1608"/>
      <c r="D254" s="1104">
        <f>F253-F251</f>
        <v>295.48</v>
      </c>
      <c r="E254" s="1103"/>
      <c r="F254" s="1103">
        <f>+F253-F251</f>
        <v>295.48</v>
      </c>
      <c r="I254" s="1083"/>
      <c r="J254" s="1083"/>
      <c r="K254" s="1083"/>
      <c r="L254" s="1083"/>
      <c r="M254" s="1083"/>
      <c r="N254" s="1083"/>
      <c r="O254" s="1083"/>
      <c r="P254" s="1083"/>
      <c r="Q254" s="1083"/>
      <c r="R254" s="1083"/>
      <c r="S254" s="1083"/>
      <c r="T254" s="1083"/>
      <c r="U254" s="1083"/>
      <c r="V254" s="1083"/>
      <c r="W254" s="1083"/>
      <c r="X254" s="1083"/>
      <c r="Y254" s="1083"/>
      <c r="Z254" s="1083"/>
      <c r="AA254" s="1083"/>
      <c r="AB254" s="1083"/>
      <c r="AC254" s="1083"/>
      <c r="AD254" s="1083"/>
      <c r="AE254" s="1083"/>
    </row>
    <row r="255" spans="2:31" ht="13.5" thickBot="1">
      <c r="B255" s="1101"/>
      <c r="C255" s="1608"/>
      <c r="D255" s="1104"/>
      <c r="E255" s="1103"/>
      <c r="F255" s="1103"/>
      <c r="I255" s="1083"/>
      <c r="J255" s="1083"/>
      <c r="K255" s="1083"/>
      <c r="L255" s="1083"/>
      <c r="M255" s="1083"/>
      <c r="N255" s="1083"/>
      <c r="O255" s="1083"/>
      <c r="P255" s="1083"/>
      <c r="Q255" s="1083"/>
      <c r="R255" s="1083"/>
      <c r="S255" s="1083"/>
      <c r="T255" s="1083"/>
      <c r="U255" s="1083"/>
      <c r="V255" s="1083"/>
      <c r="W255" s="1083"/>
      <c r="X255" s="1083"/>
      <c r="Y255" s="1083"/>
      <c r="Z255" s="1083"/>
      <c r="AA255" s="1083"/>
      <c r="AB255" s="1083"/>
      <c r="AC255" s="1083"/>
      <c r="AD255" s="1083"/>
      <c r="AE255" s="1083"/>
    </row>
    <row r="256" spans="2:31" ht="13.5" thickTop="1">
      <c r="B256" s="1733" t="s">
        <v>1035</v>
      </c>
      <c r="C256" s="1678"/>
      <c r="D256" s="1679"/>
      <c r="E256" s="1679"/>
      <c r="F256" s="1680"/>
      <c r="I256" s="1083"/>
      <c r="J256" s="1083"/>
      <c r="K256" s="1083"/>
      <c r="L256" s="1083"/>
      <c r="M256" s="1083"/>
      <c r="N256" s="1083"/>
      <c r="O256" s="1083"/>
      <c r="P256" s="1083"/>
      <c r="Q256" s="1083"/>
      <c r="R256" s="1083"/>
      <c r="S256" s="1083"/>
      <c r="T256" s="1083"/>
      <c r="U256" s="1083"/>
      <c r="V256" s="1083"/>
      <c r="W256" s="1083"/>
      <c r="X256" s="1083"/>
      <c r="Y256" s="1083"/>
      <c r="Z256" s="1083"/>
      <c r="AA256" s="1083"/>
      <c r="AB256" s="1083"/>
      <c r="AC256" s="1083"/>
      <c r="AD256" s="1083"/>
      <c r="AE256" s="1083"/>
    </row>
    <row r="257" spans="2:31">
      <c r="B257" s="3274" t="s">
        <v>153</v>
      </c>
      <c r="C257" s="3255" t="s">
        <v>2</v>
      </c>
      <c r="D257" s="3252">
        <v>2.5999999999999999E-2</v>
      </c>
      <c r="E257" s="3245">
        <f>+$F$76</f>
        <v>5653.39</v>
      </c>
      <c r="F257" s="3275">
        <f>E257*D257</f>
        <v>146.99</v>
      </c>
      <c r="I257" s="1083"/>
      <c r="J257" s="1083"/>
      <c r="K257" s="1083"/>
      <c r="L257" s="1083"/>
      <c r="M257" s="1083"/>
      <c r="N257" s="1083"/>
      <c r="O257" s="1083"/>
      <c r="P257" s="1083"/>
      <c r="Q257" s="1083"/>
      <c r="R257" s="1083"/>
      <c r="S257" s="1083"/>
      <c r="T257" s="1083"/>
      <c r="U257" s="1083"/>
      <c r="V257" s="1083"/>
      <c r="W257" s="1083"/>
      <c r="X257" s="1083"/>
      <c r="Y257" s="1083"/>
      <c r="Z257" s="1083"/>
      <c r="AA257" s="1083"/>
      <c r="AB257" s="1083"/>
      <c r="AC257" s="1083"/>
      <c r="AD257" s="1083"/>
      <c r="AE257" s="1083"/>
    </row>
    <row r="258" spans="2:31">
      <c r="B258" s="3274" t="s">
        <v>154</v>
      </c>
      <c r="C258" s="3255" t="s">
        <v>155</v>
      </c>
      <c r="D258" s="3252">
        <v>3.3000000000000002E-2</v>
      </c>
      <c r="E258" s="3245">
        <v>45</v>
      </c>
      <c r="F258" s="3275">
        <f>E258*D258</f>
        <v>1.49</v>
      </c>
      <c r="I258" s="1083"/>
      <c r="J258" s="1083"/>
      <c r="K258" s="1083"/>
      <c r="L258" s="1083"/>
      <c r="M258" s="1083"/>
      <c r="N258" s="1083"/>
      <c r="O258" s="1083"/>
      <c r="P258" s="1083"/>
      <c r="Q258" s="1083"/>
      <c r="R258" s="1083"/>
      <c r="S258" s="1083"/>
      <c r="T258" s="1083"/>
      <c r="U258" s="1083"/>
      <c r="V258" s="1083"/>
      <c r="W258" s="1083"/>
      <c r="X258" s="1083"/>
      <c r="Y258" s="1083"/>
      <c r="Z258" s="1083"/>
      <c r="AA258" s="1083"/>
      <c r="AB258" s="1083"/>
      <c r="AC258" s="1083"/>
      <c r="AD258" s="1083"/>
      <c r="AE258" s="1083"/>
    </row>
    <row r="259" spans="2:31">
      <c r="B259" s="3274" t="s">
        <v>156</v>
      </c>
      <c r="C259" s="3255" t="s">
        <v>42</v>
      </c>
      <c r="D259" s="3264">
        <v>1</v>
      </c>
      <c r="E259" s="3272">
        <v>10</v>
      </c>
      <c r="F259" s="3275">
        <f>E259*D259</f>
        <v>10</v>
      </c>
      <c r="I259" s="1083"/>
      <c r="J259" s="1083"/>
      <c r="K259" s="1083"/>
      <c r="L259" s="1083"/>
      <c r="M259" s="1083"/>
      <c r="N259" s="1083"/>
      <c r="O259" s="1083"/>
      <c r="P259" s="1083"/>
      <c r="Q259" s="1083"/>
      <c r="R259" s="1083"/>
      <c r="S259" s="1083"/>
      <c r="T259" s="1083"/>
      <c r="U259" s="1083"/>
      <c r="V259" s="1083"/>
      <c r="W259" s="1083"/>
      <c r="X259" s="1083"/>
      <c r="Y259" s="1083"/>
      <c r="Z259" s="1083"/>
      <c r="AA259" s="1083"/>
      <c r="AB259" s="1083"/>
      <c r="AC259" s="1083"/>
      <c r="AD259" s="1083"/>
      <c r="AE259" s="1083"/>
    </row>
    <row r="260" spans="2:31">
      <c r="B260" s="3274" t="s">
        <v>41</v>
      </c>
      <c r="C260" s="3255" t="s">
        <v>11</v>
      </c>
      <c r="D260" s="3264">
        <v>1</v>
      </c>
      <c r="E260" s="3245">
        <v>173</v>
      </c>
      <c r="F260" s="3275">
        <f>E260*D260</f>
        <v>173</v>
      </c>
      <c r="I260" s="1083"/>
      <c r="J260" s="1083"/>
      <c r="K260" s="1083"/>
      <c r="L260" s="1083"/>
      <c r="M260" s="1083"/>
      <c r="N260" s="1083"/>
      <c r="O260" s="1083"/>
      <c r="P260" s="1083"/>
      <c r="Q260" s="1083"/>
      <c r="R260" s="1083"/>
      <c r="S260" s="1083"/>
      <c r="T260" s="1083"/>
      <c r="U260" s="1083"/>
      <c r="V260" s="1083"/>
      <c r="W260" s="1083"/>
      <c r="X260" s="1083"/>
      <c r="Y260" s="1083"/>
      <c r="Z260" s="1083"/>
      <c r="AA260" s="1083"/>
      <c r="AB260" s="1083"/>
      <c r="AC260" s="1083"/>
      <c r="AD260" s="1083"/>
      <c r="AE260" s="1083"/>
    </row>
    <row r="261" spans="2:31" ht="13.5" thickBot="1">
      <c r="B261" s="3277"/>
      <c r="C261" s="3278"/>
      <c r="D261" s="3279"/>
      <c r="E261" s="3317" t="s">
        <v>1031</v>
      </c>
      <c r="F261" s="3296">
        <f>SUM(F257:F260)</f>
        <v>331.48</v>
      </c>
      <c r="I261" s="1083"/>
      <c r="J261" s="1083"/>
      <c r="K261" s="1083"/>
      <c r="L261" s="1083"/>
      <c r="M261" s="1083"/>
      <c r="N261" s="1083"/>
      <c r="O261" s="1083"/>
      <c r="P261" s="1083"/>
      <c r="Q261" s="1083"/>
      <c r="R261" s="1083"/>
      <c r="S261" s="1083"/>
      <c r="T261" s="1083"/>
      <c r="U261" s="1083"/>
      <c r="V261" s="1083"/>
      <c r="W261" s="1083"/>
      <c r="X261" s="1083"/>
      <c r="Y261" s="1083"/>
      <c r="Z261" s="1083"/>
      <c r="AA261" s="1083"/>
      <c r="AB261" s="1083"/>
      <c r="AC261" s="1083"/>
      <c r="AD261" s="1083"/>
      <c r="AE261" s="1083"/>
    </row>
    <row r="262" spans="2:31" ht="13.5" thickTop="1">
      <c r="B262" s="1087"/>
      <c r="C262" s="1615"/>
      <c r="D262" s="1094"/>
      <c r="E262" s="1095"/>
      <c r="F262" s="1103"/>
      <c r="I262" s="1083"/>
      <c r="J262" s="1083"/>
      <c r="K262" s="1083"/>
      <c r="L262" s="1083"/>
      <c r="M262" s="1083"/>
      <c r="N262" s="1083"/>
      <c r="O262" s="1083"/>
      <c r="P262" s="1083"/>
      <c r="Q262" s="1083"/>
      <c r="R262" s="1083"/>
      <c r="S262" s="1083"/>
      <c r="T262" s="1083"/>
      <c r="U262" s="1083"/>
      <c r="V262" s="1083"/>
      <c r="W262" s="1083"/>
      <c r="X262" s="1083"/>
      <c r="Y262" s="1083"/>
      <c r="Z262" s="1083"/>
      <c r="AA262" s="1083"/>
      <c r="AB262" s="1083"/>
      <c r="AC262" s="1083"/>
      <c r="AD262" s="1083"/>
      <c r="AE262" s="1083"/>
    </row>
    <row r="263" spans="2:31">
      <c r="B263" s="1391" t="s">
        <v>177</v>
      </c>
      <c r="C263" s="1603"/>
      <c r="D263" s="1087"/>
      <c r="E263" s="1087"/>
      <c r="F263" s="1087"/>
      <c r="I263" s="1083"/>
      <c r="J263" s="1083"/>
      <c r="K263" s="1083"/>
      <c r="L263" s="1083"/>
      <c r="M263" s="1083"/>
      <c r="N263" s="1083"/>
      <c r="O263" s="1083"/>
      <c r="P263" s="1083"/>
      <c r="Q263" s="1083"/>
      <c r="R263" s="1083"/>
      <c r="S263" s="1083"/>
      <c r="T263" s="1083"/>
      <c r="U263" s="1083"/>
      <c r="V263" s="1083"/>
      <c r="W263" s="1083"/>
      <c r="X263" s="1083"/>
      <c r="Y263" s="1083"/>
      <c r="Z263" s="1083"/>
      <c r="AA263" s="1083"/>
      <c r="AB263" s="1083"/>
      <c r="AC263" s="1083"/>
      <c r="AD263" s="1083"/>
      <c r="AE263" s="1083"/>
    </row>
    <row r="264" spans="2:31">
      <c r="B264" s="3252" t="s">
        <v>178</v>
      </c>
      <c r="C264" s="3270" t="s">
        <v>2</v>
      </c>
      <c r="D264" s="3252">
        <v>4.3E-3</v>
      </c>
      <c r="E264" s="3245">
        <f>+$F$76</f>
        <v>5653.39</v>
      </c>
      <c r="F264" s="3245">
        <f>E264*D264</f>
        <v>24.31</v>
      </c>
      <c r="I264" s="1083"/>
      <c r="J264" s="1083"/>
      <c r="K264" s="1083"/>
      <c r="L264" s="1083"/>
      <c r="M264" s="1083"/>
      <c r="N264" s="1083"/>
      <c r="O264" s="1083"/>
      <c r="P264" s="1083"/>
      <c r="Q264" s="1083"/>
      <c r="R264" s="1083"/>
      <c r="S264" s="1083"/>
      <c r="T264" s="1083"/>
      <c r="U264" s="1083"/>
      <c r="V264" s="1083"/>
      <c r="W264" s="1083"/>
      <c r="X264" s="1083"/>
      <c r="Y264" s="1083"/>
      <c r="Z264" s="1083"/>
      <c r="AA264" s="1083"/>
      <c r="AB264" s="1083"/>
      <c r="AC264" s="1083"/>
      <c r="AD264" s="1083"/>
      <c r="AE264" s="1083"/>
    </row>
    <row r="265" spans="2:31">
      <c r="B265" s="3252" t="s">
        <v>154</v>
      </c>
      <c r="C265" s="3270" t="s">
        <v>155</v>
      </c>
      <c r="D265" s="3318">
        <v>0.109</v>
      </c>
      <c r="E265" s="3245">
        <v>45</v>
      </c>
      <c r="F265" s="3245">
        <f>E265*D265</f>
        <v>4.91</v>
      </c>
      <c r="I265" s="1083"/>
      <c r="J265" s="1083"/>
      <c r="K265" s="1083"/>
      <c r="L265" s="1083"/>
      <c r="M265" s="1083"/>
      <c r="N265" s="1083"/>
      <c r="O265" s="1083"/>
      <c r="P265" s="1083"/>
      <c r="Q265" s="1083"/>
      <c r="R265" s="1083"/>
      <c r="S265" s="1083"/>
      <c r="T265" s="1083"/>
      <c r="U265" s="1083"/>
      <c r="V265" s="1083"/>
      <c r="W265" s="1083"/>
      <c r="X265" s="1083"/>
      <c r="Y265" s="1083"/>
      <c r="Z265" s="1083"/>
      <c r="AA265" s="1083"/>
      <c r="AB265" s="1083"/>
      <c r="AC265" s="1083"/>
      <c r="AD265" s="1083"/>
      <c r="AE265" s="1083"/>
    </row>
    <row r="266" spans="2:31">
      <c r="B266" s="3252" t="s">
        <v>41</v>
      </c>
      <c r="C266" s="3270" t="s">
        <v>2</v>
      </c>
      <c r="D266" s="3254">
        <v>1</v>
      </c>
      <c r="E266" s="3319">
        <v>53</v>
      </c>
      <c r="F266" s="3245">
        <f>E266*D266</f>
        <v>53</v>
      </c>
      <c r="I266" s="1083"/>
      <c r="J266" s="1083"/>
      <c r="K266" s="1083"/>
      <c r="L266" s="1083"/>
      <c r="M266" s="1083"/>
      <c r="N266" s="1083"/>
      <c r="O266" s="1083"/>
      <c r="P266" s="1083"/>
      <c r="Q266" s="1083"/>
      <c r="R266" s="1083"/>
      <c r="S266" s="1083"/>
      <c r="T266" s="1083"/>
      <c r="U266" s="1083"/>
      <c r="V266" s="1083"/>
      <c r="W266" s="1083"/>
      <c r="X266" s="1083"/>
      <c r="Y266" s="1083"/>
      <c r="Z266" s="1083"/>
      <c r="AA266" s="1083"/>
      <c r="AB266" s="1083"/>
      <c r="AC266" s="1083"/>
      <c r="AD266" s="1083"/>
      <c r="AE266" s="1083"/>
    </row>
    <row r="267" spans="2:31">
      <c r="B267" s="3252"/>
      <c r="C267" s="3270" t="s">
        <v>1037</v>
      </c>
      <c r="D267" s="3254"/>
      <c r="E267" s="3263" t="s">
        <v>1039</v>
      </c>
      <c r="F267" s="3273">
        <f>SUM(F264:F266)</f>
        <v>82.22</v>
      </c>
      <c r="I267" s="1083"/>
      <c r="J267" s="1083"/>
      <c r="K267" s="1083"/>
      <c r="L267" s="1083"/>
      <c r="M267" s="1083"/>
      <c r="N267" s="1083"/>
      <c r="O267" s="1083"/>
      <c r="P267" s="1083"/>
      <c r="Q267" s="1083"/>
      <c r="R267" s="1083"/>
      <c r="S267" s="1083"/>
      <c r="T267" s="1083"/>
      <c r="U267" s="1083"/>
      <c r="V267" s="1083"/>
      <c r="W267" s="1083"/>
      <c r="X267" s="1083"/>
      <c r="Y267" s="1083"/>
      <c r="Z267" s="1083"/>
      <c r="AA267" s="1083"/>
      <c r="AB267" s="1083"/>
      <c r="AC267" s="1083"/>
      <c r="AD267" s="1083"/>
      <c r="AE267" s="1083"/>
    </row>
    <row r="268" spans="2:31">
      <c r="B268" s="1087"/>
      <c r="C268" s="1603"/>
      <c r="D268" s="1087"/>
      <c r="E268" s="1100"/>
      <c r="F268" s="1095"/>
      <c r="I268" s="1083"/>
      <c r="J268" s="1083"/>
      <c r="K268" s="1083"/>
      <c r="L268" s="1083"/>
      <c r="M268" s="1083"/>
      <c r="N268" s="1083"/>
      <c r="O268" s="1083"/>
      <c r="P268" s="1083"/>
      <c r="Q268" s="1083"/>
      <c r="R268" s="1083"/>
      <c r="S268" s="1083"/>
      <c r="T268" s="1083"/>
      <c r="U268" s="1083"/>
      <c r="V268" s="1083"/>
      <c r="W268" s="1083"/>
      <c r="X268" s="1083"/>
      <c r="Y268" s="1083"/>
      <c r="Z268" s="1083"/>
      <c r="AA268" s="1083"/>
      <c r="AB268" s="1083"/>
      <c r="AC268" s="1083"/>
      <c r="AD268" s="1083"/>
      <c r="AE268" s="1083"/>
    </row>
    <row r="269" spans="2:31">
      <c r="B269" s="1391" t="s">
        <v>862</v>
      </c>
      <c r="C269" s="1618"/>
      <c r="D269" s="1101"/>
      <c r="E269" s="1101"/>
      <c r="F269" s="1101"/>
      <c r="I269" s="1083"/>
      <c r="J269" s="1083"/>
      <c r="K269" s="1083"/>
      <c r="L269" s="1083"/>
      <c r="M269" s="1083"/>
      <c r="N269" s="1083"/>
      <c r="O269" s="1083"/>
      <c r="P269" s="1083"/>
      <c r="Q269" s="1083"/>
      <c r="R269" s="1083"/>
      <c r="S269" s="1083"/>
      <c r="T269" s="1083"/>
      <c r="U269" s="1083"/>
      <c r="V269" s="1083"/>
      <c r="W269" s="1083"/>
      <c r="X269" s="1083"/>
      <c r="Y269" s="1083"/>
      <c r="Z269" s="1083"/>
      <c r="AA269" s="1083"/>
      <c r="AB269" s="1083"/>
      <c r="AC269" s="1083"/>
      <c r="AD269" s="1083"/>
      <c r="AE269" s="1083"/>
    </row>
    <row r="270" spans="2:31">
      <c r="B270" s="3252" t="s">
        <v>1071</v>
      </c>
      <c r="C270" s="3255" t="s">
        <v>976</v>
      </c>
      <c r="D270" s="3252">
        <v>0.2</v>
      </c>
      <c r="E270" s="1916">
        <f>+F552</f>
        <v>920.16</v>
      </c>
      <c r="F270" s="3245">
        <f>E270*D270</f>
        <v>184.03</v>
      </c>
      <c r="I270" s="1083"/>
      <c r="J270" s="1083"/>
      <c r="K270" s="1083"/>
      <c r="L270" s="1083"/>
      <c r="M270" s="1083"/>
      <c r="N270" s="1083"/>
      <c r="O270" s="1083"/>
      <c r="P270" s="1083"/>
      <c r="Q270" s="1083"/>
      <c r="R270" s="1083"/>
      <c r="S270" s="1083"/>
      <c r="T270" s="1083"/>
      <c r="U270" s="1083"/>
      <c r="V270" s="1083"/>
      <c r="W270" s="1083"/>
      <c r="X270" s="1083"/>
      <c r="Y270" s="1083"/>
      <c r="Z270" s="1083"/>
      <c r="AA270" s="1083"/>
      <c r="AB270" s="1083"/>
      <c r="AC270" s="1083"/>
      <c r="AD270" s="1083"/>
      <c r="AE270" s="1083"/>
    </row>
    <row r="271" spans="2:31">
      <c r="B271" s="3252" t="s">
        <v>259</v>
      </c>
      <c r="C271" s="3255" t="s">
        <v>11</v>
      </c>
      <c r="D271" s="3264">
        <v>0.55000000000000004</v>
      </c>
      <c r="E271" s="3245">
        <f>+F261</f>
        <v>331.48</v>
      </c>
      <c r="F271" s="3245">
        <f>E271*D271</f>
        <v>182.31</v>
      </c>
      <c r="I271" s="1083"/>
      <c r="J271" s="1083"/>
      <c r="K271" s="1083"/>
      <c r="L271" s="1083"/>
      <c r="M271" s="1083"/>
      <c r="N271" s="1083"/>
      <c r="O271" s="1083"/>
      <c r="P271" s="1083"/>
      <c r="Q271" s="1083"/>
      <c r="R271" s="1083"/>
      <c r="S271" s="1083"/>
      <c r="T271" s="1083"/>
      <c r="U271" s="1083"/>
      <c r="V271" s="1083"/>
      <c r="W271" s="1083"/>
      <c r="X271" s="1083"/>
      <c r="Y271" s="1083"/>
      <c r="Z271" s="1083"/>
      <c r="AA271" s="1083"/>
      <c r="AB271" s="1083"/>
      <c r="AC271" s="1083"/>
      <c r="AD271" s="1083"/>
      <c r="AE271" s="1083"/>
    </row>
    <row r="272" spans="2:31">
      <c r="B272" s="3252" t="s">
        <v>618</v>
      </c>
      <c r="C272" s="3311" t="s">
        <v>1</v>
      </c>
      <c r="D272" s="3264">
        <v>2</v>
      </c>
      <c r="E272" s="3245">
        <f>+F267</f>
        <v>82.22</v>
      </c>
      <c r="F272" s="3245">
        <f>E272*D272</f>
        <v>164.44</v>
      </c>
      <c r="I272" s="1083"/>
      <c r="J272" s="1083"/>
      <c r="K272" s="1083"/>
      <c r="L272" s="1083"/>
      <c r="M272" s="1083"/>
      <c r="N272" s="1083"/>
      <c r="O272" s="1083"/>
      <c r="P272" s="1083"/>
      <c r="Q272" s="1083"/>
      <c r="R272" s="1083"/>
      <c r="S272" s="1083"/>
      <c r="T272" s="1083"/>
      <c r="U272" s="1083"/>
      <c r="V272" s="1083"/>
      <c r="W272" s="1083"/>
      <c r="X272" s="1083"/>
      <c r="Y272" s="1083"/>
      <c r="Z272" s="1083"/>
      <c r="AA272" s="1083"/>
      <c r="AB272" s="1083"/>
      <c r="AC272" s="1083"/>
      <c r="AD272" s="1083"/>
      <c r="AE272" s="1083"/>
    </row>
    <row r="273" spans="2:31">
      <c r="B273" s="3252"/>
      <c r="C273" s="3260"/>
      <c r="D273" s="3252"/>
      <c r="E273" s="3320" t="s">
        <v>1031</v>
      </c>
      <c r="F273" s="3263">
        <f>SUM(F270:F272)</f>
        <v>530.78</v>
      </c>
      <c r="I273" s="1083"/>
      <c r="J273" s="1083"/>
      <c r="K273" s="1083"/>
      <c r="L273" s="1083"/>
      <c r="M273" s="1083"/>
      <c r="N273" s="1083"/>
      <c r="O273" s="1083"/>
      <c r="P273" s="1083"/>
      <c r="Q273" s="1083"/>
      <c r="R273" s="1083"/>
      <c r="S273" s="1083"/>
      <c r="T273" s="1083"/>
      <c r="U273" s="1083"/>
      <c r="V273" s="1083"/>
      <c r="W273" s="1083"/>
      <c r="X273" s="1083"/>
      <c r="Y273" s="1083"/>
      <c r="Z273" s="1083"/>
      <c r="AA273" s="1083"/>
      <c r="AB273" s="1083"/>
      <c r="AC273" s="1083"/>
      <c r="AD273" s="1083"/>
      <c r="AE273" s="1083"/>
    </row>
    <row r="274" spans="2:31">
      <c r="B274" s="1087"/>
      <c r="C274" s="1603"/>
      <c r="D274" s="1087"/>
      <c r="E274" s="1087"/>
      <c r="F274" s="1087"/>
      <c r="I274" s="1083"/>
      <c r="J274" s="1083"/>
      <c r="K274" s="1083"/>
      <c r="L274" s="1083"/>
      <c r="M274" s="1083"/>
      <c r="N274" s="1083"/>
      <c r="O274" s="1083"/>
      <c r="P274" s="1083"/>
      <c r="Q274" s="1083"/>
      <c r="R274" s="1083"/>
      <c r="S274" s="1083"/>
      <c r="T274" s="1083"/>
      <c r="U274" s="1083"/>
      <c r="V274" s="1083"/>
      <c r="W274" s="1083"/>
      <c r="X274" s="1083"/>
      <c r="Y274" s="1083"/>
      <c r="Z274" s="1083"/>
      <c r="AA274" s="1083"/>
      <c r="AB274" s="1083"/>
      <c r="AC274" s="1083"/>
      <c r="AD274" s="1083"/>
      <c r="AE274" s="1083"/>
    </row>
    <row r="275" spans="2:31">
      <c r="B275" s="1392" t="s">
        <v>1229</v>
      </c>
      <c r="C275" s="1603"/>
      <c r="D275" s="1087"/>
      <c r="E275" s="1087"/>
      <c r="F275" s="1087"/>
      <c r="I275" s="1083"/>
      <c r="J275" s="1083"/>
      <c r="K275" s="1083"/>
      <c r="L275" s="1083"/>
      <c r="M275" s="1083"/>
      <c r="N275" s="1083"/>
      <c r="O275" s="1083"/>
      <c r="P275" s="1083"/>
      <c r="Q275" s="1083"/>
      <c r="R275" s="1083"/>
      <c r="S275" s="1083"/>
      <c r="T275" s="1083"/>
      <c r="U275" s="1083"/>
      <c r="V275" s="1083"/>
      <c r="W275" s="1083"/>
      <c r="X275" s="1083"/>
      <c r="Y275" s="1083"/>
      <c r="Z275" s="1083"/>
      <c r="AA275" s="1083"/>
      <c r="AB275" s="1083"/>
      <c r="AC275" s="1083"/>
      <c r="AD275" s="1083"/>
      <c r="AE275" s="1083"/>
    </row>
    <row r="276" spans="2:31">
      <c r="B276" s="3252" t="s">
        <v>1059</v>
      </c>
      <c r="C276" s="3255" t="s">
        <v>11</v>
      </c>
      <c r="D276" s="3264">
        <v>1</v>
      </c>
      <c r="E276" s="3245">
        <v>18</v>
      </c>
      <c r="F276" s="3245">
        <f>E276*D276</f>
        <v>18</v>
      </c>
      <c r="I276" s="1083"/>
      <c r="J276" s="1083"/>
      <c r="K276" s="1083"/>
      <c r="L276" s="1083"/>
      <c r="M276" s="1083"/>
      <c r="N276" s="1083"/>
      <c r="O276" s="1083"/>
      <c r="P276" s="1083"/>
      <c r="Q276" s="1083"/>
      <c r="R276" s="1083"/>
      <c r="S276" s="1083"/>
      <c r="T276" s="1083"/>
      <c r="U276" s="1083"/>
      <c r="V276" s="1083"/>
      <c r="W276" s="1083"/>
      <c r="X276" s="1083"/>
      <c r="Y276" s="1083"/>
      <c r="Z276" s="1083"/>
      <c r="AA276" s="1083"/>
      <c r="AB276" s="1083"/>
      <c r="AC276" s="1083"/>
      <c r="AD276" s="1083"/>
      <c r="AE276" s="1083"/>
    </row>
    <row r="277" spans="2:31">
      <c r="B277" s="1916" t="s">
        <v>2234</v>
      </c>
      <c r="C277" s="3255" t="s">
        <v>2</v>
      </c>
      <c r="D277" s="3260">
        <v>0.105</v>
      </c>
      <c r="E277" s="3248">
        <f>+F43</f>
        <v>5050.66</v>
      </c>
      <c r="F277" s="3248">
        <f>E277*D277</f>
        <v>530.32000000000005</v>
      </c>
      <c r="I277" s="1083"/>
      <c r="J277" s="1083"/>
      <c r="K277" s="1083"/>
      <c r="L277" s="1083"/>
      <c r="M277" s="1083"/>
      <c r="N277" s="1083"/>
      <c r="O277" s="1083"/>
      <c r="P277" s="1083"/>
      <c r="Q277" s="1083"/>
      <c r="R277" s="1083"/>
      <c r="S277" s="1083"/>
      <c r="T277" s="1083"/>
      <c r="U277" s="1083"/>
      <c r="V277" s="1083"/>
      <c r="W277" s="1083"/>
      <c r="X277" s="1083"/>
      <c r="Y277" s="1083"/>
      <c r="Z277" s="1083"/>
      <c r="AA277" s="1083"/>
      <c r="AB277" s="1083"/>
      <c r="AC277" s="1083"/>
      <c r="AD277" s="1083"/>
      <c r="AE277" s="1083"/>
    </row>
    <row r="278" spans="2:31">
      <c r="B278" s="3252" t="s">
        <v>154</v>
      </c>
      <c r="C278" s="3255" t="s">
        <v>155</v>
      </c>
      <c r="D278" s="3252">
        <v>2.1999999999999999E-2</v>
      </c>
      <c r="E278" s="3245">
        <v>45</v>
      </c>
      <c r="F278" s="3245">
        <f>E278*D278</f>
        <v>0.99</v>
      </c>
      <c r="I278" s="1083"/>
      <c r="J278" s="1083"/>
      <c r="K278" s="1083"/>
      <c r="L278" s="1083"/>
      <c r="M278" s="1083"/>
      <c r="N278" s="1083"/>
      <c r="O278" s="1083"/>
      <c r="P278" s="1083"/>
      <c r="Q278" s="1083"/>
      <c r="R278" s="1083"/>
      <c r="S278" s="1083"/>
      <c r="T278" s="1083"/>
      <c r="U278" s="1083"/>
      <c r="V278" s="1083"/>
      <c r="W278" s="1083"/>
      <c r="X278" s="1083"/>
      <c r="Y278" s="1083"/>
      <c r="Z278" s="1083"/>
      <c r="AA278" s="1083"/>
      <c r="AB278" s="1083"/>
      <c r="AC278" s="1083"/>
      <c r="AD278" s="1083"/>
      <c r="AE278" s="1083"/>
    </row>
    <row r="279" spans="2:31" s="1235" customFormat="1" ht="22.5">
      <c r="B279" s="3246" t="s">
        <v>1061</v>
      </c>
      <c r="C279" s="3311" t="s">
        <v>11</v>
      </c>
      <c r="D279" s="3312">
        <v>1</v>
      </c>
      <c r="E279" s="3248">
        <v>125</v>
      </c>
      <c r="F279" s="3248">
        <f>E279*D279</f>
        <v>125</v>
      </c>
    </row>
    <row r="280" spans="2:31">
      <c r="B280" s="3252" t="s">
        <v>1062</v>
      </c>
      <c r="C280" s="3255" t="s">
        <v>1</v>
      </c>
      <c r="D280" s="3264">
        <f>1/0.8</f>
        <v>1.25</v>
      </c>
      <c r="E280" s="3245">
        <f>+F267</f>
        <v>82.22</v>
      </c>
      <c r="F280" s="3245">
        <f>E280*D280</f>
        <v>102.78</v>
      </c>
      <c r="I280" s="1083"/>
      <c r="J280" s="1083"/>
      <c r="K280" s="1083"/>
      <c r="L280" s="1083"/>
      <c r="M280" s="1083"/>
      <c r="N280" s="1083"/>
      <c r="O280" s="1083"/>
      <c r="P280" s="1083"/>
      <c r="Q280" s="1083"/>
      <c r="R280" s="1083"/>
      <c r="S280" s="1083"/>
      <c r="T280" s="1083"/>
      <c r="U280" s="1083"/>
      <c r="V280" s="1083"/>
      <c r="W280" s="1083"/>
      <c r="X280" s="1083"/>
      <c r="Y280" s="1083"/>
      <c r="Z280" s="1083"/>
      <c r="AA280" s="1083"/>
      <c r="AB280" s="1083"/>
      <c r="AC280" s="1083"/>
      <c r="AD280" s="1083"/>
      <c r="AE280" s="1083"/>
    </row>
    <row r="281" spans="2:31">
      <c r="B281" s="3252"/>
      <c r="C281" s="3260"/>
      <c r="D281" s="3252"/>
      <c r="E281" s="3262" t="s">
        <v>1031</v>
      </c>
      <c r="F281" s="3273">
        <f>SUM(F276:F280)</f>
        <v>777.09</v>
      </c>
      <c r="I281" s="1083"/>
      <c r="J281" s="1083"/>
      <c r="K281" s="1083"/>
      <c r="L281" s="1083"/>
      <c r="M281" s="1083"/>
      <c r="N281" s="1083"/>
      <c r="O281" s="1083"/>
      <c r="P281" s="1083"/>
      <c r="Q281" s="1083"/>
      <c r="R281" s="1083"/>
      <c r="S281" s="1083"/>
      <c r="T281" s="1083"/>
      <c r="U281" s="1083"/>
      <c r="V281" s="1083"/>
      <c r="W281" s="1083"/>
      <c r="X281" s="1083"/>
      <c r="Y281" s="1083"/>
      <c r="Z281" s="1083"/>
      <c r="AA281" s="1083"/>
      <c r="AB281" s="1083"/>
      <c r="AC281" s="1083"/>
      <c r="AD281" s="1083"/>
      <c r="AE281" s="1083"/>
    </row>
    <row r="282" spans="2:31">
      <c r="B282" s="1087"/>
      <c r="C282" s="1608"/>
      <c r="D282" s="1087"/>
      <c r="E282" s="1094">
        <v>0.8</v>
      </c>
      <c r="F282" s="1104">
        <f>ROUND(F281-F280+E280*1/0.8,2)</f>
        <v>777.09</v>
      </c>
      <c r="I282" s="1083"/>
      <c r="J282" s="1083"/>
      <c r="K282" s="1083"/>
      <c r="L282" s="1083"/>
      <c r="M282" s="1083"/>
      <c r="N282" s="1083"/>
      <c r="O282" s="1083"/>
      <c r="P282" s="1083"/>
      <c r="Q282" s="1083"/>
      <c r="R282" s="1083"/>
      <c r="S282" s="1083"/>
      <c r="T282" s="1083"/>
      <c r="U282" s="1083"/>
      <c r="V282" s="1083"/>
      <c r="W282" s="1083"/>
      <c r="X282" s="1083"/>
      <c r="Y282" s="1083"/>
      <c r="Z282" s="1083"/>
      <c r="AA282" s="1083"/>
      <c r="AB282" s="1083"/>
      <c r="AC282" s="1083"/>
      <c r="AD282" s="1083"/>
      <c r="AE282" s="1083"/>
    </row>
    <row r="283" spans="2:31" s="1697" customFormat="1">
      <c r="B283" s="1713"/>
      <c r="C283" s="1714"/>
      <c r="D283" s="1715"/>
      <c r="E283" s="1716">
        <v>1</v>
      </c>
      <c r="F283" s="1717"/>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97"/>
      <c r="AD283" s="3297"/>
      <c r="AE283" s="3297"/>
    </row>
    <row r="284" spans="2:31">
      <c r="B284" s="1916" t="s">
        <v>781</v>
      </c>
      <c r="C284" s="1916"/>
      <c r="D284" s="1916"/>
      <c r="E284" s="1916"/>
      <c r="F284" s="1916"/>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row>
    <row r="285" spans="2:31">
      <c r="B285" s="1916" t="s">
        <v>1225</v>
      </c>
      <c r="C285" s="1916">
        <v>1.05</v>
      </c>
      <c r="D285" s="1916" t="s">
        <v>2</v>
      </c>
      <c r="E285" s="1916" t="e">
        <f>+E503</f>
        <v>#REF!</v>
      </c>
      <c r="F285" s="1916" t="e">
        <f>C285*E285</f>
        <v>#REF!</v>
      </c>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row>
    <row r="286" spans="2:31">
      <c r="B286" s="1916" t="s">
        <v>1087</v>
      </c>
      <c r="C286" s="1916">
        <v>4.4800000000000004</v>
      </c>
      <c r="D286" s="1916" t="s">
        <v>126</v>
      </c>
      <c r="E286" s="1916">
        <f>+E504</f>
        <v>2913</v>
      </c>
      <c r="F286" s="1916">
        <f>C286*E286</f>
        <v>13050.24</v>
      </c>
      <c r="I286" s="1083"/>
      <c r="J286" s="1083"/>
      <c r="K286" s="1083"/>
      <c r="L286" s="1083"/>
      <c r="M286" s="1083"/>
      <c r="N286" s="1083"/>
      <c r="O286" s="1083"/>
      <c r="P286" s="1083"/>
      <c r="Q286" s="1083"/>
      <c r="R286" s="1083"/>
      <c r="S286" s="1083"/>
      <c r="T286" s="1083"/>
      <c r="U286" s="1083"/>
      <c r="V286" s="1083"/>
      <c r="W286" s="1083"/>
      <c r="X286" s="1083"/>
      <c r="Y286" s="1083"/>
      <c r="Z286" s="1083"/>
      <c r="AA286" s="1083"/>
      <c r="AB286" s="1083"/>
      <c r="AC286" s="1083"/>
      <c r="AD286" s="1083"/>
      <c r="AE286" s="1083"/>
    </row>
    <row r="287" spans="2:31">
      <c r="B287" s="1916" t="s">
        <v>1089</v>
      </c>
      <c r="C287" s="1916">
        <f>1/(0.2*0.15)</f>
        <v>33.3333333333333</v>
      </c>
      <c r="D287" s="1916" t="s">
        <v>1</v>
      </c>
      <c r="E287" s="1916">
        <v>1000</v>
      </c>
      <c r="F287" s="1916">
        <f>C287*E287</f>
        <v>33333.333333333299</v>
      </c>
      <c r="I287" s="1083"/>
      <c r="J287" s="1083"/>
      <c r="K287" s="1083"/>
      <c r="L287" s="1083"/>
      <c r="M287" s="1083"/>
      <c r="N287" s="1083"/>
      <c r="O287" s="1083"/>
      <c r="P287" s="1083"/>
      <c r="Q287" s="1083"/>
      <c r="R287" s="1083"/>
      <c r="S287" s="1083"/>
      <c r="T287" s="1083"/>
      <c r="U287" s="1083"/>
      <c r="V287" s="1083"/>
      <c r="W287" s="1083"/>
      <c r="X287" s="1083"/>
      <c r="Y287" s="1083"/>
      <c r="Z287" s="1083"/>
      <c r="AA287" s="1083"/>
      <c r="AB287" s="1083"/>
      <c r="AC287" s="1083"/>
      <c r="AD287" s="1083"/>
      <c r="AE287" s="1083"/>
    </row>
    <row r="288" spans="2:31">
      <c r="B288" s="1916"/>
      <c r="C288" s="1916"/>
      <c r="D288" s="1916"/>
      <c r="E288" s="1916" t="s">
        <v>1031</v>
      </c>
      <c r="F288" s="1916" t="e">
        <f>ROUND(SUM(F285:F287),2)</f>
        <v>#REF!</v>
      </c>
      <c r="I288" s="1083"/>
      <c r="J288" s="1083"/>
      <c r="K288" s="1083"/>
      <c r="L288" s="1083"/>
      <c r="M288" s="1083"/>
      <c r="N288" s="1083"/>
      <c r="O288" s="1083"/>
      <c r="P288" s="1083"/>
      <c r="Q288" s="1083"/>
      <c r="R288" s="1083"/>
      <c r="S288" s="1083"/>
      <c r="T288" s="1083"/>
      <c r="U288" s="1083"/>
      <c r="V288" s="1083"/>
      <c r="W288" s="1083"/>
      <c r="X288" s="1083"/>
      <c r="Y288" s="1083"/>
      <c r="Z288" s="1083"/>
      <c r="AA288" s="1083"/>
      <c r="AB288" s="1083"/>
      <c r="AC288" s="1083"/>
      <c r="AD288" s="1083"/>
      <c r="AE288" s="1083"/>
    </row>
    <row r="289" spans="2:31">
      <c r="B289" s="1916"/>
      <c r="C289" s="1916"/>
      <c r="D289" s="1916"/>
      <c r="E289" s="1916"/>
      <c r="F289" s="1916"/>
      <c r="I289" s="1083"/>
      <c r="J289" s="1083"/>
      <c r="K289" s="1083"/>
      <c r="L289" s="1083"/>
      <c r="M289" s="1083"/>
      <c r="N289" s="1083"/>
      <c r="O289" s="1083"/>
      <c r="P289" s="1083"/>
      <c r="Q289" s="1083"/>
      <c r="R289" s="1083"/>
      <c r="S289" s="1083"/>
      <c r="T289" s="1083"/>
      <c r="U289" s="1083"/>
      <c r="V289" s="1083"/>
      <c r="W289" s="1083"/>
      <c r="X289" s="1083"/>
      <c r="Y289" s="1083"/>
      <c r="Z289" s="1083"/>
      <c r="AA289" s="1083"/>
      <c r="AB289" s="1083"/>
      <c r="AC289" s="1083"/>
      <c r="AD289" s="1083"/>
      <c r="AE289" s="1083"/>
    </row>
    <row r="290" spans="2:31">
      <c r="B290" s="1916" t="s">
        <v>597</v>
      </c>
      <c r="C290" s="1916"/>
      <c r="D290" s="1916"/>
      <c r="E290" s="1916"/>
      <c r="F290" s="1916"/>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1083"/>
    </row>
    <row r="291" spans="2:31">
      <c r="B291" s="1916" t="s">
        <v>1225</v>
      </c>
      <c r="C291" s="1916">
        <v>1.05</v>
      </c>
      <c r="D291" s="1916" t="s">
        <v>2</v>
      </c>
      <c r="E291" s="1916" t="e">
        <f>+#REF!</f>
        <v>#REF!</v>
      </c>
      <c r="F291" s="1916" t="e">
        <f>C291*E291</f>
        <v>#REF!</v>
      </c>
      <c r="I291" s="1083"/>
      <c r="J291" s="1083"/>
      <c r="K291" s="1083"/>
      <c r="L291" s="1083"/>
      <c r="M291" s="1083"/>
      <c r="N291" s="1083"/>
      <c r="O291" s="1083"/>
      <c r="P291" s="1083"/>
      <c r="Q291" s="1083"/>
      <c r="R291" s="1083"/>
      <c r="S291" s="1083"/>
      <c r="T291" s="1083"/>
      <c r="U291" s="1083"/>
      <c r="V291" s="1083"/>
      <c r="W291" s="1083"/>
      <c r="X291" s="1083"/>
      <c r="Y291" s="1083"/>
      <c r="Z291" s="1083"/>
      <c r="AA291" s="1083"/>
      <c r="AB291" s="1083"/>
      <c r="AC291" s="1083"/>
      <c r="AD291" s="1083"/>
      <c r="AE291" s="1083"/>
    </row>
    <row r="292" spans="2:31">
      <c r="B292" s="1916" t="s">
        <v>272</v>
      </c>
      <c r="C292" s="1916">
        <v>0.99</v>
      </c>
      <c r="D292" s="1916" t="s">
        <v>126</v>
      </c>
      <c r="E292" s="1916">
        <f>+F530</f>
        <v>2590</v>
      </c>
      <c r="F292" s="1916">
        <f>C292*E292</f>
        <v>2564.1</v>
      </c>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3"/>
      <c r="AE292" s="1083"/>
    </row>
    <row r="293" spans="2:31">
      <c r="B293" s="1916"/>
      <c r="C293" s="1916"/>
      <c r="D293" s="1916"/>
      <c r="E293" s="1916" t="s">
        <v>1031</v>
      </c>
      <c r="F293" s="1916" t="e">
        <f>ROUND(SUM(F291:F292),2)</f>
        <v>#REF!</v>
      </c>
      <c r="I293" s="1083"/>
      <c r="J293" s="1083"/>
      <c r="K293" s="1083"/>
      <c r="L293" s="1083"/>
      <c r="M293" s="1083"/>
      <c r="N293" s="1083"/>
      <c r="O293" s="1083"/>
      <c r="P293" s="1083"/>
      <c r="Q293" s="1083"/>
      <c r="R293" s="1083"/>
      <c r="S293" s="1083"/>
      <c r="T293" s="1083"/>
      <c r="U293" s="1083"/>
      <c r="V293" s="1083"/>
      <c r="W293" s="1083"/>
      <c r="X293" s="1083"/>
      <c r="Y293" s="1083"/>
      <c r="Z293" s="1083"/>
      <c r="AA293" s="1083"/>
      <c r="AB293" s="1083"/>
      <c r="AC293" s="1083"/>
      <c r="AD293" s="1083"/>
      <c r="AE293" s="1083"/>
    </row>
    <row r="294" spans="2:31">
      <c r="B294" s="1916"/>
      <c r="C294" s="1916"/>
      <c r="D294" s="1916"/>
      <c r="E294" s="1916"/>
      <c r="F294" s="1916"/>
      <c r="I294" s="1083"/>
      <c r="J294" s="1083"/>
      <c r="K294" s="1083"/>
      <c r="L294" s="1083"/>
      <c r="M294" s="1083"/>
      <c r="N294" s="1083"/>
      <c r="O294" s="1083"/>
      <c r="P294" s="1083"/>
      <c r="Q294" s="1083"/>
      <c r="R294" s="1083"/>
      <c r="S294" s="1083"/>
      <c r="T294" s="1083"/>
      <c r="U294" s="1083"/>
      <c r="V294" s="1083"/>
      <c r="W294" s="1083"/>
      <c r="X294" s="1083"/>
      <c r="Y294" s="1083"/>
      <c r="Z294" s="1083"/>
      <c r="AA294" s="1083"/>
      <c r="AB294" s="1083"/>
      <c r="AC294" s="1083"/>
      <c r="AD294" s="1083"/>
      <c r="AE294" s="1083"/>
    </row>
    <row r="295" spans="2:31">
      <c r="B295" s="1916" t="s">
        <v>599</v>
      </c>
      <c r="C295" s="1916"/>
      <c r="D295" s="1916"/>
      <c r="E295" s="1916"/>
      <c r="F295" s="1916"/>
      <c r="I295" s="1083"/>
      <c r="J295" s="1083"/>
      <c r="K295" s="1083"/>
      <c r="L295" s="1083"/>
      <c r="M295" s="1083"/>
      <c r="N295" s="1083"/>
      <c r="O295" s="1083"/>
      <c r="P295" s="1083"/>
      <c r="Q295" s="1083"/>
      <c r="R295" s="1083"/>
      <c r="S295" s="1083"/>
      <c r="T295" s="1083"/>
      <c r="U295" s="1083"/>
      <c r="V295" s="1083"/>
      <c r="W295" s="1083"/>
      <c r="X295" s="1083"/>
      <c r="Y295" s="1083"/>
      <c r="Z295" s="1083"/>
      <c r="AA295" s="1083"/>
      <c r="AB295" s="1083"/>
      <c r="AC295" s="1083"/>
      <c r="AD295" s="1083"/>
      <c r="AE295" s="1083"/>
    </row>
    <row r="296" spans="2:31">
      <c r="B296" s="1916" t="s">
        <v>1225</v>
      </c>
      <c r="C296" s="1916">
        <v>1.05</v>
      </c>
      <c r="D296" s="1916" t="s">
        <v>2</v>
      </c>
      <c r="E296" s="1916" t="e">
        <f>+E291</f>
        <v>#REF!</v>
      </c>
      <c r="F296" s="1916" t="e">
        <f>C296*E296</f>
        <v>#REF!</v>
      </c>
      <c r="I296" s="1083"/>
      <c r="J296" s="1083"/>
      <c r="K296" s="1083"/>
      <c r="L296" s="1083"/>
      <c r="M296" s="1083"/>
      <c r="N296" s="1083"/>
      <c r="O296" s="1083"/>
      <c r="P296" s="1083"/>
      <c r="Q296" s="1083"/>
      <c r="R296" s="1083"/>
      <c r="S296" s="1083"/>
      <c r="T296" s="1083"/>
      <c r="U296" s="1083"/>
      <c r="V296" s="1083"/>
      <c r="W296" s="1083"/>
      <c r="X296" s="1083"/>
      <c r="Y296" s="1083"/>
      <c r="Z296" s="1083"/>
      <c r="AA296" s="1083"/>
      <c r="AB296" s="1083"/>
      <c r="AC296" s="1083"/>
      <c r="AD296" s="1083"/>
      <c r="AE296" s="1083"/>
    </row>
    <row r="297" spans="2:31">
      <c r="B297" s="1916" t="s">
        <v>1087</v>
      </c>
      <c r="C297" s="1916">
        <v>2.5</v>
      </c>
      <c r="D297" s="1916" t="s">
        <v>126</v>
      </c>
      <c r="E297" s="1916">
        <f>+E611</f>
        <v>2913</v>
      </c>
      <c r="F297" s="1916">
        <f>C297*E297</f>
        <v>7282.5</v>
      </c>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083"/>
      <c r="AE297" s="1083"/>
    </row>
    <row r="298" spans="2:31">
      <c r="B298" s="1916" t="s">
        <v>1089</v>
      </c>
      <c r="C298" s="1916">
        <f>1/0.15</f>
        <v>6.6666666666666696</v>
      </c>
      <c r="D298" s="1916" t="s">
        <v>1</v>
      </c>
      <c r="E298" s="1916">
        <v>1000</v>
      </c>
      <c r="F298" s="1916">
        <f>C298*E298</f>
        <v>6666.6666666666697</v>
      </c>
      <c r="I298" s="1083"/>
      <c r="J298" s="1083"/>
      <c r="K298" s="1083"/>
      <c r="L298" s="1083"/>
      <c r="M298" s="1083"/>
      <c r="N298" s="1083"/>
      <c r="O298" s="1083"/>
      <c r="P298" s="1083"/>
      <c r="Q298" s="1083"/>
      <c r="R298" s="1083"/>
      <c r="S298" s="1083"/>
      <c r="T298" s="1083"/>
      <c r="U298" s="1083"/>
      <c r="V298" s="1083"/>
      <c r="W298" s="1083"/>
      <c r="X298" s="1083"/>
      <c r="Y298" s="1083"/>
      <c r="Z298" s="1083"/>
      <c r="AA298" s="1083"/>
      <c r="AB298" s="1083"/>
      <c r="AC298" s="1083"/>
      <c r="AD298" s="1083"/>
      <c r="AE298" s="1083"/>
    </row>
    <row r="299" spans="2:31">
      <c r="B299" s="1916"/>
      <c r="C299" s="1916"/>
      <c r="D299" s="1916"/>
      <c r="E299" s="1916" t="s">
        <v>1031</v>
      </c>
      <c r="F299" s="1916" t="e">
        <f>ROUND(SUM(F296:F298),2)</f>
        <v>#REF!</v>
      </c>
      <c r="I299" s="1083"/>
      <c r="J299" s="1083"/>
      <c r="K299" s="1083"/>
      <c r="L299" s="1083"/>
      <c r="M299" s="1083"/>
      <c r="N299" s="1083"/>
      <c r="O299" s="1083"/>
      <c r="P299" s="1083"/>
      <c r="Q299" s="1083"/>
      <c r="R299" s="1083"/>
      <c r="S299" s="1083"/>
      <c r="T299" s="1083"/>
      <c r="U299" s="1083"/>
      <c r="V299" s="1083"/>
      <c r="W299" s="1083"/>
      <c r="X299" s="1083"/>
      <c r="Y299" s="1083"/>
      <c r="Z299" s="1083"/>
      <c r="AA299" s="1083"/>
      <c r="AB299" s="1083"/>
      <c r="AC299" s="1083"/>
      <c r="AD299" s="1083"/>
      <c r="AE299" s="1083"/>
    </row>
    <row r="300" spans="2:31">
      <c r="B300" s="1130"/>
      <c r="C300" s="1609"/>
      <c r="D300" s="1131"/>
      <c r="E300" s="1132"/>
      <c r="F300" s="1133"/>
      <c r="I300" s="1083"/>
      <c r="J300" s="1083"/>
      <c r="K300" s="1083"/>
      <c r="L300" s="1083"/>
      <c r="M300" s="1083"/>
      <c r="N300" s="1083"/>
      <c r="O300" s="1083"/>
      <c r="P300" s="1083"/>
      <c r="Q300" s="1083"/>
      <c r="R300" s="1083"/>
      <c r="S300" s="1083"/>
      <c r="T300" s="1083"/>
      <c r="U300" s="1083"/>
      <c r="V300" s="1083"/>
      <c r="W300" s="1083"/>
      <c r="X300" s="1083"/>
      <c r="Y300" s="1083"/>
      <c r="Z300" s="1083"/>
      <c r="AA300" s="1083"/>
      <c r="AB300" s="1083"/>
      <c r="AC300" s="1083"/>
      <c r="AD300" s="1083"/>
      <c r="AE300" s="1083"/>
    </row>
    <row r="301" spans="2:31">
      <c r="B301" s="3259" t="s">
        <v>141</v>
      </c>
      <c r="C301" s="3260"/>
      <c r="D301" s="3252"/>
      <c r="E301" s="3252"/>
      <c r="F301" s="3252"/>
    </row>
    <row r="302" spans="2:31" s="1235" customFormat="1" ht="22.5">
      <c r="B302" s="3246" t="s">
        <v>1770</v>
      </c>
      <c r="C302" s="3253" t="s">
        <v>2</v>
      </c>
      <c r="D302" s="3261">
        <v>1.02</v>
      </c>
      <c r="E302" s="3261">
        <v>7384</v>
      </c>
      <c r="F302" s="3248">
        <f>E302*D302</f>
        <v>7531.68</v>
      </c>
      <c r="I302" s="3250"/>
      <c r="J302" s="3250"/>
      <c r="K302" s="3250"/>
      <c r="L302" s="3250"/>
      <c r="M302" s="3250"/>
      <c r="N302" s="3250"/>
      <c r="O302" s="3250"/>
      <c r="P302" s="3250"/>
      <c r="Q302" s="3250"/>
      <c r="R302" s="3250"/>
      <c r="S302" s="3250"/>
      <c r="T302" s="3250"/>
      <c r="U302" s="3250"/>
      <c r="V302" s="3250"/>
      <c r="W302" s="3250"/>
      <c r="X302" s="3250"/>
      <c r="Y302" s="3250"/>
      <c r="Z302" s="3250"/>
      <c r="AA302" s="3250"/>
      <c r="AB302" s="3250"/>
      <c r="AC302" s="3250"/>
      <c r="AD302" s="3250"/>
      <c r="AE302" s="3250"/>
    </row>
    <row r="303" spans="2:31">
      <c r="B303" s="3252"/>
      <c r="C303" s="3260"/>
      <c r="D303" s="3252"/>
      <c r="E303" s="3262" t="s">
        <v>1031</v>
      </c>
      <c r="F303" s="3263">
        <f>SUM(F302:F302)</f>
        <v>7531.68</v>
      </c>
    </row>
    <row r="304" spans="2:31">
      <c r="B304" s="1130"/>
      <c r="C304" s="1609"/>
      <c r="D304" s="1131"/>
      <c r="E304" s="1132"/>
      <c r="F304" s="1133"/>
      <c r="I304" s="1083"/>
      <c r="J304" s="1083"/>
      <c r="K304" s="1083"/>
      <c r="L304" s="1083"/>
      <c r="M304" s="1083"/>
      <c r="N304" s="1083"/>
      <c r="O304" s="1083"/>
      <c r="P304" s="1083"/>
      <c r="Q304" s="1083"/>
      <c r="R304" s="1083"/>
      <c r="S304" s="1083"/>
      <c r="T304" s="1083"/>
      <c r="U304" s="1083"/>
      <c r="V304" s="1083"/>
      <c r="W304" s="1083"/>
      <c r="X304" s="1083"/>
      <c r="Y304" s="1083"/>
      <c r="Z304" s="1083"/>
      <c r="AA304" s="1083"/>
      <c r="AB304" s="1083"/>
      <c r="AC304" s="1083"/>
      <c r="AD304" s="1083"/>
      <c r="AE304" s="1083"/>
    </row>
    <row r="305" spans="2:31">
      <c r="B305" s="1130"/>
      <c r="C305" s="1609"/>
      <c r="D305" s="1131"/>
      <c r="E305" s="1132"/>
      <c r="F305" s="1133"/>
      <c r="I305" s="1083"/>
      <c r="J305" s="1083"/>
      <c r="K305" s="1083"/>
      <c r="L305" s="1083"/>
      <c r="M305" s="1083"/>
      <c r="N305" s="1083"/>
      <c r="O305" s="1083"/>
      <c r="P305" s="1083"/>
      <c r="Q305" s="1083"/>
      <c r="R305" s="1083"/>
      <c r="S305" s="1083"/>
      <c r="T305" s="1083"/>
      <c r="U305" s="1083"/>
      <c r="V305" s="1083"/>
      <c r="W305" s="1083"/>
      <c r="X305" s="1083"/>
      <c r="Y305" s="1083"/>
      <c r="Z305" s="1083"/>
      <c r="AA305" s="1083"/>
      <c r="AB305" s="1083"/>
      <c r="AC305" s="1083"/>
      <c r="AD305" s="1083"/>
      <c r="AE305" s="1083"/>
    </row>
    <row r="306" spans="2:31" ht="20.25" hidden="1">
      <c r="B306" s="1914" t="s">
        <v>607</v>
      </c>
      <c r="C306" s="1615"/>
      <c r="D306" s="1094"/>
      <c r="E306" s="1095"/>
      <c r="F306" s="1103"/>
      <c r="I306" s="1083"/>
      <c r="J306" s="1083"/>
      <c r="K306" s="1083"/>
      <c r="L306" s="1083"/>
      <c r="M306" s="1083"/>
      <c r="N306" s="1083"/>
      <c r="O306" s="1083"/>
      <c r="P306" s="1083"/>
      <c r="Q306" s="1083"/>
      <c r="R306" s="1083"/>
      <c r="S306" s="1083"/>
      <c r="T306" s="1083"/>
      <c r="U306" s="1083"/>
      <c r="V306" s="1083"/>
      <c r="W306" s="1083"/>
      <c r="X306" s="1083"/>
      <c r="Y306" s="1083"/>
      <c r="Z306" s="1083"/>
      <c r="AA306" s="1083"/>
      <c r="AB306" s="1083"/>
      <c r="AC306" s="1083"/>
      <c r="AD306" s="1083"/>
      <c r="AE306" s="1083"/>
    </row>
    <row r="307" spans="2:31" ht="20.25" hidden="1">
      <c r="B307" s="1914"/>
      <c r="C307" s="1615"/>
      <c r="D307" s="1094"/>
      <c r="E307" s="1095"/>
      <c r="F307" s="1103"/>
      <c r="I307" s="1083"/>
      <c r="J307" s="1083"/>
      <c r="K307" s="1083"/>
      <c r="L307" s="1083"/>
      <c r="M307" s="1083"/>
      <c r="N307" s="1083"/>
      <c r="O307" s="1083"/>
      <c r="P307" s="1083"/>
      <c r="Q307" s="1083"/>
      <c r="R307" s="1083"/>
      <c r="S307" s="1083"/>
      <c r="T307" s="1083"/>
      <c r="U307" s="1083"/>
      <c r="V307" s="1083"/>
      <c r="W307" s="1083"/>
      <c r="X307" s="1083"/>
      <c r="Y307" s="1083"/>
      <c r="Z307" s="1083"/>
      <c r="AA307" s="1083"/>
      <c r="AB307" s="1083"/>
      <c r="AC307" s="1083"/>
      <c r="AD307" s="1083"/>
      <c r="AE307" s="1083"/>
    </row>
    <row r="308" spans="2:31" ht="13.5" hidden="1" thickBot="1">
      <c r="B308" s="1387" t="s">
        <v>609</v>
      </c>
      <c r="C308" s="1609"/>
      <c r="D308" s="1131"/>
      <c r="E308" s="1132"/>
      <c r="F308" s="1133"/>
      <c r="I308" s="1083"/>
      <c r="J308" s="1083"/>
      <c r="K308" s="1083"/>
      <c r="L308" s="1083"/>
      <c r="M308" s="1083"/>
      <c r="N308" s="1083"/>
      <c r="O308" s="1083"/>
      <c r="P308" s="1083"/>
      <c r="Q308" s="1083"/>
      <c r="R308" s="1083"/>
      <c r="S308" s="1083"/>
      <c r="T308" s="1083"/>
      <c r="U308" s="1083"/>
      <c r="V308" s="1083"/>
      <c r="W308" s="1083"/>
      <c r="X308" s="1083"/>
      <c r="Y308" s="1083"/>
      <c r="Z308" s="1083"/>
      <c r="AA308" s="1083"/>
      <c r="AB308" s="1083"/>
      <c r="AC308" s="1083"/>
      <c r="AD308" s="1083"/>
      <c r="AE308" s="1083"/>
    </row>
    <row r="309" spans="2:31" ht="13.5" hidden="1" thickTop="1">
      <c r="B309" s="1137" t="s">
        <v>1225</v>
      </c>
      <c r="C309" s="1610">
        <v>1.05</v>
      </c>
      <c r="D309" s="1138" t="s">
        <v>2</v>
      </c>
      <c r="E309" s="1139" t="e">
        <f>+E296</f>
        <v>#REF!</v>
      </c>
      <c r="F309" s="1140" t="e">
        <f>C309*E309</f>
        <v>#REF!</v>
      </c>
      <c r="I309" s="1083"/>
      <c r="J309" s="1083"/>
      <c r="K309" s="1083"/>
      <c r="L309" s="1083"/>
      <c r="M309" s="1083"/>
      <c r="N309" s="1083"/>
      <c r="O309" s="1083"/>
      <c r="P309" s="1083"/>
      <c r="Q309" s="1083"/>
      <c r="R309" s="1083"/>
      <c r="S309" s="1083"/>
      <c r="T309" s="1083"/>
      <c r="U309" s="1083"/>
      <c r="V309" s="1083"/>
      <c r="W309" s="1083"/>
      <c r="X309" s="1083"/>
      <c r="Y309" s="1083"/>
      <c r="Z309" s="1083"/>
      <c r="AA309" s="1083"/>
      <c r="AB309" s="1083"/>
      <c r="AC309" s="1083"/>
      <c r="AD309" s="1083"/>
      <c r="AE309" s="1083"/>
    </row>
    <row r="310" spans="2:31" hidden="1">
      <c r="B310" s="1141" t="s">
        <v>272</v>
      </c>
      <c r="C310" s="1611">
        <v>0.99</v>
      </c>
      <c r="D310" s="1142" t="s">
        <v>126</v>
      </c>
      <c r="E310" s="1143">
        <f>+E297</f>
        <v>2913</v>
      </c>
      <c r="F310" s="1144">
        <f>C310*E310</f>
        <v>2883.87</v>
      </c>
      <c r="I310" s="1083"/>
      <c r="J310" s="1083"/>
      <c r="K310" s="1083"/>
      <c r="L310" s="1083"/>
      <c r="M310" s="1083"/>
      <c r="N310" s="1083"/>
      <c r="O310" s="1083"/>
      <c r="P310" s="1083"/>
      <c r="Q310" s="1083"/>
      <c r="R310" s="1083"/>
      <c r="S310" s="1083"/>
      <c r="T310" s="1083"/>
      <c r="U310" s="1083"/>
      <c r="V310" s="1083"/>
      <c r="W310" s="1083"/>
      <c r="X310" s="1083"/>
      <c r="Y310" s="1083"/>
      <c r="Z310" s="1083"/>
      <c r="AA310" s="1083"/>
      <c r="AB310" s="1083"/>
      <c r="AC310" s="1083"/>
      <c r="AD310" s="1083"/>
      <c r="AE310" s="1083"/>
    </row>
    <row r="311" spans="2:31" ht="13.5" hidden="1" thickBot="1">
      <c r="B311" s="1145"/>
      <c r="C311" s="1612"/>
      <c r="D311" s="1146"/>
      <c r="E311" s="1147" t="s">
        <v>1031</v>
      </c>
      <c r="F311" s="1148" t="e">
        <f>ROUND(SUM(F309:F310),2)</f>
        <v>#REF!</v>
      </c>
      <c r="I311" s="1083"/>
      <c r="J311" s="1083"/>
      <c r="K311" s="1083"/>
      <c r="L311" s="1083"/>
      <c r="M311" s="1083"/>
      <c r="N311" s="1083"/>
      <c r="O311" s="1083"/>
      <c r="P311" s="1083"/>
      <c r="Q311" s="1083"/>
      <c r="R311" s="1083"/>
      <c r="S311" s="1083"/>
      <c r="T311" s="1083"/>
      <c r="U311" s="1083"/>
      <c r="V311" s="1083"/>
      <c r="W311" s="1083"/>
      <c r="X311" s="1083"/>
      <c r="Y311" s="1083"/>
      <c r="Z311" s="1083"/>
      <c r="AA311" s="1083"/>
      <c r="AB311" s="1083"/>
      <c r="AC311" s="1083"/>
      <c r="AD311" s="1083"/>
      <c r="AE311" s="1083"/>
    </row>
    <row r="312" spans="2:31" ht="13.5" hidden="1" thickTop="1">
      <c r="B312" s="1149"/>
      <c r="C312" s="1613"/>
      <c r="D312" s="1149"/>
      <c r="E312" s="1150"/>
      <c r="F312" s="1151"/>
      <c r="I312" s="1083"/>
      <c r="J312" s="1083"/>
      <c r="K312" s="1083"/>
      <c r="L312" s="1083"/>
      <c r="M312" s="1083"/>
      <c r="N312" s="1083"/>
      <c r="O312" s="1083"/>
      <c r="P312" s="1083"/>
      <c r="Q312" s="1083"/>
      <c r="R312" s="1083"/>
      <c r="S312" s="1083"/>
      <c r="T312" s="1083"/>
      <c r="U312" s="1083"/>
      <c r="V312" s="1083"/>
      <c r="W312" s="1083"/>
      <c r="X312" s="1083"/>
      <c r="Y312" s="1083"/>
      <c r="Z312" s="1083"/>
      <c r="AA312" s="1083"/>
      <c r="AB312" s="1083"/>
      <c r="AC312" s="1083"/>
      <c r="AD312" s="1083"/>
      <c r="AE312" s="1083"/>
    </row>
    <row r="313" spans="2:31" ht="13.5" hidden="1" thickBot="1">
      <c r="B313" s="1392" t="s">
        <v>611</v>
      </c>
      <c r="C313" s="1614"/>
      <c r="D313" s="1135"/>
      <c r="E313" s="1135"/>
      <c r="F313" s="1135"/>
      <c r="I313" s="1083"/>
      <c r="J313" s="1083"/>
      <c r="K313" s="1083"/>
      <c r="L313" s="1083"/>
      <c r="M313" s="1083"/>
      <c r="N313" s="1083"/>
      <c r="O313" s="1083"/>
      <c r="P313" s="1083"/>
      <c r="Q313" s="1083"/>
      <c r="R313" s="1083"/>
      <c r="S313" s="1083"/>
      <c r="T313" s="1083"/>
      <c r="U313" s="1083"/>
      <c r="V313" s="1083"/>
      <c r="W313" s="1083"/>
      <c r="X313" s="1083"/>
      <c r="Y313" s="1083"/>
      <c r="Z313" s="1083"/>
      <c r="AA313" s="1083"/>
      <c r="AB313" s="1083"/>
      <c r="AC313" s="1083"/>
      <c r="AD313" s="1083"/>
      <c r="AE313" s="1083"/>
    </row>
    <row r="314" spans="2:31" ht="13.5" hidden="1" thickTop="1">
      <c r="B314" s="1137" t="s">
        <v>1225</v>
      </c>
      <c r="C314" s="1610">
        <v>1.05</v>
      </c>
      <c r="D314" s="1138" t="s">
        <v>2</v>
      </c>
      <c r="E314" s="1139" t="e">
        <f>+E309</f>
        <v>#REF!</v>
      </c>
      <c r="F314" s="1140" t="e">
        <f>C314*E314</f>
        <v>#REF!</v>
      </c>
      <c r="I314" s="1083"/>
      <c r="J314" s="1083"/>
      <c r="K314" s="1083"/>
      <c r="L314" s="1083"/>
      <c r="M314" s="1083"/>
      <c r="N314" s="1083"/>
      <c r="O314" s="1083"/>
      <c r="P314" s="1083"/>
      <c r="Q314" s="1083"/>
      <c r="R314" s="1083"/>
      <c r="S314" s="1083"/>
      <c r="T314" s="1083"/>
      <c r="U314" s="1083"/>
      <c r="V314" s="1083"/>
      <c r="W314" s="1083"/>
      <c r="X314" s="1083"/>
      <c r="Y314" s="1083"/>
      <c r="Z314" s="1083"/>
      <c r="AA314" s="1083"/>
      <c r="AB314" s="1083"/>
      <c r="AC314" s="1083"/>
      <c r="AD314" s="1083"/>
      <c r="AE314" s="1083"/>
    </row>
    <row r="315" spans="2:31" hidden="1">
      <c r="B315" s="1141" t="s">
        <v>1087</v>
      </c>
      <c r="C315" s="1611">
        <v>2.5</v>
      </c>
      <c r="D315" s="1142" t="s">
        <v>126</v>
      </c>
      <c r="E315" s="1143">
        <f>+E297</f>
        <v>2913</v>
      </c>
      <c r="F315" s="1144">
        <f>C315*E315</f>
        <v>7282.5</v>
      </c>
      <c r="I315" s="1083"/>
      <c r="J315" s="1083"/>
      <c r="K315" s="1083"/>
      <c r="L315" s="1083"/>
      <c r="M315" s="1083"/>
      <c r="N315" s="1083"/>
      <c r="O315" s="1083"/>
      <c r="P315" s="1083"/>
      <c r="Q315" s="1083"/>
      <c r="R315" s="1083"/>
      <c r="S315" s="1083"/>
      <c r="T315" s="1083"/>
      <c r="U315" s="1083"/>
      <c r="V315" s="1083"/>
      <c r="W315" s="1083"/>
      <c r="X315" s="1083"/>
      <c r="Y315" s="1083"/>
      <c r="Z315" s="1083"/>
      <c r="AA315" s="1083"/>
      <c r="AB315" s="1083"/>
      <c r="AC315" s="1083"/>
      <c r="AD315" s="1083"/>
      <c r="AE315" s="1083"/>
    </row>
    <row r="316" spans="2:31" hidden="1">
      <c r="B316" s="1141" t="s">
        <v>1089</v>
      </c>
      <c r="C316" s="1611">
        <f>1/0.3</f>
        <v>3.33</v>
      </c>
      <c r="D316" s="1152" t="s">
        <v>1</v>
      </c>
      <c r="E316" s="1143">
        <v>1000</v>
      </c>
      <c r="F316" s="1144">
        <f>C316*E316</f>
        <v>3330</v>
      </c>
      <c r="I316" s="1083"/>
      <c r="J316" s="1083"/>
      <c r="K316" s="1083"/>
      <c r="L316" s="1083"/>
      <c r="M316" s="1083"/>
      <c r="N316" s="1083"/>
      <c r="O316" s="1083"/>
      <c r="P316" s="1083"/>
      <c r="Q316" s="1083"/>
      <c r="R316" s="1083"/>
      <c r="S316" s="1083"/>
      <c r="T316" s="1083"/>
      <c r="U316" s="1083"/>
      <c r="V316" s="1083"/>
      <c r="W316" s="1083"/>
      <c r="X316" s="1083"/>
      <c r="Y316" s="1083"/>
      <c r="Z316" s="1083"/>
      <c r="AA316" s="1083"/>
      <c r="AB316" s="1083"/>
      <c r="AC316" s="1083"/>
      <c r="AD316" s="1083"/>
      <c r="AE316" s="1083"/>
    </row>
    <row r="317" spans="2:31" ht="13.5" hidden="1" thickBot="1">
      <c r="B317" s="1145"/>
      <c r="C317" s="1612"/>
      <c r="D317" s="1146"/>
      <c r="E317" s="1147" t="s">
        <v>1031</v>
      </c>
      <c r="F317" s="1148" t="e">
        <f>ROUND(SUM(F314:F316),2)</f>
        <v>#REF!</v>
      </c>
      <c r="I317" s="1083"/>
      <c r="J317" s="1083"/>
      <c r="K317" s="1083"/>
      <c r="L317" s="1083"/>
      <c r="M317" s="1083"/>
      <c r="N317" s="1083"/>
      <c r="O317" s="1083"/>
      <c r="P317" s="1083"/>
      <c r="Q317" s="1083"/>
      <c r="R317" s="1083"/>
      <c r="S317" s="1083"/>
      <c r="T317" s="1083"/>
      <c r="U317" s="1083"/>
      <c r="V317" s="1083"/>
      <c r="W317" s="1083"/>
      <c r="X317" s="1083"/>
      <c r="Y317" s="1083"/>
      <c r="Z317" s="1083"/>
      <c r="AA317" s="1083"/>
      <c r="AB317" s="1083"/>
      <c r="AC317" s="1083"/>
      <c r="AD317" s="1083"/>
      <c r="AE317" s="1083"/>
    </row>
    <row r="318" spans="2:31" ht="13.5" hidden="1" thickTop="1">
      <c r="B318" s="1087"/>
      <c r="C318" s="1603"/>
      <c r="D318" s="1087"/>
      <c r="E318" s="1100"/>
      <c r="F318" s="1105"/>
      <c r="I318" s="1083"/>
      <c r="J318" s="1083"/>
      <c r="K318" s="1083"/>
      <c r="L318" s="1083"/>
      <c r="M318" s="1083"/>
      <c r="N318" s="1083"/>
      <c r="O318" s="1083"/>
      <c r="P318" s="1083"/>
      <c r="Q318" s="1083"/>
      <c r="R318" s="1083"/>
      <c r="S318" s="1083"/>
      <c r="T318" s="1083"/>
      <c r="U318" s="1083"/>
      <c r="V318" s="1083"/>
      <c r="W318" s="1083"/>
      <c r="X318" s="1083"/>
      <c r="Y318" s="1083"/>
      <c r="Z318" s="1083"/>
      <c r="AA318" s="1083"/>
      <c r="AB318" s="1083"/>
      <c r="AC318" s="1083"/>
      <c r="AD318" s="1083"/>
      <c r="AE318" s="1083"/>
    </row>
    <row r="319" spans="2:31" ht="13.5" hidden="1" thickBot="1">
      <c r="B319" s="1392" t="s">
        <v>613</v>
      </c>
      <c r="C319" s="1614"/>
      <c r="D319" s="1135"/>
      <c r="E319" s="1135"/>
      <c r="F319" s="1135"/>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row>
    <row r="320" spans="2:31" ht="13.5" hidden="1" thickTop="1">
      <c r="B320" s="1137" t="s">
        <v>1225</v>
      </c>
      <c r="C320" s="1610">
        <v>1.05</v>
      </c>
      <c r="D320" s="1138" t="s">
        <v>2</v>
      </c>
      <c r="E320" s="1139" t="e">
        <f>+E314</f>
        <v>#REF!</v>
      </c>
      <c r="F320" s="1140" t="e">
        <f>C320*E320</f>
        <v>#REF!</v>
      </c>
      <c r="I320" s="1083"/>
      <c r="J320" s="1083"/>
      <c r="K320" s="1083"/>
      <c r="L320" s="1083"/>
      <c r="M320" s="1083"/>
      <c r="N320" s="1083"/>
      <c r="O320" s="1083"/>
      <c r="P320" s="1083"/>
      <c r="Q320" s="1083"/>
      <c r="R320" s="1083"/>
      <c r="S320" s="1083"/>
      <c r="T320" s="1083"/>
      <c r="U320" s="1083"/>
      <c r="V320" s="1083"/>
      <c r="W320" s="1083"/>
      <c r="X320" s="1083"/>
      <c r="Y320" s="1083"/>
      <c r="Z320" s="1083"/>
      <c r="AA320" s="1083"/>
      <c r="AB320" s="1083"/>
      <c r="AC320" s="1083"/>
      <c r="AD320" s="1083"/>
      <c r="AE320" s="1083"/>
    </row>
    <row r="321" spans="2:31" hidden="1">
      <c r="B321" s="1141" t="s">
        <v>1087</v>
      </c>
      <c r="C321" s="1611">
        <v>3.06</v>
      </c>
      <c r="D321" s="1142" t="s">
        <v>126</v>
      </c>
      <c r="E321" s="1143">
        <f>+E315</f>
        <v>2913</v>
      </c>
      <c r="F321" s="1144">
        <f>C321*E321</f>
        <v>8913.7800000000007</v>
      </c>
      <c r="I321" s="1083"/>
      <c r="J321" s="1083"/>
      <c r="K321" s="1083"/>
      <c r="L321" s="1083"/>
      <c r="M321" s="1083"/>
      <c r="N321" s="1083"/>
      <c r="O321" s="1083"/>
      <c r="P321" s="1083"/>
      <c r="Q321" s="1083"/>
      <c r="R321" s="1083"/>
      <c r="S321" s="1083"/>
      <c r="T321" s="1083"/>
      <c r="U321" s="1083"/>
      <c r="V321" s="1083"/>
      <c r="W321" s="1083"/>
      <c r="X321" s="1083"/>
      <c r="Y321" s="1083"/>
      <c r="Z321" s="1083"/>
      <c r="AA321" s="1083"/>
      <c r="AB321" s="1083"/>
      <c r="AC321" s="1083"/>
      <c r="AD321" s="1083"/>
      <c r="AE321" s="1083"/>
    </row>
    <row r="322" spans="2:31" hidden="1">
      <c r="B322" s="1141" t="s">
        <v>1089</v>
      </c>
      <c r="C322" s="1611">
        <f>1/0.25</f>
        <v>4</v>
      </c>
      <c r="D322" s="1152" t="s">
        <v>1</v>
      </c>
      <c r="E322" s="1143">
        <v>1000</v>
      </c>
      <c r="F322" s="1144">
        <f>C322*E322</f>
        <v>4000</v>
      </c>
      <c r="I322" s="1083"/>
      <c r="J322" s="1083"/>
      <c r="K322" s="1083"/>
      <c r="L322" s="1083"/>
      <c r="M322" s="1083"/>
      <c r="N322" s="1083"/>
      <c r="O322" s="1083"/>
      <c r="P322" s="1083"/>
      <c r="Q322" s="1083"/>
      <c r="R322" s="1083"/>
      <c r="S322" s="1083"/>
      <c r="T322" s="1083"/>
      <c r="U322" s="1083"/>
      <c r="V322" s="1083"/>
      <c r="W322" s="1083"/>
      <c r="X322" s="1083"/>
      <c r="Y322" s="1083"/>
      <c r="Z322" s="1083"/>
      <c r="AA322" s="1083"/>
      <c r="AB322" s="1083"/>
      <c r="AC322" s="1083"/>
      <c r="AD322" s="1083"/>
      <c r="AE322" s="1083"/>
    </row>
    <row r="323" spans="2:31" ht="13.5" hidden="1" thickBot="1">
      <c r="B323" s="1145"/>
      <c r="C323" s="1612"/>
      <c r="D323" s="1146"/>
      <c r="E323" s="1147" t="s">
        <v>1031</v>
      </c>
      <c r="F323" s="1148" t="e">
        <f>ROUND(SUM(F320:F322),2)</f>
        <v>#REF!</v>
      </c>
      <c r="I323" s="1083"/>
      <c r="J323" s="1083"/>
      <c r="K323" s="1083"/>
      <c r="L323" s="1083"/>
      <c r="M323" s="1083"/>
      <c r="N323" s="1083"/>
      <c r="O323" s="1083"/>
      <c r="P323" s="1083"/>
      <c r="Q323" s="1083"/>
      <c r="R323" s="1083"/>
      <c r="S323" s="1083"/>
      <c r="T323" s="1083"/>
      <c r="U323" s="1083"/>
      <c r="V323" s="1083"/>
      <c r="W323" s="1083"/>
      <c r="X323" s="1083"/>
      <c r="Y323" s="1083"/>
      <c r="Z323" s="1083"/>
      <c r="AA323" s="1083"/>
      <c r="AB323" s="1083"/>
      <c r="AC323" s="1083"/>
      <c r="AD323" s="1083"/>
      <c r="AE323" s="1083"/>
    </row>
    <row r="324" spans="2:31" ht="13.5" hidden="1" thickTop="1">
      <c r="B324" s="1087"/>
      <c r="C324" s="1603"/>
      <c r="D324" s="1087"/>
      <c r="E324" s="1100"/>
      <c r="F324" s="1105"/>
      <c r="I324" s="1083"/>
      <c r="J324" s="1083"/>
      <c r="K324" s="1083"/>
      <c r="L324" s="1083"/>
      <c r="M324" s="1083"/>
      <c r="N324" s="1083"/>
      <c r="O324" s="1083"/>
      <c r="P324" s="1083"/>
      <c r="Q324" s="1083"/>
      <c r="R324" s="1083"/>
      <c r="S324" s="1083"/>
      <c r="T324" s="1083"/>
      <c r="U324" s="1083"/>
      <c r="V324" s="1083"/>
      <c r="W324" s="1083"/>
      <c r="X324" s="1083"/>
      <c r="Y324" s="1083"/>
      <c r="Z324" s="1083"/>
      <c r="AA324" s="1083"/>
      <c r="AB324" s="1083"/>
      <c r="AC324" s="1083"/>
      <c r="AD324" s="1083"/>
      <c r="AE324" s="1083"/>
    </row>
    <row r="325" spans="2:31" ht="20.25" hidden="1">
      <c r="B325" s="1914" t="s">
        <v>626</v>
      </c>
      <c r="C325" s="1603"/>
      <c r="D325" s="1087"/>
      <c r="E325" s="1100"/>
      <c r="F325" s="1105"/>
      <c r="I325" s="1083"/>
      <c r="J325" s="1083"/>
      <c r="K325" s="1083"/>
      <c r="L325" s="1083"/>
      <c r="M325" s="1083"/>
      <c r="N325" s="1083"/>
      <c r="O325" s="1083"/>
      <c r="P325" s="1083"/>
      <c r="Q325" s="1083"/>
      <c r="R325" s="1083"/>
      <c r="S325" s="1083"/>
      <c r="T325" s="1083"/>
      <c r="U325" s="1083"/>
      <c r="V325" s="1083"/>
      <c r="W325" s="1083"/>
      <c r="X325" s="1083"/>
      <c r="Y325" s="1083"/>
      <c r="Z325" s="1083"/>
      <c r="AA325" s="1083"/>
      <c r="AB325" s="1083"/>
      <c r="AC325" s="1083"/>
      <c r="AD325" s="1083"/>
      <c r="AE325" s="1083"/>
    </row>
    <row r="326" spans="2:31" hidden="1">
      <c r="B326" s="1087"/>
      <c r="C326" s="1603"/>
      <c r="D326" s="1087"/>
      <c r="E326" s="1100"/>
      <c r="F326" s="1105"/>
      <c r="I326" s="1083"/>
      <c r="J326" s="1083"/>
      <c r="K326" s="1083"/>
      <c r="L326" s="1083"/>
      <c r="M326" s="1083"/>
      <c r="N326" s="1083"/>
      <c r="O326" s="1083"/>
      <c r="P326" s="1083"/>
      <c r="Q326" s="1083"/>
      <c r="R326" s="1083"/>
      <c r="S326" s="1083"/>
      <c r="T326" s="1083"/>
      <c r="U326" s="1083"/>
      <c r="V326" s="1083"/>
      <c r="W326" s="1083"/>
      <c r="X326" s="1083"/>
      <c r="Y326" s="1083"/>
      <c r="Z326" s="1083"/>
      <c r="AA326" s="1083"/>
      <c r="AB326" s="1083"/>
      <c r="AC326" s="1083"/>
      <c r="AD326" s="1083"/>
      <c r="AE326" s="1083"/>
    </row>
    <row r="327" spans="2:31" ht="13.5" hidden="1" thickBot="1">
      <c r="B327" s="1387" t="s">
        <v>629</v>
      </c>
      <c r="C327" s="1609"/>
      <c r="D327" s="1131"/>
      <c r="E327" s="1132"/>
      <c r="F327" s="1133"/>
      <c r="I327" s="1083"/>
      <c r="J327" s="1083"/>
      <c r="K327" s="1083"/>
      <c r="L327" s="1083"/>
      <c r="M327" s="1083"/>
      <c r="N327" s="1083"/>
      <c r="O327" s="1083"/>
      <c r="P327" s="1083"/>
      <c r="Q327" s="1083"/>
      <c r="R327" s="1083"/>
      <c r="S327" s="1083"/>
      <c r="T327" s="1083"/>
      <c r="U327" s="1083"/>
      <c r="V327" s="1083"/>
      <c r="W327" s="1083"/>
      <c r="X327" s="1083"/>
      <c r="Y327" s="1083"/>
      <c r="Z327" s="1083"/>
      <c r="AA327" s="1083"/>
      <c r="AB327" s="1083"/>
      <c r="AC327" s="1083"/>
      <c r="AD327" s="1083"/>
      <c r="AE327" s="1083"/>
    </row>
    <row r="328" spans="2:31" ht="13.5" hidden="1" thickTop="1">
      <c r="B328" s="1137" t="s">
        <v>1225</v>
      </c>
      <c r="C328" s="1610">
        <v>1.05</v>
      </c>
      <c r="D328" s="1138" t="s">
        <v>2</v>
      </c>
      <c r="E328" s="1139" t="e">
        <f>+E320</f>
        <v>#REF!</v>
      </c>
      <c r="F328" s="1140" t="e">
        <f>C328*E328</f>
        <v>#REF!</v>
      </c>
      <c r="I328" s="1083"/>
      <c r="J328" s="1083"/>
      <c r="K328" s="1083"/>
      <c r="L328" s="1083"/>
      <c r="M328" s="1083"/>
      <c r="N328" s="1083"/>
      <c r="O328" s="1083"/>
      <c r="P328" s="1083"/>
      <c r="Q328" s="1083"/>
      <c r="R328" s="1083"/>
      <c r="S328" s="1083"/>
      <c r="T328" s="1083"/>
      <c r="U328" s="1083"/>
      <c r="V328" s="1083"/>
      <c r="W328" s="1083"/>
      <c r="X328" s="1083"/>
      <c r="Y328" s="1083"/>
      <c r="Z328" s="1083"/>
      <c r="AA328" s="1083"/>
      <c r="AB328" s="1083"/>
      <c r="AC328" s="1083"/>
      <c r="AD328" s="1083"/>
      <c r="AE328" s="1083"/>
    </row>
    <row r="329" spans="2:31" hidden="1">
      <c r="B329" s="1141" t="s">
        <v>272</v>
      </c>
      <c r="C329" s="1611">
        <v>1.42</v>
      </c>
      <c r="D329" s="1142" t="s">
        <v>126</v>
      </c>
      <c r="E329" s="1143">
        <f>+E321</f>
        <v>2913</v>
      </c>
      <c r="F329" s="1144">
        <f>C329*E329</f>
        <v>4136.46</v>
      </c>
      <c r="I329" s="1083"/>
      <c r="J329" s="1083"/>
      <c r="K329" s="1083"/>
      <c r="L329" s="1083"/>
      <c r="M329" s="1083"/>
      <c r="N329" s="1083"/>
      <c r="O329" s="1083"/>
      <c r="P329" s="1083"/>
      <c r="Q329" s="1083"/>
      <c r="R329" s="1083"/>
      <c r="S329" s="1083"/>
      <c r="T329" s="1083"/>
      <c r="U329" s="1083"/>
      <c r="V329" s="1083"/>
      <c r="W329" s="1083"/>
      <c r="X329" s="1083"/>
      <c r="Y329" s="1083"/>
      <c r="Z329" s="1083"/>
      <c r="AA329" s="1083"/>
      <c r="AB329" s="1083"/>
      <c r="AC329" s="1083"/>
      <c r="AD329" s="1083"/>
      <c r="AE329" s="1083"/>
    </row>
    <row r="330" spans="2:31" ht="13.5" hidden="1" thickBot="1">
      <c r="B330" s="1145"/>
      <c r="C330" s="1612"/>
      <c r="D330" s="1146"/>
      <c r="E330" s="1147" t="s">
        <v>1031</v>
      </c>
      <c r="F330" s="1148" t="e">
        <f>ROUND(SUM(F328:F329),2)</f>
        <v>#REF!</v>
      </c>
      <c r="I330" s="1083"/>
      <c r="J330" s="1083"/>
      <c r="K330" s="1083"/>
      <c r="L330" s="1083"/>
      <c r="M330" s="1083"/>
      <c r="N330" s="1083"/>
      <c r="O330" s="1083"/>
      <c r="P330" s="1083"/>
      <c r="Q330" s="1083"/>
      <c r="R330" s="1083"/>
      <c r="S330" s="1083"/>
      <c r="T330" s="1083"/>
      <c r="U330" s="1083"/>
      <c r="V330" s="1083"/>
      <c r="W330" s="1083"/>
      <c r="X330" s="1083"/>
      <c r="Y330" s="1083"/>
      <c r="Z330" s="1083"/>
      <c r="AA330" s="1083"/>
      <c r="AB330" s="1083"/>
      <c r="AC330" s="1083"/>
      <c r="AD330" s="1083"/>
      <c r="AE330" s="1083"/>
    </row>
    <row r="331" spans="2:31" ht="13.5" hidden="1" thickTop="1">
      <c r="B331" s="1149"/>
      <c r="C331" s="1613"/>
      <c r="D331" s="1149"/>
      <c r="E331" s="1150"/>
      <c r="F331" s="1151"/>
      <c r="I331" s="1083"/>
      <c r="J331" s="1083"/>
      <c r="K331" s="1083"/>
      <c r="L331" s="1083"/>
      <c r="M331" s="1083"/>
      <c r="N331" s="1083"/>
      <c r="O331" s="1083"/>
      <c r="P331" s="1083"/>
      <c r="Q331" s="1083"/>
      <c r="R331" s="1083"/>
      <c r="S331" s="1083"/>
      <c r="T331" s="1083"/>
      <c r="U331" s="1083"/>
      <c r="V331" s="1083"/>
      <c r="W331" s="1083"/>
      <c r="X331" s="1083"/>
      <c r="Y331" s="1083"/>
      <c r="Z331" s="1083"/>
      <c r="AA331" s="1083"/>
      <c r="AB331" s="1083"/>
      <c r="AC331" s="1083"/>
      <c r="AD331" s="1083"/>
      <c r="AE331" s="1083"/>
    </row>
    <row r="332" spans="2:31" ht="20.25" hidden="1">
      <c r="B332" s="1914" t="s">
        <v>633</v>
      </c>
      <c r="C332" s="1603"/>
      <c r="D332" s="1087"/>
      <c r="E332" s="1100"/>
      <c r="F332" s="1105"/>
      <c r="I332" s="1083"/>
      <c r="J332" s="1083"/>
      <c r="K332" s="1083"/>
      <c r="L332" s="1083"/>
      <c r="M332" s="1083"/>
      <c r="N332" s="1083"/>
      <c r="O332" s="1083"/>
      <c r="P332" s="1083"/>
      <c r="Q332" s="1083"/>
      <c r="R332" s="1083"/>
      <c r="S332" s="1083"/>
      <c r="T332" s="1083"/>
      <c r="U332" s="1083"/>
      <c r="V332" s="1083"/>
      <c r="W332" s="1083"/>
      <c r="X332" s="1083"/>
      <c r="Y332" s="1083"/>
      <c r="Z332" s="1083"/>
      <c r="AA332" s="1083"/>
      <c r="AB332" s="1083"/>
      <c r="AC332" s="1083"/>
      <c r="AD332" s="1083"/>
      <c r="AE332" s="1083"/>
    </row>
    <row r="333" spans="2:31" hidden="1">
      <c r="B333" s="1087"/>
      <c r="C333" s="1603"/>
      <c r="D333" s="1087"/>
      <c r="E333" s="1100"/>
      <c r="F333" s="1105"/>
      <c r="I333" s="1083"/>
      <c r="J333" s="1083"/>
      <c r="K333" s="1083"/>
      <c r="L333" s="1083"/>
      <c r="M333" s="1083"/>
      <c r="N333" s="1083"/>
      <c r="O333" s="1083"/>
      <c r="P333" s="1083"/>
      <c r="Q333" s="1083"/>
      <c r="R333" s="1083"/>
      <c r="S333" s="1083"/>
      <c r="T333" s="1083"/>
      <c r="U333" s="1083"/>
      <c r="V333" s="1083"/>
      <c r="W333" s="1083"/>
      <c r="X333" s="1083"/>
      <c r="Y333" s="1083"/>
      <c r="Z333" s="1083"/>
      <c r="AA333" s="1083"/>
      <c r="AB333" s="1083"/>
      <c r="AC333" s="1083"/>
      <c r="AD333" s="1083"/>
      <c r="AE333" s="1083"/>
    </row>
    <row r="334" spans="2:31" ht="13.5" hidden="1" thickBot="1">
      <c r="B334" s="1387" t="s">
        <v>629</v>
      </c>
      <c r="C334" s="1609"/>
      <c r="D334" s="1131"/>
      <c r="E334" s="1132"/>
      <c r="F334" s="113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row>
    <row r="335" spans="2:31" ht="13.5" hidden="1" thickTop="1">
      <c r="B335" s="1137" t="s">
        <v>1225</v>
      </c>
      <c r="C335" s="1610">
        <v>1.05</v>
      </c>
      <c r="D335" s="1138" t="s">
        <v>2</v>
      </c>
      <c r="E335" s="1139" t="e">
        <f>+E328</f>
        <v>#REF!</v>
      </c>
      <c r="F335" s="1140" t="e">
        <f>C335*E335</f>
        <v>#REF!</v>
      </c>
      <c r="I335" s="1083"/>
      <c r="J335" s="1083"/>
      <c r="K335" s="1083"/>
      <c r="L335" s="1083"/>
      <c r="M335" s="1083"/>
      <c r="N335" s="1083"/>
      <c r="O335" s="1083"/>
      <c r="P335" s="1083"/>
      <c r="Q335" s="1083"/>
      <c r="R335" s="1083"/>
      <c r="S335" s="1083"/>
      <c r="T335" s="1083"/>
      <c r="U335" s="1083"/>
      <c r="V335" s="1083"/>
      <c r="W335" s="1083"/>
      <c r="X335" s="1083"/>
      <c r="Y335" s="1083"/>
      <c r="Z335" s="1083"/>
      <c r="AA335" s="1083"/>
      <c r="AB335" s="1083"/>
      <c r="AC335" s="1083"/>
      <c r="AD335" s="1083"/>
      <c r="AE335" s="1083"/>
    </row>
    <row r="336" spans="2:31" hidden="1">
      <c r="B336" s="1141" t="s">
        <v>272</v>
      </c>
      <c r="C336" s="1611">
        <v>1.42</v>
      </c>
      <c r="D336" s="1142" t="s">
        <v>126</v>
      </c>
      <c r="E336" s="1143">
        <f>+E329</f>
        <v>2913</v>
      </c>
      <c r="F336" s="1144">
        <f>C336*E336</f>
        <v>4136.46</v>
      </c>
      <c r="I336" s="1083"/>
      <c r="J336" s="1083"/>
      <c r="K336" s="1083"/>
      <c r="L336" s="1083"/>
      <c r="M336" s="1083"/>
      <c r="N336" s="1083"/>
      <c r="O336" s="1083"/>
      <c r="P336" s="1083"/>
      <c r="Q336" s="1083"/>
      <c r="R336" s="1083"/>
      <c r="S336" s="1083"/>
      <c r="T336" s="1083"/>
      <c r="U336" s="1083"/>
      <c r="V336" s="1083"/>
      <c r="W336" s="1083"/>
      <c r="X336" s="1083"/>
      <c r="Y336" s="1083"/>
      <c r="Z336" s="1083"/>
      <c r="AA336" s="1083"/>
      <c r="AB336" s="1083"/>
      <c r="AC336" s="1083"/>
      <c r="AD336" s="1083"/>
      <c r="AE336" s="1083"/>
    </row>
    <row r="337" spans="2:31" ht="13.5" hidden="1" thickBot="1">
      <c r="B337" s="1145"/>
      <c r="C337" s="1612"/>
      <c r="D337" s="1146"/>
      <c r="E337" s="1147" t="s">
        <v>1031</v>
      </c>
      <c r="F337" s="1148" t="e">
        <f>ROUND(SUM(F335:F336),2)</f>
        <v>#REF!</v>
      </c>
      <c r="I337" s="1083"/>
      <c r="J337" s="1083"/>
      <c r="K337" s="1083"/>
      <c r="L337" s="1083"/>
      <c r="M337" s="1083"/>
      <c r="N337" s="1083"/>
      <c r="O337" s="1083"/>
      <c r="P337" s="1083"/>
      <c r="Q337" s="1083"/>
      <c r="R337" s="1083"/>
      <c r="S337" s="1083"/>
      <c r="T337" s="1083"/>
      <c r="U337" s="1083"/>
      <c r="V337" s="1083"/>
      <c r="W337" s="1083"/>
      <c r="X337" s="1083"/>
      <c r="Y337" s="1083"/>
      <c r="Z337" s="1083"/>
      <c r="AA337" s="1083"/>
      <c r="AB337" s="1083"/>
      <c r="AC337" s="1083"/>
      <c r="AD337" s="1083"/>
      <c r="AE337" s="1083"/>
    </row>
    <row r="338" spans="2:31" ht="13.5" hidden="1" thickTop="1">
      <c r="B338" s="1149"/>
      <c r="C338" s="1613"/>
      <c r="D338" s="1149"/>
      <c r="E338" s="1150"/>
      <c r="F338" s="1151"/>
      <c r="I338" s="1083"/>
      <c r="J338" s="1083"/>
      <c r="K338" s="1083"/>
      <c r="L338" s="1083"/>
      <c r="M338" s="1083"/>
      <c r="N338" s="1083"/>
      <c r="O338" s="1083"/>
      <c r="P338" s="1083"/>
      <c r="Q338" s="1083"/>
      <c r="R338" s="1083"/>
      <c r="S338" s="1083"/>
      <c r="T338" s="1083"/>
      <c r="U338" s="1083"/>
      <c r="V338" s="1083"/>
      <c r="W338" s="1083"/>
      <c r="X338" s="1083"/>
      <c r="Y338" s="1083"/>
      <c r="Z338" s="1083"/>
      <c r="AA338" s="1083"/>
      <c r="AB338" s="1083"/>
      <c r="AC338" s="1083"/>
      <c r="AD338" s="1083"/>
      <c r="AE338" s="1083"/>
    </row>
    <row r="339" spans="2:31" ht="20.25" hidden="1">
      <c r="B339" s="1914" t="s">
        <v>642</v>
      </c>
      <c r="C339" s="1603"/>
      <c r="D339" s="1087"/>
      <c r="E339" s="1100"/>
      <c r="F339" s="1105"/>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1083"/>
      <c r="AD339" s="1083"/>
      <c r="AE339" s="1083"/>
    </row>
    <row r="340" spans="2:31" hidden="1">
      <c r="B340" s="1087"/>
      <c r="C340" s="1603"/>
      <c r="D340" s="1087"/>
      <c r="E340" s="1100"/>
      <c r="F340" s="1105"/>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1083"/>
      <c r="AD340" s="1083"/>
      <c r="AE340" s="1083"/>
    </row>
    <row r="341" spans="2:31" ht="13.5" hidden="1" thickBot="1">
      <c r="B341" s="1387" t="s">
        <v>609</v>
      </c>
      <c r="C341" s="1609"/>
      <c r="D341" s="1131"/>
      <c r="E341" s="1132"/>
      <c r="F341" s="113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1083"/>
      <c r="AD341" s="1083"/>
      <c r="AE341" s="1083"/>
    </row>
    <row r="342" spans="2:31" ht="13.5" hidden="1" thickTop="1">
      <c r="B342" s="1137" t="s">
        <v>1225</v>
      </c>
      <c r="C342" s="1610">
        <v>1.05</v>
      </c>
      <c r="D342" s="1138" t="s">
        <v>2</v>
      </c>
      <c r="E342" s="1139" t="e">
        <f>+E335</f>
        <v>#REF!</v>
      </c>
      <c r="F342" s="1140" t="e">
        <f>C342*E342</f>
        <v>#REF!</v>
      </c>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1083"/>
      <c r="AD342" s="1083"/>
      <c r="AE342" s="1083"/>
    </row>
    <row r="343" spans="2:31" hidden="1">
      <c r="B343" s="1141" t="s">
        <v>272</v>
      </c>
      <c r="C343" s="1611">
        <v>0.99</v>
      </c>
      <c r="D343" s="1142" t="s">
        <v>126</v>
      </c>
      <c r="E343" s="1143">
        <f>+E336</f>
        <v>2913</v>
      </c>
      <c r="F343" s="1144">
        <f>C343*E343</f>
        <v>2883.87</v>
      </c>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1083"/>
      <c r="AD343" s="1083"/>
      <c r="AE343" s="1083"/>
    </row>
    <row r="344" spans="2:31" ht="13.5" hidden="1" thickBot="1">
      <c r="B344" s="1145"/>
      <c r="C344" s="1612"/>
      <c r="D344" s="1146"/>
      <c r="E344" s="1147" t="s">
        <v>1031</v>
      </c>
      <c r="F344" s="1148" t="e">
        <f>ROUND(SUM(F342:F343),2)</f>
        <v>#REF!</v>
      </c>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1083"/>
      <c r="AD344" s="1083"/>
      <c r="AE344" s="1083"/>
    </row>
    <row r="345" spans="2:31" ht="13.5" hidden="1" thickTop="1">
      <c r="B345" s="1149"/>
      <c r="C345" s="1613"/>
      <c r="D345" s="1149"/>
      <c r="E345" s="1150"/>
      <c r="F345" s="1151"/>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row>
    <row r="346" spans="2:31" ht="13.5" hidden="1" thickBot="1">
      <c r="B346" s="1392" t="s">
        <v>611</v>
      </c>
      <c r="C346" s="1614"/>
      <c r="D346" s="1135"/>
      <c r="E346" s="1135"/>
      <c r="F346" s="1135"/>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row>
    <row r="347" spans="2:31" ht="13.5" hidden="1" thickTop="1">
      <c r="B347" s="1137" t="s">
        <v>1225</v>
      </c>
      <c r="C347" s="1610">
        <v>1.05</v>
      </c>
      <c r="D347" s="1138" t="s">
        <v>2</v>
      </c>
      <c r="E347" s="1139" t="e">
        <f>+E342</f>
        <v>#REF!</v>
      </c>
      <c r="F347" s="1140" t="e">
        <f>C347*E347</f>
        <v>#REF!</v>
      </c>
      <c r="I347" s="1083"/>
      <c r="J347" s="1083"/>
      <c r="K347" s="1083"/>
      <c r="L347" s="1083"/>
      <c r="M347" s="1083"/>
      <c r="N347" s="1083"/>
      <c r="O347" s="1083"/>
      <c r="P347" s="1083"/>
      <c r="Q347" s="1083"/>
      <c r="R347" s="1083"/>
      <c r="S347" s="1083"/>
      <c r="T347" s="1083"/>
      <c r="U347" s="1083"/>
      <c r="V347" s="1083"/>
      <c r="W347" s="1083"/>
      <c r="X347" s="1083"/>
      <c r="Y347" s="1083"/>
      <c r="Z347" s="1083"/>
      <c r="AA347" s="1083"/>
      <c r="AB347" s="1083"/>
      <c r="AC347" s="1083"/>
      <c r="AD347" s="1083"/>
      <c r="AE347" s="1083"/>
    </row>
    <row r="348" spans="2:31" hidden="1">
      <c r="B348" s="1141" t="s">
        <v>1087</v>
      </c>
      <c r="C348" s="1611">
        <v>2.5</v>
      </c>
      <c r="D348" s="1142" t="s">
        <v>126</v>
      </c>
      <c r="E348" s="1143">
        <f>+E343</f>
        <v>2913</v>
      </c>
      <c r="F348" s="1144">
        <f>C348*E348</f>
        <v>7282.5</v>
      </c>
      <c r="I348" s="1083"/>
      <c r="J348" s="1083"/>
      <c r="K348" s="1083"/>
      <c r="L348" s="1083"/>
      <c r="M348" s="1083"/>
      <c r="N348" s="1083"/>
      <c r="O348" s="1083"/>
      <c r="P348" s="1083"/>
      <c r="Q348" s="1083"/>
      <c r="R348" s="1083"/>
      <c r="S348" s="1083"/>
      <c r="T348" s="1083"/>
      <c r="U348" s="1083"/>
      <c r="V348" s="1083"/>
      <c r="W348" s="1083"/>
      <c r="X348" s="1083"/>
      <c r="Y348" s="1083"/>
      <c r="Z348" s="1083"/>
      <c r="AA348" s="1083"/>
      <c r="AB348" s="1083"/>
      <c r="AC348" s="1083"/>
      <c r="AD348" s="1083"/>
      <c r="AE348" s="1083"/>
    </row>
    <row r="349" spans="2:31" hidden="1">
      <c r="B349" s="1141" t="s">
        <v>1089</v>
      </c>
      <c r="C349" s="1611">
        <f>1/0.3</f>
        <v>3.33</v>
      </c>
      <c r="D349" s="1152" t="s">
        <v>1</v>
      </c>
      <c r="E349" s="1143">
        <v>1000</v>
      </c>
      <c r="F349" s="1144">
        <f>C349*E349</f>
        <v>3330</v>
      </c>
      <c r="I349" s="1083"/>
      <c r="J349" s="1083"/>
      <c r="K349" s="1083"/>
      <c r="L349" s="1083"/>
      <c r="M349" s="1083"/>
      <c r="N349" s="1083"/>
      <c r="O349" s="1083"/>
      <c r="P349" s="1083"/>
      <c r="Q349" s="1083"/>
      <c r="R349" s="1083"/>
      <c r="S349" s="1083"/>
      <c r="T349" s="1083"/>
      <c r="U349" s="1083"/>
      <c r="V349" s="1083"/>
      <c r="W349" s="1083"/>
      <c r="X349" s="1083"/>
      <c r="Y349" s="1083"/>
      <c r="Z349" s="1083"/>
      <c r="AA349" s="1083"/>
      <c r="AB349" s="1083"/>
      <c r="AC349" s="1083"/>
      <c r="AD349" s="1083"/>
      <c r="AE349" s="1083"/>
    </row>
    <row r="350" spans="2:31" ht="13.5" hidden="1" thickBot="1">
      <c r="B350" s="1145"/>
      <c r="C350" s="1612"/>
      <c r="D350" s="1146"/>
      <c r="E350" s="1147" t="s">
        <v>1031</v>
      </c>
      <c r="F350" s="1148" t="e">
        <f>ROUND(SUM(F347:F349),2)</f>
        <v>#REF!</v>
      </c>
      <c r="I350" s="1083"/>
      <c r="J350" s="1083"/>
      <c r="K350" s="1083"/>
      <c r="L350" s="1083"/>
      <c r="M350" s="1083"/>
      <c r="N350" s="1083"/>
      <c r="O350" s="1083"/>
      <c r="P350" s="1083"/>
      <c r="Q350" s="1083"/>
      <c r="R350" s="1083"/>
      <c r="S350" s="1083"/>
      <c r="T350" s="1083"/>
      <c r="U350" s="1083"/>
      <c r="V350" s="1083"/>
      <c r="W350" s="1083"/>
      <c r="X350" s="1083"/>
      <c r="Y350" s="1083"/>
      <c r="Z350" s="1083"/>
      <c r="AA350" s="1083"/>
      <c r="AB350" s="1083"/>
      <c r="AC350" s="1083"/>
      <c r="AD350" s="1083"/>
      <c r="AE350" s="1083"/>
    </row>
    <row r="351" spans="2:31" ht="13.5" hidden="1" thickTop="1">
      <c r="B351" s="1087"/>
      <c r="C351" s="1603"/>
      <c r="D351" s="1087"/>
      <c r="E351" s="1100"/>
      <c r="F351" s="1105"/>
      <c r="I351" s="1083"/>
      <c r="J351" s="1083"/>
      <c r="K351" s="1083"/>
      <c r="L351" s="1083"/>
      <c r="M351" s="1083"/>
      <c r="N351" s="1083"/>
      <c r="O351" s="1083"/>
      <c r="P351" s="1083"/>
      <c r="Q351" s="1083"/>
      <c r="R351" s="1083"/>
      <c r="S351" s="1083"/>
      <c r="T351" s="1083"/>
      <c r="U351" s="1083"/>
      <c r="V351" s="1083"/>
      <c r="W351" s="1083"/>
      <c r="X351" s="1083"/>
      <c r="Y351" s="1083"/>
      <c r="Z351" s="1083"/>
      <c r="AA351" s="1083"/>
      <c r="AB351" s="1083"/>
      <c r="AC351" s="1083"/>
      <c r="AD351" s="1083"/>
      <c r="AE351" s="1083"/>
    </row>
    <row r="352" spans="2:31" ht="13.5" hidden="1" thickBot="1">
      <c r="B352" s="1392" t="s">
        <v>645</v>
      </c>
      <c r="C352" s="1614"/>
      <c r="D352" s="1135"/>
      <c r="E352" s="1135"/>
      <c r="F352" s="1135"/>
      <c r="I352" s="1083"/>
      <c r="J352" s="1083"/>
      <c r="K352" s="1083"/>
      <c r="L352" s="1083"/>
      <c r="M352" s="1083"/>
      <c r="N352" s="1083"/>
      <c r="O352" s="1083"/>
      <c r="P352" s="1083"/>
      <c r="Q352" s="1083"/>
      <c r="R352" s="1083"/>
      <c r="S352" s="1083"/>
      <c r="T352" s="1083"/>
      <c r="U352" s="1083"/>
      <c r="V352" s="1083"/>
      <c r="W352" s="1083"/>
      <c r="X352" s="1083"/>
      <c r="Y352" s="1083"/>
      <c r="Z352" s="1083"/>
      <c r="AA352" s="1083"/>
      <c r="AB352" s="1083"/>
      <c r="AC352" s="1083"/>
      <c r="AD352" s="1083"/>
      <c r="AE352" s="1083"/>
    </row>
    <row r="353" spans="2:31" ht="13.5" hidden="1" thickTop="1">
      <c r="B353" s="1137" t="s">
        <v>1225</v>
      </c>
      <c r="C353" s="1610">
        <v>1.05</v>
      </c>
      <c r="D353" s="1138" t="s">
        <v>2</v>
      </c>
      <c r="E353" s="1139" t="e">
        <f>+E347</f>
        <v>#REF!</v>
      </c>
      <c r="F353" s="1140" t="e">
        <f>C353*E353</f>
        <v>#REF!</v>
      </c>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row>
    <row r="354" spans="2:31" hidden="1">
      <c r="B354" s="1141" t="s">
        <v>1087</v>
      </c>
      <c r="C354" s="1611">
        <v>2.3199999999999998</v>
      </c>
      <c r="D354" s="1142" t="s">
        <v>126</v>
      </c>
      <c r="E354" s="1143">
        <f>+E348</f>
        <v>2913</v>
      </c>
      <c r="F354" s="1144">
        <f>C354*E354</f>
        <v>6758.16</v>
      </c>
      <c r="I354" s="1083"/>
      <c r="J354" s="1083"/>
      <c r="K354" s="1083"/>
      <c r="L354" s="1083"/>
      <c r="M354" s="1083"/>
      <c r="N354" s="1083"/>
      <c r="O354" s="1083"/>
      <c r="P354" s="1083"/>
      <c r="Q354" s="1083"/>
      <c r="R354" s="1083"/>
      <c r="S354" s="1083"/>
      <c r="T354" s="1083"/>
      <c r="U354" s="1083"/>
      <c r="V354" s="1083"/>
      <c r="W354" s="1083"/>
      <c r="X354" s="1083"/>
      <c r="Y354" s="1083"/>
      <c r="Z354" s="1083"/>
      <c r="AA354" s="1083"/>
      <c r="AB354" s="1083"/>
      <c r="AC354" s="1083"/>
      <c r="AD354" s="1083"/>
      <c r="AE354" s="1083"/>
    </row>
    <row r="355" spans="2:31" hidden="1">
      <c r="B355" s="1141" t="s">
        <v>1089</v>
      </c>
      <c r="C355" s="1611">
        <f>1/0.25</f>
        <v>4</v>
      </c>
      <c r="D355" s="1152" t="s">
        <v>1</v>
      </c>
      <c r="E355" s="1143">
        <v>1000</v>
      </c>
      <c r="F355" s="1144">
        <f>C355*E355</f>
        <v>4000</v>
      </c>
      <c r="I355" s="1083"/>
      <c r="J355" s="1083"/>
      <c r="K355" s="1083"/>
      <c r="L355" s="1083"/>
      <c r="M355" s="1083"/>
      <c r="N355" s="1083"/>
      <c r="O355" s="1083"/>
      <c r="P355" s="1083"/>
      <c r="Q355" s="1083"/>
      <c r="R355" s="1083"/>
      <c r="S355" s="1083"/>
      <c r="T355" s="1083"/>
      <c r="U355" s="1083"/>
      <c r="V355" s="1083"/>
      <c r="W355" s="1083"/>
      <c r="X355" s="1083"/>
      <c r="Y355" s="1083"/>
      <c r="Z355" s="1083"/>
      <c r="AA355" s="1083"/>
      <c r="AB355" s="1083"/>
      <c r="AC355" s="1083"/>
      <c r="AD355" s="1083"/>
      <c r="AE355" s="1083"/>
    </row>
    <row r="356" spans="2:31" ht="13.5" hidden="1" thickBot="1">
      <c r="B356" s="1145"/>
      <c r="C356" s="1612"/>
      <c r="D356" s="1146"/>
      <c r="E356" s="1147" t="s">
        <v>1031</v>
      </c>
      <c r="F356" s="1148" t="e">
        <f>ROUND(SUM(F353:F355),2)</f>
        <v>#REF!</v>
      </c>
      <c r="I356" s="1083"/>
      <c r="J356" s="1083"/>
      <c r="K356" s="1083"/>
      <c r="L356" s="1083"/>
      <c r="M356" s="1083"/>
      <c r="N356" s="1083"/>
      <c r="O356" s="1083"/>
      <c r="P356" s="1083"/>
      <c r="Q356" s="1083"/>
      <c r="R356" s="1083"/>
      <c r="S356" s="1083"/>
      <c r="T356" s="1083"/>
      <c r="U356" s="1083"/>
      <c r="V356" s="1083"/>
      <c r="W356" s="1083"/>
      <c r="X356" s="1083"/>
      <c r="Y356" s="1083"/>
      <c r="Z356" s="1083"/>
      <c r="AA356" s="1083"/>
      <c r="AB356" s="1083"/>
      <c r="AC356" s="1083"/>
      <c r="AD356" s="1083"/>
      <c r="AE356" s="1083"/>
    </row>
    <row r="357" spans="2:31" ht="13.5" hidden="1" thickTop="1">
      <c r="B357" s="1156"/>
      <c r="C357" s="1613"/>
      <c r="D357" s="1149"/>
      <c r="E357" s="1150"/>
      <c r="F357" s="1151"/>
      <c r="I357" s="1083"/>
      <c r="J357" s="1083"/>
      <c r="K357" s="1083"/>
      <c r="L357" s="1083"/>
      <c r="M357" s="1083"/>
      <c r="N357" s="1083"/>
      <c r="O357" s="1083"/>
      <c r="P357" s="1083"/>
      <c r="Q357" s="1083"/>
      <c r="R357" s="1083"/>
      <c r="S357" s="1083"/>
      <c r="T357" s="1083"/>
      <c r="U357" s="1083"/>
      <c r="V357" s="1083"/>
      <c r="W357" s="1083"/>
      <c r="X357" s="1083"/>
      <c r="Y357" s="1083"/>
      <c r="Z357" s="1083"/>
      <c r="AA357" s="1083"/>
      <c r="AB357" s="1083"/>
      <c r="AC357" s="1083"/>
      <c r="AD357" s="1083"/>
      <c r="AE357" s="1083"/>
    </row>
    <row r="358" spans="2:31" ht="13.5" hidden="1" thickBot="1">
      <c r="B358" s="1387" t="s">
        <v>629</v>
      </c>
      <c r="C358" s="1609"/>
      <c r="D358" s="1131"/>
      <c r="E358" s="1132"/>
      <c r="F358" s="1133"/>
      <c r="I358" s="1083"/>
      <c r="J358" s="1083"/>
      <c r="K358" s="1083"/>
      <c r="L358" s="1083"/>
      <c r="M358" s="1083"/>
      <c r="N358" s="1083"/>
      <c r="O358" s="1083"/>
      <c r="P358" s="1083"/>
      <c r="Q358" s="1083"/>
      <c r="R358" s="1083"/>
      <c r="S358" s="1083"/>
      <c r="T358" s="1083"/>
      <c r="U358" s="1083"/>
      <c r="V358" s="1083"/>
      <c r="W358" s="1083"/>
      <c r="X358" s="1083"/>
      <c r="Y358" s="1083"/>
      <c r="Z358" s="1083"/>
      <c r="AA358" s="1083"/>
      <c r="AB358" s="1083"/>
      <c r="AC358" s="1083"/>
      <c r="AD358" s="1083"/>
      <c r="AE358" s="1083"/>
    </row>
    <row r="359" spans="2:31" ht="13.5" hidden="1" thickTop="1">
      <c r="B359" s="1137" t="s">
        <v>1225</v>
      </c>
      <c r="C359" s="1610">
        <v>1.05</v>
      </c>
      <c r="D359" s="1138" t="s">
        <v>2</v>
      </c>
      <c r="E359" s="1139" t="e">
        <f>+E335</f>
        <v>#REF!</v>
      </c>
      <c r="F359" s="1140" t="e">
        <f>C359*E359</f>
        <v>#REF!</v>
      </c>
      <c r="I359" s="1083"/>
      <c r="J359" s="1083"/>
      <c r="K359" s="1083"/>
      <c r="L359" s="1083"/>
      <c r="M359" s="1083"/>
      <c r="N359" s="1083"/>
      <c r="O359" s="1083"/>
      <c r="P359" s="1083"/>
      <c r="Q359" s="1083"/>
      <c r="R359" s="1083"/>
      <c r="S359" s="1083"/>
      <c r="T359" s="1083"/>
      <c r="U359" s="1083"/>
      <c r="V359" s="1083"/>
      <c r="W359" s="1083"/>
      <c r="X359" s="1083"/>
      <c r="Y359" s="1083"/>
      <c r="Z359" s="1083"/>
      <c r="AA359" s="1083"/>
      <c r="AB359" s="1083"/>
      <c r="AC359" s="1083"/>
      <c r="AD359" s="1083"/>
      <c r="AE359" s="1083"/>
    </row>
    <row r="360" spans="2:31" hidden="1">
      <c r="B360" s="1141" t="s">
        <v>272</v>
      </c>
      <c r="C360" s="1611">
        <v>1.42</v>
      </c>
      <c r="D360" s="1142" t="s">
        <v>126</v>
      </c>
      <c r="E360" s="1143">
        <f>+E336</f>
        <v>2913</v>
      </c>
      <c r="F360" s="1144">
        <f>C360*E360</f>
        <v>4136.46</v>
      </c>
      <c r="I360" s="1083"/>
      <c r="J360" s="1083"/>
      <c r="K360" s="1083"/>
      <c r="L360" s="1083"/>
      <c r="M360" s="1083"/>
      <c r="N360" s="1083"/>
      <c r="O360" s="1083"/>
      <c r="P360" s="1083"/>
      <c r="Q360" s="1083"/>
      <c r="R360" s="1083"/>
      <c r="S360" s="1083"/>
      <c r="T360" s="1083"/>
      <c r="U360" s="1083"/>
      <c r="V360" s="1083"/>
      <c r="W360" s="1083"/>
      <c r="X360" s="1083"/>
      <c r="Y360" s="1083"/>
      <c r="Z360" s="1083"/>
      <c r="AA360" s="1083"/>
      <c r="AB360" s="1083"/>
      <c r="AC360" s="1083"/>
      <c r="AD360" s="1083"/>
      <c r="AE360" s="1083"/>
    </row>
    <row r="361" spans="2:31" ht="13.5" hidden="1" thickBot="1">
      <c r="B361" s="1145"/>
      <c r="C361" s="1612"/>
      <c r="D361" s="1146"/>
      <c r="E361" s="1147" t="s">
        <v>1031</v>
      </c>
      <c r="F361" s="1148" t="e">
        <f>ROUND(SUM(F359:F360),2)</f>
        <v>#REF!</v>
      </c>
      <c r="I361" s="1083"/>
      <c r="J361" s="1083"/>
      <c r="K361" s="1083"/>
      <c r="L361" s="1083"/>
      <c r="M361" s="1083"/>
      <c r="N361" s="1083"/>
      <c r="O361" s="1083"/>
      <c r="P361" s="1083"/>
      <c r="Q361" s="1083"/>
      <c r="R361" s="1083"/>
      <c r="S361" s="1083"/>
      <c r="T361" s="1083"/>
      <c r="U361" s="1083"/>
      <c r="V361" s="1083"/>
      <c r="W361" s="1083"/>
      <c r="X361" s="1083"/>
      <c r="Y361" s="1083"/>
      <c r="Z361" s="1083"/>
      <c r="AA361" s="1083"/>
      <c r="AB361" s="1083"/>
      <c r="AC361" s="1083"/>
      <c r="AD361" s="1083"/>
      <c r="AE361" s="1083"/>
    </row>
    <row r="362" spans="2:31" ht="13.5" hidden="1" thickTop="1">
      <c r="B362" s="1149"/>
      <c r="C362" s="1613"/>
      <c r="D362" s="1149"/>
      <c r="E362" s="1150"/>
      <c r="F362" s="1151"/>
      <c r="I362" s="1083"/>
      <c r="J362" s="1083"/>
      <c r="K362" s="1083"/>
      <c r="L362" s="1083"/>
      <c r="M362" s="1083"/>
      <c r="N362" s="1083"/>
      <c r="O362" s="1083"/>
      <c r="P362" s="1083"/>
      <c r="Q362" s="1083"/>
      <c r="R362" s="1083"/>
      <c r="S362" s="1083"/>
      <c r="T362" s="1083"/>
      <c r="U362" s="1083"/>
      <c r="V362" s="1083"/>
      <c r="W362" s="1083"/>
      <c r="X362" s="1083"/>
      <c r="Y362" s="1083"/>
      <c r="Z362" s="1083"/>
      <c r="AA362" s="1083"/>
      <c r="AB362" s="1083"/>
      <c r="AC362" s="1083"/>
      <c r="AD362" s="1083"/>
      <c r="AE362" s="1083"/>
    </row>
    <row r="363" spans="2:31" ht="20.25" hidden="1">
      <c r="B363" s="1914" t="s">
        <v>662</v>
      </c>
      <c r="C363" s="1603"/>
      <c r="D363" s="1087"/>
      <c r="E363" s="1100"/>
      <c r="F363" s="1105"/>
      <c r="I363" s="1083"/>
      <c r="J363" s="1083"/>
      <c r="K363" s="1083"/>
      <c r="L363" s="1083"/>
      <c r="M363" s="1083"/>
      <c r="N363" s="1083"/>
      <c r="O363" s="1083"/>
      <c r="P363" s="1083"/>
      <c r="Q363" s="1083"/>
      <c r="R363" s="1083"/>
      <c r="S363" s="1083"/>
      <c r="T363" s="1083"/>
      <c r="U363" s="1083"/>
      <c r="V363" s="1083"/>
      <c r="W363" s="1083"/>
      <c r="X363" s="1083"/>
      <c r="Y363" s="1083"/>
      <c r="Z363" s="1083"/>
      <c r="AA363" s="1083"/>
      <c r="AB363" s="1083"/>
      <c r="AC363" s="1083"/>
      <c r="AD363" s="1083"/>
      <c r="AE363" s="1083"/>
    </row>
    <row r="364" spans="2:31" hidden="1">
      <c r="B364" s="1087"/>
      <c r="C364" s="1603"/>
      <c r="D364" s="1087"/>
      <c r="E364" s="1100"/>
      <c r="F364" s="1105"/>
      <c r="I364" s="1083"/>
      <c r="J364" s="1083"/>
      <c r="K364" s="1083"/>
      <c r="L364" s="1083"/>
      <c r="M364" s="1083"/>
      <c r="N364" s="1083"/>
      <c r="O364" s="1083"/>
      <c r="P364" s="1083"/>
      <c r="Q364" s="1083"/>
      <c r="R364" s="1083"/>
      <c r="S364" s="1083"/>
      <c r="T364" s="1083"/>
      <c r="U364" s="1083"/>
      <c r="V364" s="1083"/>
      <c r="W364" s="1083"/>
      <c r="X364" s="1083"/>
      <c r="Y364" s="1083"/>
      <c r="Z364" s="1083"/>
      <c r="AA364" s="1083"/>
      <c r="AB364" s="1083"/>
      <c r="AC364" s="1083"/>
      <c r="AD364" s="1083"/>
      <c r="AE364" s="1083"/>
    </row>
    <row r="365" spans="2:31" ht="13.5" hidden="1" thickBot="1">
      <c r="B365" s="1387" t="s">
        <v>629</v>
      </c>
      <c r="C365" s="1609"/>
      <c r="D365" s="1131"/>
      <c r="E365" s="1132"/>
      <c r="F365" s="1133"/>
      <c r="I365" s="1083"/>
      <c r="J365" s="1083"/>
      <c r="K365" s="1083"/>
      <c r="L365" s="1083"/>
      <c r="M365" s="1083"/>
      <c r="N365" s="1083"/>
      <c r="O365" s="1083"/>
      <c r="P365" s="1083"/>
      <c r="Q365" s="1083"/>
      <c r="R365" s="1083"/>
      <c r="S365" s="1083"/>
      <c r="T365" s="1083"/>
      <c r="U365" s="1083"/>
      <c r="V365" s="1083"/>
      <c r="W365" s="1083"/>
      <c r="X365" s="1083"/>
      <c r="Y365" s="1083"/>
      <c r="Z365" s="1083"/>
      <c r="AA365" s="1083"/>
      <c r="AB365" s="1083"/>
      <c r="AC365" s="1083"/>
      <c r="AD365" s="1083"/>
      <c r="AE365" s="1083"/>
    </row>
    <row r="366" spans="2:31" ht="13.5" hidden="1" thickTop="1">
      <c r="B366" s="1137" t="s">
        <v>1225</v>
      </c>
      <c r="C366" s="1610">
        <v>1.05</v>
      </c>
      <c r="D366" s="1138" t="s">
        <v>2</v>
      </c>
      <c r="E366" s="1139" t="e">
        <f>+E342</f>
        <v>#REF!</v>
      </c>
      <c r="F366" s="1140" t="e">
        <f>C366*E366</f>
        <v>#REF!</v>
      </c>
      <c r="I366" s="1083"/>
      <c r="J366" s="1083"/>
      <c r="K366" s="1083"/>
      <c r="L366" s="1083"/>
      <c r="M366" s="1083"/>
      <c r="N366" s="1083"/>
      <c r="O366" s="1083"/>
      <c r="P366" s="1083"/>
      <c r="Q366" s="1083"/>
      <c r="R366" s="1083"/>
      <c r="S366" s="1083"/>
      <c r="T366" s="1083"/>
      <c r="U366" s="1083"/>
      <c r="V366" s="1083"/>
      <c r="W366" s="1083"/>
      <c r="X366" s="1083"/>
      <c r="Y366" s="1083"/>
      <c r="Z366" s="1083"/>
      <c r="AA366" s="1083"/>
      <c r="AB366" s="1083"/>
      <c r="AC366" s="1083"/>
      <c r="AD366" s="1083"/>
      <c r="AE366" s="1083"/>
    </row>
    <row r="367" spans="2:31" hidden="1">
      <c r="B367" s="1141" t="s">
        <v>272</v>
      </c>
      <c r="C367" s="1611">
        <v>1.42</v>
      </c>
      <c r="D367" s="1142" t="s">
        <v>126</v>
      </c>
      <c r="E367" s="1143">
        <f>+E343</f>
        <v>2913</v>
      </c>
      <c r="F367" s="1144">
        <f>C367*E367</f>
        <v>4136.46</v>
      </c>
      <c r="I367" s="1083"/>
      <c r="J367" s="1083"/>
      <c r="K367" s="1083"/>
      <c r="L367" s="1083"/>
      <c r="M367" s="1083"/>
      <c r="N367" s="1083"/>
      <c r="O367" s="1083"/>
      <c r="P367" s="1083"/>
      <c r="Q367" s="1083"/>
      <c r="R367" s="1083"/>
      <c r="S367" s="1083"/>
      <c r="T367" s="1083"/>
      <c r="U367" s="1083"/>
      <c r="V367" s="1083"/>
      <c r="W367" s="1083"/>
      <c r="X367" s="1083"/>
      <c r="Y367" s="1083"/>
      <c r="Z367" s="1083"/>
      <c r="AA367" s="1083"/>
      <c r="AB367" s="1083"/>
      <c r="AC367" s="1083"/>
      <c r="AD367" s="1083"/>
      <c r="AE367" s="1083"/>
    </row>
    <row r="368" spans="2:31" ht="13.5" hidden="1" thickBot="1">
      <c r="B368" s="1145"/>
      <c r="C368" s="1612"/>
      <c r="D368" s="1146"/>
      <c r="E368" s="1147" t="s">
        <v>1031</v>
      </c>
      <c r="F368" s="1148" t="e">
        <f>ROUND(SUM(F366:F367),2)</f>
        <v>#REF!</v>
      </c>
      <c r="I368" s="1083"/>
      <c r="J368" s="1083"/>
      <c r="K368" s="1083"/>
      <c r="L368" s="1083"/>
      <c r="M368" s="1083"/>
      <c r="N368" s="1083"/>
      <c r="O368" s="1083"/>
      <c r="P368" s="1083"/>
      <c r="Q368" s="1083"/>
      <c r="R368" s="1083"/>
      <c r="S368" s="1083"/>
      <c r="T368" s="1083"/>
      <c r="U368" s="1083"/>
      <c r="V368" s="1083"/>
      <c r="W368" s="1083"/>
      <c r="X368" s="1083"/>
      <c r="Y368" s="1083"/>
      <c r="Z368" s="1083"/>
      <c r="AA368" s="1083"/>
      <c r="AB368" s="1083"/>
      <c r="AC368" s="1083"/>
      <c r="AD368" s="1083"/>
      <c r="AE368" s="1083"/>
    </row>
    <row r="369" spans="2:31" ht="13.5" hidden="1" thickTop="1">
      <c r="B369" s="1087"/>
      <c r="C369" s="1603"/>
      <c r="D369" s="1087"/>
      <c r="E369" s="1100"/>
      <c r="F369" s="1105"/>
      <c r="I369" s="1083"/>
      <c r="J369" s="1083"/>
      <c r="K369" s="1083"/>
      <c r="L369" s="1083"/>
      <c r="M369" s="1083"/>
      <c r="N369" s="1083"/>
      <c r="O369" s="1083"/>
      <c r="P369" s="1083"/>
      <c r="Q369" s="1083"/>
      <c r="R369" s="1083"/>
      <c r="S369" s="1083"/>
      <c r="T369" s="1083"/>
      <c r="U369" s="1083"/>
      <c r="V369" s="1083"/>
      <c r="W369" s="1083"/>
      <c r="X369" s="1083"/>
      <c r="Y369" s="1083"/>
      <c r="Z369" s="1083"/>
      <c r="AA369" s="1083"/>
      <c r="AB369" s="1083"/>
      <c r="AC369" s="1083"/>
      <c r="AD369" s="1083"/>
      <c r="AE369" s="1083"/>
    </row>
    <row r="370" spans="2:31" ht="13.5" hidden="1" thickBot="1">
      <c r="B370" s="1392" t="s">
        <v>1227</v>
      </c>
      <c r="C370" s="1614"/>
      <c r="D370" s="1135"/>
      <c r="E370" s="1135"/>
      <c r="F370" s="1135"/>
      <c r="I370" s="1083"/>
      <c r="J370" s="1083"/>
      <c r="K370" s="1083"/>
      <c r="L370" s="1083"/>
      <c r="M370" s="1083"/>
      <c r="N370" s="1083"/>
      <c r="O370" s="1083"/>
      <c r="P370" s="1083"/>
      <c r="Q370" s="1083"/>
      <c r="R370" s="1083"/>
      <c r="S370" s="1083"/>
      <c r="T370" s="1083"/>
      <c r="U370" s="1083"/>
      <c r="V370" s="1083"/>
      <c r="W370" s="1083"/>
      <c r="X370" s="1083"/>
      <c r="Y370" s="1083"/>
      <c r="Z370" s="1083"/>
      <c r="AA370" s="1083"/>
      <c r="AB370" s="1083"/>
      <c r="AC370" s="1083"/>
      <c r="AD370" s="1083"/>
      <c r="AE370" s="1083"/>
    </row>
    <row r="371" spans="2:31" ht="13.5" hidden="1" thickTop="1">
      <c r="B371" s="1137" t="s">
        <v>1225</v>
      </c>
      <c r="C371" s="1610">
        <v>1.05</v>
      </c>
      <c r="D371" s="1138" t="s">
        <v>2</v>
      </c>
      <c r="E371" s="1139" t="e">
        <f>+E366</f>
        <v>#REF!</v>
      </c>
      <c r="F371" s="1140" t="e">
        <f>C371*E371</f>
        <v>#REF!</v>
      </c>
      <c r="I371" s="1083"/>
      <c r="J371" s="1083"/>
      <c r="K371" s="1083"/>
      <c r="L371" s="1083"/>
      <c r="M371" s="1083"/>
      <c r="N371" s="1083"/>
      <c r="O371" s="1083"/>
      <c r="P371" s="1083"/>
      <c r="Q371" s="1083"/>
      <c r="R371" s="1083"/>
      <c r="S371" s="1083"/>
      <c r="T371" s="1083"/>
      <c r="U371" s="1083"/>
      <c r="V371" s="1083"/>
      <c r="W371" s="1083"/>
      <c r="X371" s="1083"/>
      <c r="Y371" s="1083"/>
      <c r="Z371" s="1083"/>
      <c r="AA371" s="1083"/>
      <c r="AB371" s="1083"/>
      <c r="AC371" s="1083"/>
      <c r="AD371" s="1083"/>
      <c r="AE371" s="1083"/>
    </row>
    <row r="372" spans="2:31" hidden="1">
      <c r="B372" s="1141" t="s">
        <v>1087</v>
      </c>
      <c r="C372" s="1611">
        <v>3.06</v>
      </c>
      <c r="D372" s="1142" t="s">
        <v>126</v>
      </c>
      <c r="E372" s="1143">
        <f>+E367</f>
        <v>2913</v>
      </c>
      <c r="F372" s="1144">
        <f>C372*E372</f>
        <v>8913.7800000000007</v>
      </c>
      <c r="I372" s="1083"/>
      <c r="J372" s="1083"/>
      <c r="K372" s="1083"/>
      <c r="L372" s="1083"/>
      <c r="M372" s="1083"/>
      <c r="N372" s="1083"/>
      <c r="O372" s="1083"/>
      <c r="P372" s="1083"/>
      <c r="Q372" s="1083"/>
      <c r="R372" s="1083"/>
      <c r="S372" s="1083"/>
      <c r="T372" s="1083"/>
      <c r="U372" s="1083"/>
      <c r="V372" s="1083"/>
      <c r="W372" s="1083"/>
      <c r="X372" s="1083"/>
      <c r="Y372" s="1083"/>
      <c r="Z372" s="1083"/>
      <c r="AA372" s="1083"/>
      <c r="AB372" s="1083"/>
      <c r="AC372" s="1083"/>
      <c r="AD372" s="1083"/>
      <c r="AE372" s="1083"/>
    </row>
    <row r="373" spans="2:31" hidden="1">
      <c r="B373" s="1141" t="s">
        <v>1089</v>
      </c>
      <c r="C373" s="1611">
        <f>1/0.25</f>
        <v>4</v>
      </c>
      <c r="D373" s="1152" t="s">
        <v>1</v>
      </c>
      <c r="E373" s="1143">
        <v>1000</v>
      </c>
      <c r="F373" s="1144">
        <f>C373*E373</f>
        <v>4000</v>
      </c>
      <c r="I373" s="1083"/>
      <c r="J373" s="1083"/>
      <c r="K373" s="1083"/>
      <c r="L373" s="1083"/>
      <c r="M373" s="1083"/>
      <c r="N373" s="1083"/>
      <c r="O373" s="1083"/>
      <c r="P373" s="1083"/>
      <c r="Q373" s="1083"/>
      <c r="R373" s="1083"/>
      <c r="S373" s="1083"/>
      <c r="T373" s="1083"/>
      <c r="U373" s="1083"/>
      <c r="V373" s="1083"/>
      <c r="W373" s="1083"/>
      <c r="X373" s="1083"/>
      <c r="Y373" s="1083"/>
      <c r="Z373" s="1083"/>
      <c r="AA373" s="1083"/>
      <c r="AB373" s="1083"/>
      <c r="AC373" s="1083"/>
      <c r="AD373" s="1083"/>
      <c r="AE373" s="1083"/>
    </row>
    <row r="374" spans="2:31" ht="13.5" hidden="1" thickBot="1">
      <c r="B374" s="1145"/>
      <c r="C374" s="1612"/>
      <c r="D374" s="1146"/>
      <c r="E374" s="1147" t="s">
        <v>1031</v>
      </c>
      <c r="F374" s="1148" t="e">
        <f>ROUND(SUM(F371:F373),2)</f>
        <v>#REF!</v>
      </c>
      <c r="I374" s="1083"/>
      <c r="J374" s="1083"/>
      <c r="K374" s="1083"/>
      <c r="L374" s="1083"/>
      <c r="M374" s="1083"/>
      <c r="N374" s="1083"/>
      <c r="O374" s="1083"/>
      <c r="P374" s="1083"/>
      <c r="Q374" s="1083"/>
      <c r="R374" s="1083"/>
      <c r="S374" s="1083"/>
      <c r="T374" s="1083"/>
      <c r="U374" s="1083"/>
      <c r="V374" s="1083"/>
      <c r="W374" s="1083"/>
      <c r="X374" s="1083"/>
      <c r="Y374" s="1083"/>
      <c r="Z374" s="1083"/>
      <c r="AA374" s="1083"/>
      <c r="AB374" s="1083"/>
      <c r="AC374" s="1083"/>
      <c r="AD374" s="1083"/>
      <c r="AE374" s="1083"/>
    </row>
    <row r="375" spans="2:31" ht="13.5" hidden="1" thickTop="1">
      <c r="B375" s="1156"/>
      <c r="C375" s="1613"/>
      <c r="D375" s="1149"/>
      <c r="E375" s="1150"/>
      <c r="F375" s="1151"/>
      <c r="I375" s="1083"/>
      <c r="J375" s="1083"/>
      <c r="K375" s="1083"/>
      <c r="L375" s="1083"/>
      <c r="M375" s="1083"/>
      <c r="N375" s="1083"/>
      <c r="O375" s="1083"/>
      <c r="P375" s="1083"/>
      <c r="Q375" s="1083"/>
      <c r="R375" s="1083"/>
      <c r="S375" s="1083"/>
      <c r="T375" s="1083"/>
      <c r="U375" s="1083"/>
      <c r="V375" s="1083"/>
      <c r="W375" s="1083"/>
      <c r="X375" s="1083"/>
      <c r="Y375" s="1083"/>
      <c r="Z375" s="1083"/>
      <c r="AA375" s="1083"/>
      <c r="AB375" s="1083"/>
      <c r="AC375" s="1083"/>
      <c r="AD375" s="1083"/>
      <c r="AE375" s="1083"/>
    </row>
    <row r="376" spans="2:31" ht="20.25" hidden="1">
      <c r="B376" s="1914" t="s">
        <v>666</v>
      </c>
      <c r="C376" s="1603"/>
      <c r="D376" s="1087"/>
      <c r="E376" s="1100"/>
      <c r="F376" s="1105"/>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row>
    <row r="377" spans="2:31" hidden="1">
      <c r="B377" s="1087"/>
      <c r="C377" s="1603"/>
      <c r="D377" s="1087"/>
      <c r="E377" s="1100"/>
      <c r="F377" s="1105"/>
      <c r="I377" s="1083"/>
      <c r="J377" s="1083"/>
      <c r="K377" s="1083"/>
      <c r="L377" s="1083"/>
      <c r="M377" s="1083"/>
      <c r="N377" s="1083"/>
      <c r="O377" s="1083"/>
      <c r="P377" s="1083"/>
      <c r="Q377" s="1083"/>
      <c r="R377" s="1083"/>
      <c r="S377" s="1083"/>
      <c r="T377" s="1083"/>
      <c r="U377" s="1083"/>
      <c r="V377" s="1083"/>
      <c r="W377" s="1083"/>
      <c r="X377" s="1083"/>
      <c r="Y377" s="1083"/>
      <c r="Z377" s="1083"/>
      <c r="AA377" s="1083"/>
      <c r="AB377" s="1083"/>
      <c r="AC377" s="1083"/>
      <c r="AD377" s="1083"/>
      <c r="AE377" s="1083"/>
    </row>
    <row r="378" spans="2:31" ht="13.5" hidden="1" thickBot="1">
      <c r="B378" s="1387" t="s">
        <v>668</v>
      </c>
      <c r="C378" s="1609"/>
      <c r="D378" s="1131"/>
      <c r="E378" s="1132"/>
      <c r="F378" s="1133"/>
      <c r="I378" s="1083"/>
      <c r="J378" s="1083"/>
      <c r="K378" s="1083"/>
      <c r="L378" s="1083"/>
      <c r="M378" s="1083"/>
      <c r="N378" s="1083"/>
      <c r="O378" s="1083"/>
      <c r="P378" s="1083"/>
      <c r="Q378" s="1083"/>
      <c r="R378" s="1083"/>
      <c r="S378" s="1083"/>
      <c r="T378" s="1083"/>
      <c r="U378" s="1083"/>
      <c r="V378" s="1083"/>
      <c r="W378" s="1083"/>
      <c r="X378" s="1083"/>
      <c r="Y378" s="1083"/>
      <c r="Z378" s="1083"/>
      <c r="AA378" s="1083"/>
      <c r="AB378" s="1083"/>
      <c r="AC378" s="1083"/>
      <c r="AD378" s="1083"/>
      <c r="AE378" s="1083"/>
    </row>
    <row r="379" spans="2:31" ht="13.5" hidden="1" thickTop="1">
      <c r="B379" s="1137" t="s">
        <v>1225</v>
      </c>
      <c r="C379" s="1610">
        <v>1.05</v>
      </c>
      <c r="D379" s="1138" t="s">
        <v>2</v>
      </c>
      <c r="E379" s="1139" t="e">
        <f>+E366</f>
        <v>#REF!</v>
      </c>
      <c r="F379" s="1140" t="e">
        <f>C379*E379</f>
        <v>#REF!</v>
      </c>
      <c r="I379" s="1083"/>
      <c r="J379" s="1083"/>
      <c r="K379" s="1083"/>
      <c r="L379" s="1083"/>
      <c r="M379" s="1083"/>
      <c r="N379" s="1083"/>
      <c r="O379" s="1083"/>
      <c r="P379" s="1083"/>
      <c r="Q379" s="1083"/>
      <c r="R379" s="1083"/>
      <c r="S379" s="1083"/>
      <c r="T379" s="1083"/>
      <c r="U379" s="1083"/>
      <c r="V379" s="1083"/>
      <c r="W379" s="1083"/>
      <c r="X379" s="1083"/>
      <c r="Y379" s="1083"/>
      <c r="Z379" s="1083"/>
      <c r="AA379" s="1083"/>
      <c r="AB379" s="1083"/>
      <c r="AC379" s="1083"/>
      <c r="AD379" s="1083"/>
      <c r="AE379" s="1083"/>
    </row>
    <row r="380" spans="2:31" hidden="1">
      <c r="B380" s="1141" t="s">
        <v>272</v>
      </c>
      <c r="C380" s="1611">
        <v>0.99</v>
      </c>
      <c r="D380" s="1142" t="s">
        <v>126</v>
      </c>
      <c r="E380" s="1143">
        <f>+E367</f>
        <v>2913</v>
      </c>
      <c r="F380" s="1144">
        <f>C380*E380</f>
        <v>2883.87</v>
      </c>
      <c r="I380" s="1083"/>
      <c r="J380" s="1083"/>
      <c r="K380" s="1083"/>
      <c r="L380" s="1083"/>
      <c r="M380" s="1083"/>
      <c r="N380" s="1083"/>
      <c r="O380" s="1083"/>
      <c r="P380" s="1083"/>
      <c r="Q380" s="1083"/>
      <c r="R380" s="1083"/>
      <c r="S380" s="1083"/>
      <c r="T380" s="1083"/>
      <c r="U380" s="1083"/>
      <c r="V380" s="1083"/>
      <c r="W380" s="1083"/>
      <c r="X380" s="1083"/>
      <c r="Y380" s="1083"/>
      <c r="Z380" s="1083"/>
      <c r="AA380" s="1083"/>
      <c r="AB380" s="1083"/>
      <c r="AC380" s="1083"/>
      <c r="AD380" s="1083"/>
      <c r="AE380" s="1083"/>
    </row>
    <row r="381" spans="2:31" ht="13.5" hidden="1" thickBot="1">
      <c r="B381" s="1145"/>
      <c r="C381" s="1612"/>
      <c r="D381" s="1146"/>
      <c r="E381" s="1147" t="s">
        <v>1031</v>
      </c>
      <c r="F381" s="1148" t="e">
        <f>ROUND(SUM(F379:F380),2)</f>
        <v>#REF!</v>
      </c>
      <c r="I381" s="1083"/>
      <c r="J381" s="1083"/>
      <c r="K381" s="1083"/>
      <c r="L381" s="1083"/>
      <c r="M381" s="1083"/>
      <c r="N381" s="1083"/>
      <c r="O381" s="1083"/>
      <c r="P381" s="1083"/>
      <c r="Q381" s="1083"/>
      <c r="R381" s="1083"/>
      <c r="S381" s="1083"/>
      <c r="T381" s="1083"/>
      <c r="U381" s="1083"/>
      <c r="V381" s="1083"/>
      <c r="W381" s="1083"/>
      <c r="X381" s="1083"/>
      <c r="Y381" s="1083"/>
      <c r="Z381" s="1083"/>
      <c r="AA381" s="1083"/>
      <c r="AB381" s="1083"/>
      <c r="AC381" s="1083"/>
      <c r="AD381" s="1083"/>
      <c r="AE381" s="1083"/>
    </row>
    <row r="382" spans="2:31" ht="13.5" hidden="1" thickTop="1">
      <c r="B382" s="1087"/>
      <c r="C382" s="1603"/>
      <c r="D382" s="1087"/>
      <c r="E382" s="1100"/>
      <c r="F382" s="1105"/>
      <c r="I382" s="1083"/>
      <c r="J382" s="1083"/>
      <c r="K382" s="1083"/>
      <c r="L382" s="1083"/>
      <c r="M382" s="1083"/>
      <c r="N382" s="1083"/>
      <c r="O382" s="1083"/>
      <c r="P382" s="1083"/>
      <c r="Q382" s="1083"/>
      <c r="R382" s="1083"/>
      <c r="S382" s="1083"/>
      <c r="T382" s="1083"/>
      <c r="U382" s="1083"/>
      <c r="V382" s="1083"/>
      <c r="W382" s="1083"/>
      <c r="X382" s="1083"/>
      <c r="Y382" s="1083"/>
      <c r="Z382" s="1083"/>
      <c r="AA382" s="1083"/>
      <c r="AB382" s="1083"/>
      <c r="AC382" s="1083"/>
      <c r="AD382" s="1083"/>
      <c r="AE382" s="1083"/>
    </row>
    <row r="383" spans="2:31" ht="20.25" hidden="1">
      <c r="B383" s="1914" t="s">
        <v>671</v>
      </c>
      <c r="C383" s="1603"/>
      <c r="D383" s="1087"/>
      <c r="E383" s="1100"/>
      <c r="F383" s="1105"/>
      <c r="I383" s="1083"/>
      <c r="J383" s="1083"/>
      <c r="K383" s="1083"/>
      <c r="L383" s="1083"/>
      <c r="M383" s="1083"/>
      <c r="N383" s="1083"/>
      <c r="O383" s="1083"/>
      <c r="P383" s="1083"/>
      <c r="Q383" s="1083"/>
      <c r="R383" s="1083"/>
      <c r="S383" s="1083"/>
      <c r="T383" s="1083"/>
      <c r="U383" s="1083"/>
      <c r="V383" s="1083"/>
      <c r="W383" s="1083"/>
      <c r="X383" s="1083"/>
      <c r="Y383" s="1083"/>
      <c r="Z383" s="1083"/>
      <c r="AA383" s="1083"/>
      <c r="AB383" s="1083"/>
      <c r="AC383" s="1083"/>
      <c r="AD383" s="1083"/>
      <c r="AE383" s="1083"/>
    </row>
    <row r="384" spans="2:31" hidden="1">
      <c r="B384" s="1087"/>
      <c r="C384" s="1603"/>
      <c r="D384" s="1087"/>
      <c r="E384" s="1100"/>
      <c r="F384" s="1105"/>
      <c r="I384" s="1083"/>
      <c r="J384" s="1083"/>
      <c r="K384" s="1083"/>
      <c r="L384" s="1083"/>
      <c r="M384" s="1083"/>
      <c r="N384" s="1083"/>
      <c r="O384" s="1083"/>
      <c r="P384" s="1083"/>
      <c r="Q384" s="1083"/>
      <c r="R384" s="1083"/>
      <c r="S384" s="1083"/>
      <c r="T384" s="1083"/>
      <c r="U384" s="1083"/>
      <c r="V384" s="1083"/>
      <c r="W384" s="1083"/>
      <c r="X384" s="1083"/>
      <c r="Y384" s="1083"/>
      <c r="Z384" s="1083"/>
      <c r="AA384" s="1083"/>
      <c r="AB384" s="1083"/>
      <c r="AC384" s="1083"/>
      <c r="AD384" s="1083"/>
      <c r="AE384" s="1083"/>
    </row>
    <row r="385" spans="2:31" ht="13.5" hidden="1" thickBot="1">
      <c r="B385" s="1387" t="s">
        <v>629</v>
      </c>
      <c r="C385" s="1609"/>
      <c r="D385" s="1131"/>
      <c r="E385" s="1132"/>
      <c r="F385" s="1133"/>
      <c r="I385" s="1083"/>
      <c r="J385" s="1083"/>
      <c r="K385" s="1083"/>
      <c r="L385" s="1083"/>
      <c r="M385" s="1083"/>
      <c r="N385" s="1083"/>
      <c r="O385" s="1083"/>
      <c r="P385" s="1083"/>
      <c r="Q385" s="1083"/>
      <c r="R385" s="1083"/>
      <c r="S385" s="1083"/>
      <c r="T385" s="1083"/>
      <c r="U385" s="1083"/>
      <c r="V385" s="1083"/>
      <c r="W385" s="1083"/>
      <c r="X385" s="1083"/>
      <c r="Y385" s="1083"/>
      <c r="Z385" s="1083"/>
      <c r="AA385" s="1083"/>
      <c r="AB385" s="1083"/>
      <c r="AC385" s="1083"/>
      <c r="AD385" s="1083"/>
      <c r="AE385" s="1083"/>
    </row>
    <row r="386" spans="2:31" ht="13.5" hidden="1" thickTop="1">
      <c r="B386" s="1137" t="s">
        <v>1225</v>
      </c>
      <c r="C386" s="1610">
        <v>1.05</v>
      </c>
      <c r="D386" s="1138" t="s">
        <v>2</v>
      </c>
      <c r="E386" s="1139" t="e">
        <f>+E379</f>
        <v>#REF!</v>
      </c>
      <c r="F386" s="1140" t="e">
        <f>C386*E386</f>
        <v>#REF!</v>
      </c>
      <c r="I386" s="1083"/>
      <c r="J386" s="1083"/>
      <c r="K386" s="1083"/>
      <c r="L386" s="1083"/>
      <c r="M386" s="1083"/>
      <c r="N386" s="1083"/>
      <c r="O386" s="1083"/>
      <c r="P386" s="1083"/>
      <c r="Q386" s="1083"/>
      <c r="R386" s="1083"/>
      <c r="S386" s="1083"/>
      <c r="T386" s="1083"/>
      <c r="U386" s="1083"/>
      <c r="V386" s="1083"/>
      <c r="W386" s="1083"/>
      <c r="X386" s="1083"/>
      <c r="Y386" s="1083"/>
      <c r="Z386" s="1083"/>
      <c r="AA386" s="1083"/>
      <c r="AB386" s="1083"/>
      <c r="AC386" s="1083"/>
      <c r="AD386" s="1083"/>
      <c r="AE386" s="1083"/>
    </row>
    <row r="387" spans="2:31" hidden="1">
      <c r="B387" s="1141" t="s">
        <v>272</v>
      </c>
      <c r="C387" s="1611">
        <v>1.42</v>
      </c>
      <c r="D387" s="1142" t="s">
        <v>126</v>
      </c>
      <c r="E387" s="1143">
        <f>+E380</f>
        <v>2913</v>
      </c>
      <c r="F387" s="1144">
        <f>C387*E387</f>
        <v>4136.46</v>
      </c>
      <c r="I387" s="1083"/>
      <c r="J387" s="1083"/>
      <c r="K387" s="1083"/>
      <c r="L387" s="1083"/>
      <c r="M387" s="1083"/>
      <c r="N387" s="1083"/>
      <c r="O387" s="1083"/>
      <c r="P387" s="1083"/>
      <c r="Q387" s="1083"/>
      <c r="R387" s="1083"/>
      <c r="S387" s="1083"/>
      <c r="T387" s="1083"/>
      <c r="U387" s="1083"/>
      <c r="V387" s="1083"/>
      <c r="W387" s="1083"/>
      <c r="X387" s="1083"/>
      <c r="Y387" s="1083"/>
      <c r="Z387" s="1083"/>
      <c r="AA387" s="1083"/>
      <c r="AB387" s="1083"/>
      <c r="AC387" s="1083"/>
      <c r="AD387" s="1083"/>
      <c r="AE387" s="1083"/>
    </row>
    <row r="388" spans="2:31" ht="13.5" hidden="1" thickBot="1">
      <c r="B388" s="1145"/>
      <c r="C388" s="1612"/>
      <c r="D388" s="1146"/>
      <c r="E388" s="1147" t="s">
        <v>1031</v>
      </c>
      <c r="F388" s="1148" t="e">
        <f>ROUND(SUM(F386:F387),2)</f>
        <v>#REF!</v>
      </c>
      <c r="I388" s="1083"/>
      <c r="J388" s="1083"/>
      <c r="K388" s="1083"/>
      <c r="L388" s="1083"/>
      <c r="M388" s="1083"/>
      <c r="N388" s="1083"/>
      <c r="O388" s="1083"/>
      <c r="P388" s="1083"/>
      <c r="Q388" s="1083"/>
      <c r="R388" s="1083"/>
      <c r="S388" s="1083"/>
      <c r="T388" s="1083"/>
      <c r="U388" s="1083"/>
      <c r="V388" s="1083"/>
      <c r="W388" s="1083"/>
      <c r="X388" s="1083"/>
      <c r="Y388" s="1083"/>
      <c r="Z388" s="1083"/>
      <c r="AA388" s="1083"/>
      <c r="AB388" s="1083"/>
      <c r="AC388" s="1083"/>
      <c r="AD388" s="1083"/>
      <c r="AE388" s="1083"/>
    </row>
    <row r="389" spans="2:31" ht="13.5" hidden="1" thickTop="1">
      <c r="B389" s="1149"/>
      <c r="C389" s="1613"/>
      <c r="D389" s="1149"/>
      <c r="E389" s="1150"/>
      <c r="F389" s="1151"/>
      <c r="I389" s="1083"/>
      <c r="J389" s="1083"/>
      <c r="K389" s="1083"/>
      <c r="L389" s="1083"/>
      <c r="M389" s="1083"/>
      <c r="N389" s="1083"/>
      <c r="O389" s="1083"/>
      <c r="P389" s="1083"/>
      <c r="Q389" s="1083"/>
      <c r="R389" s="1083"/>
      <c r="S389" s="1083"/>
      <c r="T389" s="1083"/>
      <c r="U389" s="1083"/>
      <c r="V389" s="1083"/>
      <c r="W389" s="1083"/>
      <c r="X389" s="1083"/>
      <c r="Y389" s="1083"/>
      <c r="Z389" s="1083"/>
      <c r="AA389" s="1083"/>
      <c r="AB389" s="1083"/>
      <c r="AC389" s="1083"/>
      <c r="AD389" s="1083"/>
      <c r="AE389" s="1083"/>
    </row>
    <row r="390" spans="2:31" ht="20.25" hidden="1">
      <c r="B390" s="1914" t="s">
        <v>673</v>
      </c>
      <c r="C390" s="1603"/>
      <c r="D390" s="1087"/>
      <c r="E390" s="1100"/>
      <c r="F390" s="1105"/>
      <c r="I390" s="1083"/>
      <c r="J390" s="1083"/>
      <c r="K390" s="1083"/>
      <c r="L390" s="1083"/>
      <c r="M390" s="1083"/>
      <c r="N390" s="1083"/>
      <c r="O390" s="1083"/>
      <c r="P390" s="1083"/>
      <c r="Q390" s="1083"/>
      <c r="R390" s="1083"/>
      <c r="S390" s="1083"/>
      <c r="T390" s="1083"/>
      <c r="U390" s="1083"/>
      <c r="V390" s="1083"/>
      <c r="W390" s="1083"/>
      <c r="X390" s="1083"/>
      <c r="Y390" s="1083"/>
      <c r="Z390" s="1083"/>
      <c r="AA390" s="1083"/>
      <c r="AB390" s="1083"/>
      <c r="AC390" s="1083"/>
      <c r="AD390" s="1083"/>
      <c r="AE390" s="1083"/>
    </row>
    <row r="391" spans="2:31" hidden="1">
      <c r="B391" s="1087"/>
      <c r="C391" s="1603"/>
      <c r="D391" s="1087"/>
      <c r="E391" s="1100"/>
      <c r="F391" s="1105"/>
      <c r="I391" s="1083"/>
      <c r="J391" s="1083"/>
      <c r="K391" s="1083"/>
      <c r="L391" s="1083"/>
      <c r="M391" s="1083"/>
      <c r="N391" s="1083"/>
      <c r="O391" s="1083"/>
      <c r="P391" s="1083"/>
      <c r="Q391" s="1083"/>
      <c r="R391" s="1083"/>
      <c r="S391" s="1083"/>
      <c r="T391" s="1083"/>
      <c r="U391" s="1083"/>
      <c r="V391" s="1083"/>
      <c r="W391" s="1083"/>
      <c r="X391" s="1083"/>
      <c r="Y391" s="1083"/>
      <c r="Z391" s="1083"/>
      <c r="AA391" s="1083"/>
      <c r="AB391" s="1083"/>
      <c r="AC391" s="1083"/>
      <c r="AD391" s="1083"/>
      <c r="AE391" s="1083"/>
    </row>
    <row r="392" spans="2:31" ht="13.5" hidden="1" thickBot="1">
      <c r="B392" s="1387" t="s">
        <v>609</v>
      </c>
      <c r="C392" s="1609"/>
      <c r="D392" s="1131"/>
      <c r="E392" s="1132"/>
      <c r="F392" s="1133"/>
      <c r="I392" s="1083"/>
      <c r="J392" s="1083"/>
      <c r="K392" s="1083"/>
      <c r="L392" s="1083"/>
      <c r="M392" s="1083"/>
      <c r="N392" s="1083"/>
      <c r="O392" s="1083"/>
      <c r="P392" s="1083"/>
      <c r="Q392" s="1083"/>
      <c r="R392" s="1083"/>
      <c r="S392" s="1083"/>
      <c r="T392" s="1083"/>
      <c r="U392" s="1083"/>
      <c r="V392" s="1083"/>
      <c r="W392" s="1083"/>
      <c r="X392" s="1083"/>
      <c r="Y392" s="1083"/>
      <c r="Z392" s="1083"/>
      <c r="AA392" s="1083"/>
      <c r="AB392" s="1083"/>
      <c r="AC392" s="1083"/>
      <c r="AD392" s="1083"/>
      <c r="AE392" s="1083"/>
    </row>
    <row r="393" spans="2:31" ht="13.5" hidden="1" thickTop="1">
      <c r="B393" s="1137" t="s">
        <v>1225</v>
      </c>
      <c r="C393" s="1610">
        <v>1.05</v>
      </c>
      <c r="D393" s="1138" t="s">
        <v>2</v>
      </c>
      <c r="E393" s="1139" t="e">
        <f>+E386</f>
        <v>#REF!</v>
      </c>
      <c r="F393" s="1140" t="e">
        <f>C393*E393</f>
        <v>#REF!</v>
      </c>
      <c r="I393" s="1083"/>
      <c r="J393" s="1083"/>
      <c r="K393" s="1083"/>
      <c r="L393" s="1083"/>
      <c r="M393" s="1083"/>
      <c r="N393" s="1083"/>
      <c r="O393" s="1083"/>
      <c r="P393" s="1083"/>
      <c r="Q393" s="1083"/>
      <c r="R393" s="1083"/>
      <c r="S393" s="1083"/>
      <c r="T393" s="1083"/>
      <c r="U393" s="1083"/>
      <c r="V393" s="1083"/>
      <c r="W393" s="1083"/>
      <c r="X393" s="1083"/>
      <c r="Y393" s="1083"/>
      <c r="Z393" s="1083"/>
      <c r="AA393" s="1083"/>
      <c r="AB393" s="1083"/>
      <c r="AC393" s="1083"/>
      <c r="AD393" s="1083"/>
      <c r="AE393" s="1083"/>
    </row>
    <row r="394" spans="2:31" hidden="1">
      <c r="B394" s="1141" t="s">
        <v>272</v>
      </c>
      <c r="C394" s="1611">
        <v>0.99</v>
      </c>
      <c r="D394" s="1142" t="s">
        <v>126</v>
      </c>
      <c r="E394" s="1143">
        <f>+E387</f>
        <v>2913</v>
      </c>
      <c r="F394" s="1144">
        <f>C394*E394</f>
        <v>2883.87</v>
      </c>
      <c r="I394" s="1083"/>
      <c r="J394" s="1083"/>
      <c r="K394" s="1083"/>
      <c r="L394" s="1083"/>
      <c r="M394" s="1083"/>
      <c r="N394" s="1083"/>
      <c r="O394" s="1083"/>
      <c r="P394" s="1083"/>
      <c r="Q394" s="1083"/>
      <c r="R394" s="1083"/>
      <c r="S394" s="1083"/>
      <c r="T394" s="1083"/>
      <c r="U394" s="1083"/>
      <c r="V394" s="1083"/>
      <c r="W394" s="1083"/>
      <c r="X394" s="1083"/>
      <c r="Y394" s="1083"/>
      <c r="Z394" s="1083"/>
      <c r="AA394" s="1083"/>
      <c r="AB394" s="1083"/>
      <c r="AC394" s="1083"/>
      <c r="AD394" s="1083"/>
      <c r="AE394" s="1083"/>
    </row>
    <row r="395" spans="2:31" ht="13.5" hidden="1" thickBot="1">
      <c r="B395" s="1145"/>
      <c r="C395" s="1612"/>
      <c r="D395" s="1146"/>
      <c r="E395" s="1147" t="s">
        <v>1031</v>
      </c>
      <c r="F395" s="1148" t="e">
        <f>ROUND(SUM(F393:F394),2)</f>
        <v>#REF!</v>
      </c>
      <c r="I395" s="1083"/>
      <c r="J395" s="1083"/>
      <c r="K395" s="1083"/>
      <c r="L395" s="1083"/>
      <c r="M395" s="1083"/>
      <c r="N395" s="1083"/>
      <c r="O395" s="1083"/>
      <c r="P395" s="1083"/>
      <c r="Q395" s="1083"/>
      <c r="R395" s="1083"/>
      <c r="S395" s="1083"/>
      <c r="T395" s="1083"/>
      <c r="U395" s="1083"/>
      <c r="V395" s="1083"/>
      <c r="W395" s="1083"/>
      <c r="X395" s="1083"/>
      <c r="Y395" s="1083"/>
      <c r="Z395" s="1083"/>
      <c r="AA395" s="1083"/>
      <c r="AB395" s="1083"/>
      <c r="AC395" s="1083"/>
      <c r="AD395" s="1083"/>
      <c r="AE395" s="1083"/>
    </row>
    <row r="396" spans="2:31" ht="13.5" hidden="1" thickTop="1">
      <c r="B396" s="1149"/>
      <c r="C396" s="1613"/>
      <c r="D396" s="1149"/>
      <c r="E396" s="1150"/>
      <c r="F396" s="1151"/>
      <c r="I396" s="1083"/>
      <c r="J396" s="1083"/>
      <c r="K396" s="1083"/>
      <c r="L396" s="1083"/>
      <c r="M396" s="1083"/>
      <c r="N396" s="1083"/>
      <c r="O396" s="1083"/>
      <c r="P396" s="1083"/>
      <c r="Q396" s="1083"/>
      <c r="R396" s="1083"/>
      <c r="S396" s="1083"/>
      <c r="T396" s="1083"/>
      <c r="U396" s="1083"/>
      <c r="V396" s="1083"/>
      <c r="W396" s="1083"/>
      <c r="X396" s="1083"/>
      <c r="Y396" s="1083"/>
      <c r="Z396" s="1083"/>
      <c r="AA396" s="1083"/>
      <c r="AB396" s="1083"/>
      <c r="AC396" s="1083"/>
      <c r="AD396" s="1083"/>
      <c r="AE396" s="1083"/>
    </row>
    <row r="397" spans="2:31" ht="13.5" hidden="1" thickBot="1">
      <c r="B397" s="1392" t="s">
        <v>611</v>
      </c>
      <c r="C397" s="1614"/>
      <c r="D397" s="1135"/>
      <c r="E397" s="1135"/>
      <c r="F397" s="1135"/>
      <c r="I397" s="1083"/>
      <c r="J397" s="1083"/>
      <c r="K397" s="1083"/>
      <c r="L397" s="1083"/>
      <c r="M397" s="1083"/>
      <c r="N397" s="1083"/>
      <c r="O397" s="1083"/>
      <c r="P397" s="1083"/>
      <c r="Q397" s="1083"/>
      <c r="R397" s="1083"/>
      <c r="S397" s="1083"/>
      <c r="T397" s="1083"/>
      <c r="U397" s="1083"/>
      <c r="V397" s="1083"/>
      <c r="W397" s="1083"/>
      <c r="X397" s="1083"/>
      <c r="Y397" s="1083"/>
      <c r="Z397" s="1083"/>
      <c r="AA397" s="1083"/>
      <c r="AB397" s="1083"/>
      <c r="AC397" s="1083"/>
      <c r="AD397" s="1083"/>
      <c r="AE397" s="1083"/>
    </row>
    <row r="398" spans="2:31" ht="13.5" hidden="1" thickTop="1">
      <c r="B398" s="1137" t="s">
        <v>1225</v>
      </c>
      <c r="C398" s="1610">
        <v>1.05</v>
      </c>
      <c r="D398" s="1138" t="s">
        <v>2</v>
      </c>
      <c r="E398" s="1139" t="e">
        <f>+E393</f>
        <v>#REF!</v>
      </c>
      <c r="F398" s="1140" t="e">
        <f>C398*E398</f>
        <v>#REF!</v>
      </c>
      <c r="I398" s="1083"/>
      <c r="J398" s="1083"/>
      <c r="K398" s="1083"/>
      <c r="L398" s="1083"/>
      <c r="M398" s="1083"/>
      <c r="N398" s="1083"/>
      <c r="O398" s="1083"/>
      <c r="P398" s="1083"/>
      <c r="Q398" s="1083"/>
      <c r="R398" s="1083"/>
      <c r="S398" s="1083"/>
      <c r="T398" s="1083"/>
      <c r="U398" s="1083"/>
      <c r="V398" s="1083"/>
      <c r="W398" s="1083"/>
      <c r="X398" s="1083"/>
      <c r="Y398" s="1083"/>
      <c r="Z398" s="1083"/>
      <c r="AA398" s="1083"/>
      <c r="AB398" s="1083"/>
      <c r="AC398" s="1083"/>
      <c r="AD398" s="1083"/>
      <c r="AE398" s="1083"/>
    </row>
    <row r="399" spans="2:31" hidden="1">
      <c r="B399" s="1141" t="s">
        <v>1087</v>
      </c>
      <c r="C399" s="1611">
        <v>2.5</v>
      </c>
      <c r="D399" s="1142" t="s">
        <v>126</v>
      </c>
      <c r="E399" s="1143">
        <f>+E394</f>
        <v>2913</v>
      </c>
      <c r="F399" s="1144">
        <f>C399*E399</f>
        <v>7282.5</v>
      </c>
      <c r="I399" s="1083"/>
      <c r="J399" s="1083"/>
      <c r="K399" s="1083"/>
      <c r="L399" s="1083"/>
      <c r="M399" s="1083"/>
      <c r="N399" s="1083"/>
      <c r="O399" s="1083"/>
      <c r="P399" s="1083"/>
      <c r="Q399" s="1083"/>
      <c r="R399" s="1083"/>
      <c r="S399" s="1083"/>
      <c r="T399" s="1083"/>
      <c r="U399" s="1083"/>
      <c r="V399" s="1083"/>
      <c r="W399" s="1083"/>
      <c r="X399" s="1083"/>
      <c r="Y399" s="1083"/>
      <c r="Z399" s="1083"/>
      <c r="AA399" s="1083"/>
      <c r="AB399" s="1083"/>
      <c r="AC399" s="1083"/>
      <c r="AD399" s="1083"/>
      <c r="AE399" s="1083"/>
    </row>
    <row r="400" spans="2:31" hidden="1">
      <c r="B400" s="1141" t="s">
        <v>1089</v>
      </c>
      <c r="C400" s="1611">
        <f>1/0.3</f>
        <v>3.33</v>
      </c>
      <c r="D400" s="1152" t="s">
        <v>1</v>
      </c>
      <c r="E400" s="1143">
        <v>1000</v>
      </c>
      <c r="F400" s="1144">
        <f>C400*E400</f>
        <v>3330</v>
      </c>
      <c r="I400" s="1083"/>
      <c r="J400" s="1083"/>
      <c r="K400" s="1083"/>
      <c r="L400" s="1083"/>
      <c r="M400" s="1083"/>
      <c r="N400" s="1083"/>
      <c r="O400" s="1083"/>
      <c r="P400" s="1083"/>
      <c r="Q400" s="1083"/>
      <c r="R400" s="1083"/>
      <c r="S400" s="1083"/>
      <c r="T400" s="1083"/>
      <c r="U400" s="1083"/>
      <c r="V400" s="1083"/>
      <c r="W400" s="1083"/>
      <c r="X400" s="1083"/>
      <c r="Y400" s="1083"/>
      <c r="Z400" s="1083"/>
      <c r="AA400" s="1083"/>
      <c r="AB400" s="1083"/>
      <c r="AC400" s="1083"/>
      <c r="AD400" s="1083"/>
      <c r="AE400" s="1083"/>
    </row>
    <row r="401" spans="2:31" ht="13.5" hidden="1" thickBot="1">
      <c r="B401" s="1145"/>
      <c r="C401" s="1612"/>
      <c r="D401" s="1146"/>
      <c r="E401" s="1147" t="s">
        <v>1031</v>
      </c>
      <c r="F401" s="1148" t="e">
        <f>ROUND(SUM(F398:F400),2)</f>
        <v>#REF!</v>
      </c>
      <c r="I401" s="1083"/>
      <c r="J401" s="1083"/>
      <c r="K401" s="1083"/>
      <c r="L401" s="1083"/>
      <c r="M401" s="1083"/>
      <c r="N401" s="1083"/>
      <c r="O401" s="1083"/>
      <c r="P401" s="1083"/>
      <c r="Q401" s="1083"/>
      <c r="R401" s="1083"/>
      <c r="S401" s="1083"/>
      <c r="T401" s="1083"/>
      <c r="U401" s="1083"/>
      <c r="V401" s="1083"/>
      <c r="W401" s="1083"/>
      <c r="X401" s="1083"/>
      <c r="Y401" s="1083"/>
      <c r="Z401" s="1083"/>
      <c r="AA401" s="1083"/>
      <c r="AB401" s="1083"/>
      <c r="AC401" s="1083"/>
      <c r="AD401" s="1083"/>
      <c r="AE401" s="1083"/>
    </row>
    <row r="402" spans="2:31" ht="13.5" hidden="1" thickTop="1">
      <c r="B402" s="1087"/>
      <c r="C402" s="1603"/>
      <c r="D402" s="1087"/>
      <c r="E402" s="1100"/>
      <c r="F402" s="1105"/>
      <c r="I402" s="1083"/>
      <c r="J402" s="1083"/>
      <c r="K402" s="1083"/>
      <c r="L402" s="1083"/>
      <c r="M402" s="1083"/>
      <c r="N402" s="1083"/>
      <c r="O402" s="1083"/>
      <c r="P402" s="1083"/>
      <c r="Q402" s="1083"/>
      <c r="R402" s="1083"/>
      <c r="S402" s="1083"/>
      <c r="T402" s="1083"/>
      <c r="U402" s="1083"/>
      <c r="V402" s="1083"/>
      <c r="W402" s="1083"/>
      <c r="X402" s="1083"/>
      <c r="Y402" s="1083"/>
      <c r="Z402" s="1083"/>
      <c r="AA402" s="1083"/>
      <c r="AB402" s="1083"/>
      <c r="AC402" s="1083"/>
      <c r="AD402" s="1083"/>
      <c r="AE402" s="1083"/>
    </row>
    <row r="403" spans="2:31" ht="13.5" hidden="1" thickBot="1">
      <c r="B403" s="1392" t="s">
        <v>613</v>
      </c>
      <c r="C403" s="1614"/>
      <c r="D403" s="1135"/>
      <c r="E403" s="1135"/>
      <c r="F403" s="1135"/>
      <c r="I403" s="1083"/>
      <c r="J403" s="1083"/>
      <c r="K403" s="1083"/>
      <c r="L403" s="1083"/>
      <c r="M403" s="1083"/>
      <c r="N403" s="1083"/>
      <c r="O403" s="1083"/>
      <c r="P403" s="1083"/>
      <c r="Q403" s="1083"/>
      <c r="R403" s="1083"/>
      <c r="S403" s="1083"/>
      <c r="T403" s="1083"/>
      <c r="U403" s="1083"/>
      <c r="V403" s="1083"/>
      <c r="W403" s="1083"/>
      <c r="X403" s="1083"/>
      <c r="Y403" s="1083"/>
      <c r="Z403" s="1083"/>
      <c r="AA403" s="1083"/>
      <c r="AB403" s="1083"/>
      <c r="AC403" s="1083"/>
      <c r="AD403" s="1083"/>
      <c r="AE403" s="1083"/>
    </row>
    <row r="404" spans="2:31" ht="13.5" hidden="1" thickTop="1">
      <c r="B404" s="1137" t="s">
        <v>1225</v>
      </c>
      <c r="C404" s="1610">
        <v>1.05</v>
      </c>
      <c r="D404" s="1138" t="s">
        <v>2</v>
      </c>
      <c r="E404" s="1139" t="e">
        <f>+E398</f>
        <v>#REF!</v>
      </c>
      <c r="F404" s="1140" t="e">
        <f>C404*E404</f>
        <v>#REF!</v>
      </c>
      <c r="I404" s="1083"/>
      <c r="J404" s="1083"/>
      <c r="K404" s="1083"/>
      <c r="L404" s="1083"/>
      <c r="M404" s="1083"/>
      <c r="N404" s="1083"/>
      <c r="O404" s="1083"/>
      <c r="P404" s="1083"/>
      <c r="Q404" s="1083"/>
      <c r="R404" s="1083"/>
      <c r="S404" s="1083"/>
      <c r="T404" s="1083"/>
      <c r="U404" s="1083"/>
      <c r="V404" s="1083"/>
      <c r="W404" s="1083"/>
      <c r="X404" s="1083"/>
      <c r="Y404" s="1083"/>
      <c r="Z404" s="1083"/>
      <c r="AA404" s="1083"/>
      <c r="AB404" s="1083"/>
      <c r="AC404" s="1083"/>
      <c r="AD404" s="1083"/>
      <c r="AE404" s="1083"/>
    </row>
    <row r="405" spans="2:31" hidden="1">
      <c r="B405" s="1141" t="s">
        <v>1087</v>
      </c>
      <c r="C405" s="1611">
        <v>3.06</v>
      </c>
      <c r="D405" s="1142" t="s">
        <v>126</v>
      </c>
      <c r="E405" s="1143">
        <f>+E399</f>
        <v>2913</v>
      </c>
      <c r="F405" s="1144">
        <f>C405*E405</f>
        <v>8913.7800000000007</v>
      </c>
      <c r="I405" s="1083"/>
      <c r="J405" s="1083"/>
      <c r="K405" s="1083"/>
      <c r="L405" s="1083"/>
      <c r="M405" s="1083"/>
      <c r="N405" s="1083"/>
      <c r="O405" s="1083"/>
      <c r="P405" s="1083"/>
      <c r="Q405" s="1083"/>
      <c r="R405" s="1083"/>
      <c r="S405" s="1083"/>
      <c r="T405" s="1083"/>
      <c r="U405" s="1083"/>
      <c r="V405" s="1083"/>
      <c r="W405" s="1083"/>
      <c r="X405" s="1083"/>
      <c r="Y405" s="1083"/>
      <c r="Z405" s="1083"/>
      <c r="AA405" s="1083"/>
      <c r="AB405" s="1083"/>
      <c r="AC405" s="1083"/>
      <c r="AD405" s="1083"/>
      <c r="AE405" s="1083"/>
    </row>
    <row r="406" spans="2:31" hidden="1">
      <c r="B406" s="1141" t="s">
        <v>1089</v>
      </c>
      <c r="C406" s="1611">
        <f>1/0.25</f>
        <v>4</v>
      </c>
      <c r="D406" s="1152" t="s">
        <v>1</v>
      </c>
      <c r="E406" s="1143">
        <v>1000</v>
      </c>
      <c r="F406" s="1144">
        <f>C406*E406</f>
        <v>4000</v>
      </c>
      <c r="I406" s="1083"/>
      <c r="J406" s="1083"/>
      <c r="K406" s="1083"/>
      <c r="L406" s="1083"/>
      <c r="M406" s="1083"/>
      <c r="N406" s="1083"/>
      <c r="O406" s="1083"/>
      <c r="P406" s="1083"/>
      <c r="Q406" s="1083"/>
      <c r="R406" s="1083"/>
      <c r="S406" s="1083"/>
      <c r="T406" s="1083"/>
      <c r="U406" s="1083"/>
      <c r="V406" s="1083"/>
      <c r="W406" s="1083"/>
      <c r="X406" s="1083"/>
      <c r="Y406" s="1083"/>
      <c r="Z406" s="1083"/>
      <c r="AA406" s="1083"/>
      <c r="AB406" s="1083"/>
      <c r="AC406" s="1083"/>
      <c r="AD406" s="1083"/>
      <c r="AE406" s="1083"/>
    </row>
    <row r="407" spans="2:31" ht="13.5" hidden="1" thickBot="1">
      <c r="B407" s="1145"/>
      <c r="C407" s="1612"/>
      <c r="D407" s="1146"/>
      <c r="E407" s="1147" t="s">
        <v>1031</v>
      </c>
      <c r="F407" s="1148" t="e">
        <f>ROUND(SUM(F404:F406),2)</f>
        <v>#REF!</v>
      </c>
      <c r="I407" s="1083"/>
      <c r="J407" s="1083"/>
      <c r="K407" s="1083"/>
      <c r="L407" s="1083"/>
      <c r="M407" s="1083"/>
      <c r="N407" s="1083"/>
      <c r="O407" s="1083"/>
      <c r="P407" s="1083"/>
      <c r="Q407" s="1083"/>
      <c r="R407" s="1083"/>
      <c r="S407" s="1083"/>
      <c r="T407" s="1083"/>
      <c r="U407" s="1083"/>
      <c r="V407" s="1083"/>
      <c r="W407" s="1083"/>
      <c r="X407" s="1083"/>
      <c r="Y407" s="1083"/>
      <c r="Z407" s="1083"/>
      <c r="AA407" s="1083"/>
      <c r="AB407" s="1083"/>
      <c r="AC407" s="1083"/>
      <c r="AD407" s="1083"/>
      <c r="AE407" s="1083"/>
    </row>
    <row r="408" spans="2:31" ht="13.5" hidden="1" thickTop="1">
      <c r="B408" s="1087"/>
      <c r="C408" s="1603"/>
      <c r="D408" s="1087"/>
      <c r="E408" s="1100"/>
      <c r="F408" s="1105"/>
      <c r="I408" s="1083"/>
      <c r="J408" s="1083"/>
      <c r="K408" s="1083"/>
      <c r="L408" s="1083"/>
      <c r="M408" s="1083"/>
      <c r="N408" s="1083"/>
      <c r="O408" s="1083"/>
      <c r="P408" s="1083"/>
      <c r="Q408" s="1083"/>
      <c r="R408" s="1083"/>
      <c r="S408" s="1083"/>
      <c r="T408" s="1083"/>
      <c r="U408" s="1083"/>
      <c r="V408" s="1083"/>
      <c r="W408" s="1083"/>
      <c r="X408" s="1083"/>
      <c r="Y408" s="1083"/>
      <c r="Z408" s="1083"/>
      <c r="AA408" s="1083"/>
      <c r="AB408" s="1083"/>
      <c r="AC408" s="1083"/>
      <c r="AD408" s="1083"/>
      <c r="AE408" s="1083"/>
    </row>
    <row r="409" spans="2:31" ht="13.5" hidden="1" thickBot="1">
      <c r="B409" s="1392" t="s">
        <v>676</v>
      </c>
      <c r="C409" s="1614"/>
      <c r="D409" s="1135"/>
      <c r="E409" s="1135"/>
      <c r="F409" s="1135"/>
      <c r="I409" s="1083"/>
      <c r="J409" s="1083"/>
      <c r="K409" s="1083"/>
      <c r="L409" s="1083"/>
      <c r="M409" s="1083"/>
      <c r="N409" s="1083"/>
      <c r="O409" s="1083"/>
      <c r="P409" s="1083"/>
      <c r="Q409" s="1083"/>
      <c r="R409" s="1083"/>
      <c r="S409" s="1083"/>
      <c r="T409" s="1083"/>
      <c r="U409" s="1083"/>
      <c r="V409" s="1083"/>
      <c r="W409" s="1083"/>
      <c r="X409" s="1083"/>
      <c r="Y409" s="1083"/>
      <c r="Z409" s="1083"/>
      <c r="AA409" s="1083"/>
      <c r="AB409" s="1083"/>
      <c r="AC409" s="1083"/>
      <c r="AD409" s="1083"/>
      <c r="AE409" s="1083"/>
    </row>
    <row r="410" spans="2:31" ht="13.5" hidden="1" thickTop="1">
      <c r="B410" s="1137" t="s">
        <v>1225</v>
      </c>
      <c r="C410" s="1610">
        <v>1.05</v>
      </c>
      <c r="D410" s="1138" t="s">
        <v>2</v>
      </c>
      <c r="E410" s="1139" t="e">
        <f>+E404</f>
        <v>#REF!</v>
      </c>
      <c r="F410" s="1140" t="e">
        <f>C410*E410</f>
        <v>#REF!</v>
      </c>
      <c r="I410" s="1083"/>
      <c r="J410" s="1083"/>
      <c r="K410" s="1083"/>
      <c r="L410" s="1083"/>
      <c r="M410" s="1083"/>
      <c r="N410" s="1083"/>
      <c r="O410" s="1083"/>
      <c r="P410" s="1083"/>
      <c r="Q410" s="1083"/>
      <c r="R410" s="1083"/>
      <c r="S410" s="1083"/>
      <c r="T410" s="1083"/>
      <c r="U410" s="1083"/>
      <c r="V410" s="1083"/>
      <c r="W410" s="1083"/>
      <c r="X410" s="1083"/>
      <c r="Y410" s="1083"/>
      <c r="Z410" s="1083"/>
      <c r="AA410" s="1083"/>
      <c r="AB410" s="1083"/>
      <c r="AC410" s="1083"/>
      <c r="AD410" s="1083"/>
      <c r="AE410" s="1083"/>
    </row>
    <row r="411" spans="2:31" hidden="1">
      <c r="B411" s="1141" t="s">
        <v>1087</v>
      </c>
      <c r="C411" s="1611">
        <v>2.75</v>
      </c>
      <c r="D411" s="1142" t="s">
        <v>126</v>
      </c>
      <c r="E411" s="1143">
        <f>+E405</f>
        <v>2913</v>
      </c>
      <c r="F411" s="1144">
        <f>C411*E411</f>
        <v>8010.75</v>
      </c>
      <c r="I411" s="1083"/>
      <c r="J411" s="1083"/>
      <c r="K411" s="1083"/>
      <c r="L411" s="1083"/>
      <c r="M411" s="1083"/>
      <c r="N411" s="1083"/>
      <c r="O411" s="1083"/>
      <c r="P411" s="1083"/>
      <c r="Q411" s="1083"/>
      <c r="R411" s="1083"/>
      <c r="S411" s="1083"/>
      <c r="T411" s="1083"/>
      <c r="U411" s="1083"/>
      <c r="V411" s="1083"/>
      <c r="W411" s="1083"/>
      <c r="X411" s="1083"/>
      <c r="Y411" s="1083"/>
      <c r="Z411" s="1083"/>
      <c r="AA411" s="1083"/>
      <c r="AB411" s="1083"/>
      <c r="AC411" s="1083"/>
      <c r="AD411" s="1083"/>
      <c r="AE411" s="1083"/>
    </row>
    <row r="412" spans="2:31" hidden="1">
      <c r="B412" s="1141" t="s">
        <v>1089</v>
      </c>
      <c r="C412" s="1611">
        <f>1/0.15</f>
        <v>6.67</v>
      </c>
      <c r="D412" s="1152" t="s">
        <v>1</v>
      </c>
      <c r="E412" s="1143">
        <v>1000</v>
      </c>
      <c r="F412" s="1144">
        <f>C412*E412</f>
        <v>6670</v>
      </c>
      <c r="I412" s="1083"/>
      <c r="J412" s="1083"/>
      <c r="K412" s="1083"/>
      <c r="L412" s="1083"/>
      <c r="M412" s="1083"/>
      <c r="N412" s="1083"/>
      <c r="O412" s="1083"/>
      <c r="P412" s="1083"/>
      <c r="Q412" s="1083"/>
      <c r="R412" s="1083"/>
      <c r="S412" s="1083"/>
      <c r="T412" s="1083"/>
      <c r="U412" s="1083"/>
      <c r="V412" s="1083"/>
      <c r="W412" s="1083"/>
      <c r="X412" s="1083"/>
      <c r="Y412" s="1083"/>
      <c r="Z412" s="1083"/>
      <c r="AA412" s="1083"/>
      <c r="AB412" s="1083"/>
      <c r="AC412" s="1083"/>
      <c r="AD412" s="1083"/>
      <c r="AE412" s="1083"/>
    </row>
    <row r="413" spans="2:31" ht="13.5" hidden="1" thickBot="1">
      <c r="B413" s="1145"/>
      <c r="C413" s="1612"/>
      <c r="D413" s="1146"/>
      <c r="E413" s="1147" t="s">
        <v>1031</v>
      </c>
      <c r="F413" s="1148" t="e">
        <f>ROUND(SUM(F410:F412),2)</f>
        <v>#REF!</v>
      </c>
      <c r="I413" s="1083"/>
      <c r="J413" s="1083"/>
      <c r="K413" s="1083"/>
      <c r="L413" s="1083"/>
      <c r="M413" s="1083"/>
      <c r="N413" s="1083"/>
      <c r="O413" s="1083"/>
      <c r="P413" s="1083"/>
      <c r="Q413" s="1083"/>
      <c r="R413" s="1083"/>
      <c r="S413" s="1083"/>
      <c r="T413" s="1083"/>
      <c r="U413" s="1083"/>
      <c r="V413" s="1083"/>
      <c r="W413" s="1083"/>
      <c r="X413" s="1083"/>
      <c r="Y413" s="1083"/>
      <c r="Z413" s="1083"/>
      <c r="AA413" s="1083"/>
      <c r="AB413" s="1083"/>
      <c r="AC413" s="1083"/>
      <c r="AD413" s="1083"/>
      <c r="AE413" s="1083"/>
    </row>
    <row r="414" spans="2:31" ht="13.5" hidden="1" thickTop="1">
      <c r="B414" s="1149"/>
      <c r="C414" s="1613"/>
      <c r="D414" s="1149"/>
      <c r="E414" s="1150"/>
      <c r="F414" s="1151"/>
      <c r="I414" s="1083"/>
      <c r="J414" s="1083"/>
      <c r="K414" s="1083"/>
      <c r="L414" s="1083"/>
      <c r="M414" s="1083"/>
      <c r="N414" s="1083"/>
      <c r="O414" s="1083"/>
      <c r="P414" s="1083"/>
      <c r="Q414" s="1083"/>
      <c r="R414" s="1083"/>
      <c r="S414" s="1083"/>
      <c r="T414" s="1083"/>
      <c r="U414" s="1083"/>
      <c r="V414" s="1083"/>
      <c r="W414" s="1083"/>
      <c r="X414" s="1083"/>
      <c r="Y414" s="1083"/>
      <c r="Z414" s="1083"/>
      <c r="AA414" s="1083"/>
      <c r="AB414" s="1083"/>
      <c r="AC414" s="1083"/>
      <c r="AD414" s="1083"/>
      <c r="AE414" s="1083"/>
    </row>
    <row r="415" spans="2:31" ht="20.25" hidden="1">
      <c r="B415" s="1914" t="s">
        <v>678</v>
      </c>
      <c r="C415" s="1603"/>
      <c r="D415" s="1087"/>
      <c r="E415" s="1100"/>
      <c r="F415" s="1105"/>
      <c r="I415" s="1083"/>
      <c r="J415" s="1083"/>
      <c r="K415" s="1083"/>
      <c r="L415" s="1083"/>
      <c r="M415" s="1083"/>
      <c r="N415" s="1083"/>
      <c r="O415" s="1083"/>
      <c r="P415" s="1083"/>
      <c r="Q415" s="1083"/>
      <c r="R415" s="1083"/>
      <c r="S415" s="1083"/>
      <c r="T415" s="1083"/>
      <c r="U415" s="1083"/>
      <c r="V415" s="1083"/>
      <c r="W415" s="1083"/>
      <c r="X415" s="1083"/>
      <c r="Y415" s="1083"/>
      <c r="Z415" s="1083"/>
      <c r="AA415" s="1083"/>
      <c r="AB415" s="1083"/>
      <c r="AC415" s="1083"/>
      <c r="AD415" s="1083"/>
      <c r="AE415" s="1083"/>
    </row>
    <row r="416" spans="2:31" hidden="1">
      <c r="B416" s="1087"/>
      <c r="C416" s="1603"/>
      <c r="D416" s="1087"/>
      <c r="E416" s="1100"/>
      <c r="F416" s="1105"/>
      <c r="I416" s="1083"/>
      <c r="J416" s="1083"/>
      <c r="K416" s="1083"/>
      <c r="L416" s="1083"/>
      <c r="M416" s="1083"/>
      <c r="N416" s="1083"/>
      <c r="O416" s="1083"/>
      <c r="P416" s="1083"/>
      <c r="Q416" s="1083"/>
      <c r="R416" s="1083"/>
      <c r="S416" s="1083"/>
      <c r="T416" s="1083"/>
      <c r="U416" s="1083"/>
      <c r="V416" s="1083"/>
      <c r="W416" s="1083"/>
      <c r="X416" s="1083"/>
      <c r="Y416" s="1083"/>
      <c r="Z416" s="1083"/>
      <c r="AA416" s="1083"/>
      <c r="AB416" s="1083"/>
      <c r="AC416" s="1083"/>
      <c r="AD416" s="1083"/>
      <c r="AE416" s="1083"/>
    </row>
    <row r="417" spans="2:31" ht="13.5" hidden="1" thickBot="1">
      <c r="B417" s="1387" t="s">
        <v>681</v>
      </c>
      <c r="C417" s="1609"/>
      <c r="D417" s="1131"/>
      <c r="E417" s="1132"/>
      <c r="F417" s="1133"/>
      <c r="I417" s="1083"/>
      <c r="J417" s="1083"/>
      <c r="K417" s="1083"/>
      <c r="L417" s="1083"/>
      <c r="M417" s="1083"/>
      <c r="N417" s="1083"/>
      <c r="O417" s="1083"/>
      <c r="P417" s="1083"/>
      <c r="Q417" s="1083"/>
      <c r="R417" s="1083"/>
      <c r="S417" s="1083"/>
      <c r="T417" s="1083"/>
      <c r="U417" s="1083"/>
      <c r="V417" s="1083"/>
      <c r="W417" s="1083"/>
      <c r="X417" s="1083"/>
      <c r="Y417" s="1083"/>
      <c r="Z417" s="1083"/>
      <c r="AA417" s="1083"/>
      <c r="AB417" s="1083"/>
      <c r="AC417" s="1083"/>
      <c r="AD417" s="1083"/>
      <c r="AE417" s="1083"/>
    </row>
    <row r="418" spans="2:31" ht="13.5" hidden="1" thickTop="1">
      <c r="B418" s="1137" t="s">
        <v>1225</v>
      </c>
      <c r="C418" s="1610">
        <v>1.05</v>
      </c>
      <c r="D418" s="1138" t="s">
        <v>2</v>
      </c>
      <c r="E418" s="1139" t="e">
        <f>+E410</f>
        <v>#REF!</v>
      </c>
      <c r="F418" s="1140" t="e">
        <f>C418*E418</f>
        <v>#REF!</v>
      </c>
      <c r="I418" s="1083"/>
      <c r="J418" s="1083"/>
      <c r="K418" s="1083"/>
      <c r="L418" s="1083"/>
      <c r="M418" s="1083"/>
      <c r="N418" s="1083"/>
      <c r="O418" s="1083"/>
      <c r="P418" s="1083"/>
      <c r="Q418" s="1083"/>
      <c r="R418" s="1083"/>
      <c r="S418" s="1083"/>
      <c r="T418" s="1083"/>
      <c r="U418" s="1083"/>
      <c r="V418" s="1083"/>
      <c r="W418" s="1083"/>
      <c r="X418" s="1083"/>
      <c r="Y418" s="1083"/>
      <c r="Z418" s="1083"/>
      <c r="AA418" s="1083"/>
      <c r="AB418" s="1083"/>
      <c r="AC418" s="1083"/>
      <c r="AD418" s="1083"/>
      <c r="AE418" s="1083"/>
    </row>
    <row r="419" spans="2:31" hidden="1">
      <c r="B419" s="1141" t="s">
        <v>272</v>
      </c>
      <c r="C419" s="1611">
        <v>2.08</v>
      </c>
      <c r="D419" s="1142" t="s">
        <v>126</v>
      </c>
      <c r="E419" s="1143">
        <f>+E411</f>
        <v>2913</v>
      </c>
      <c r="F419" s="1144">
        <f>C419*E419</f>
        <v>6059.04</v>
      </c>
      <c r="I419" s="1083"/>
      <c r="J419" s="1083"/>
      <c r="K419" s="1083"/>
      <c r="L419" s="1083"/>
      <c r="M419" s="1083"/>
      <c r="N419" s="1083"/>
      <c r="O419" s="1083"/>
      <c r="P419" s="1083"/>
      <c r="Q419" s="1083"/>
      <c r="R419" s="1083"/>
      <c r="S419" s="1083"/>
      <c r="T419" s="1083"/>
      <c r="U419" s="1083"/>
      <c r="V419" s="1083"/>
      <c r="W419" s="1083"/>
      <c r="X419" s="1083"/>
      <c r="Y419" s="1083"/>
      <c r="Z419" s="1083"/>
      <c r="AA419" s="1083"/>
      <c r="AB419" s="1083"/>
      <c r="AC419" s="1083"/>
      <c r="AD419" s="1083"/>
      <c r="AE419" s="1083"/>
    </row>
    <row r="420" spans="2:31" ht="13.5" hidden="1" thickBot="1">
      <c r="B420" s="1145"/>
      <c r="C420" s="1612"/>
      <c r="D420" s="1146"/>
      <c r="E420" s="1147" t="s">
        <v>1031</v>
      </c>
      <c r="F420" s="1148" t="e">
        <f>ROUND(SUM(F418:F419),2)</f>
        <v>#REF!</v>
      </c>
      <c r="I420" s="1083"/>
      <c r="J420" s="1083"/>
      <c r="K420" s="1083"/>
      <c r="L420" s="1083"/>
      <c r="M420" s="1083"/>
      <c r="N420" s="1083"/>
      <c r="O420" s="1083"/>
      <c r="P420" s="1083"/>
      <c r="Q420" s="1083"/>
      <c r="R420" s="1083"/>
      <c r="S420" s="1083"/>
      <c r="T420" s="1083"/>
      <c r="U420" s="1083"/>
      <c r="V420" s="1083"/>
      <c r="W420" s="1083"/>
      <c r="X420" s="1083"/>
      <c r="Y420" s="1083"/>
      <c r="Z420" s="1083"/>
      <c r="AA420" s="1083"/>
      <c r="AB420" s="1083"/>
      <c r="AC420" s="1083"/>
      <c r="AD420" s="1083"/>
      <c r="AE420" s="1083"/>
    </row>
    <row r="421" spans="2:31" ht="13.5" hidden="1" thickTop="1">
      <c r="B421" s="1149"/>
      <c r="C421" s="1613"/>
      <c r="D421" s="1149"/>
      <c r="E421" s="1150"/>
      <c r="F421" s="1151"/>
      <c r="I421" s="1083"/>
      <c r="J421" s="1083"/>
      <c r="K421" s="1083"/>
      <c r="L421" s="1083"/>
      <c r="M421" s="1083"/>
      <c r="N421" s="1083"/>
      <c r="O421" s="1083"/>
      <c r="P421" s="1083"/>
      <c r="Q421" s="1083"/>
      <c r="R421" s="1083"/>
      <c r="S421" s="1083"/>
      <c r="T421" s="1083"/>
      <c r="U421" s="1083"/>
      <c r="V421" s="1083"/>
      <c r="W421" s="1083"/>
      <c r="X421" s="1083"/>
      <c r="Y421" s="1083"/>
      <c r="Z421" s="1083"/>
      <c r="AA421" s="1083"/>
      <c r="AB421" s="1083"/>
      <c r="AC421" s="1083"/>
      <c r="AD421" s="1083"/>
      <c r="AE421" s="1083"/>
    </row>
    <row r="422" spans="2:31" ht="13.5" hidden="1" thickBot="1">
      <c r="B422" s="1392" t="s">
        <v>683</v>
      </c>
      <c r="C422" s="1614"/>
      <c r="D422" s="1135"/>
      <c r="E422" s="1135"/>
      <c r="F422" s="1135"/>
      <c r="I422" s="1083"/>
      <c r="J422" s="1083"/>
      <c r="K422" s="1083"/>
      <c r="L422" s="1083"/>
      <c r="M422" s="1083"/>
      <c r="N422" s="1083"/>
      <c r="O422" s="1083"/>
      <c r="P422" s="1083"/>
      <c r="Q422" s="1083"/>
      <c r="R422" s="1083"/>
      <c r="S422" s="1083"/>
      <c r="T422" s="1083"/>
      <c r="U422" s="1083"/>
      <c r="V422" s="1083"/>
      <c r="W422" s="1083"/>
      <c r="X422" s="1083"/>
      <c r="Y422" s="1083"/>
      <c r="Z422" s="1083"/>
      <c r="AA422" s="1083"/>
      <c r="AB422" s="1083"/>
      <c r="AC422" s="1083"/>
      <c r="AD422" s="1083"/>
      <c r="AE422" s="1083"/>
    </row>
    <row r="423" spans="2:31" ht="13.5" hidden="1" thickTop="1">
      <c r="B423" s="1137" t="s">
        <v>1225</v>
      </c>
      <c r="C423" s="1610">
        <v>1.05</v>
      </c>
      <c r="D423" s="1138" t="s">
        <v>2</v>
      </c>
      <c r="E423" s="1139" t="e">
        <f>+E418</f>
        <v>#REF!</v>
      </c>
      <c r="F423" s="1140" t="e">
        <f>C423*E423</f>
        <v>#REF!</v>
      </c>
      <c r="I423" s="1083"/>
      <c r="J423" s="1083"/>
      <c r="K423" s="1083"/>
      <c r="L423" s="1083"/>
      <c r="M423" s="1083"/>
      <c r="N423" s="1083"/>
      <c r="O423" s="1083"/>
      <c r="P423" s="1083"/>
      <c r="Q423" s="1083"/>
      <c r="R423" s="1083"/>
      <c r="S423" s="1083"/>
      <c r="T423" s="1083"/>
      <c r="U423" s="1083"/>
      <c r="V423" s="1083"/>
      <c r="W423" s="1083"/>
      <c r="X423" s="1083"/>
      <c r="Y423" s="1083"/>
      <c r="Z423" s="1083"/>
      <c r="AA423" s="1083"/>
      <c r="AB423" s="1083"/>
      <c r="AC423" s="1083"/>
      <c r="AD423" s="1083"/>
      <c r="AE423" s="1083"/>
    </row>
    <row r="424" spans="2:31" hidden="1">
      <c r="B424" s="1141" t="s">
        <v>1087</v>
      </c>
      <c r="C424" s="1611">
        <v>4.18</v>
      </c>
      <c r="D424" s="1142" t="s">
        <v>126</v>
      </c>
      <c r="E424" s="1143">
        <f>+E419</f>
        <v>2913</v>
      </c>
      <c r="F424" s="1144">
        <f>C424*E424</f>
        <v>12176.34</v>
      </c>
      <c r="I424" s="1083"/>
      <c r="J424" s="1083"/>
      <c r="K424" s="1083"/>
      <c r="L424" s="1083"/>
      <c r="M424" s="1083"/>
      <c r="N424" s="1083"/>
      <c r="O424" s="1083"/>
      <c r="P424" s="1083"/>
      <c r="Q424" s="1083"/>
      <c r="R424" s="1083"/>
      <c r="S424" s="1083"/>
      <c r="T424" s="1083"/>
      <c r="U424" s="1083"/>
      <c r="V424" s="1083"/>
      <c r="W424" s="1083"/>
      <c r="X424" s="1083"/>
      <c r="Y424" s="1083"/>
      <c r="Z424" s="1083"/>
      <c r="AA424" s="1083"/>
      <c r="AB424" s="1083"/>
      <c r="AC424" s="1083"/>
      <c r="AD424" s="1083"/>
      <c r="AE424" s="1083"/>
    </row>
    <row r="425" spans="2:31" hidden="1">
      <c r="B425" s="1141" t="s">
        <v>1089</v>
      </c>
      <c r="C425" s="1611">
        <f>1/0.1</f>
        <v>10</v>
      </c>
      <c r="D425" s="1152" t="s">
        <v>1</v>
      </c>
      <c r="E425" s="1143">
        <v>1000</v>
      </c>
      <c r="F425" s="1144">
        <f>C425*E425</f>
        <v>10000</v>
      </c>
      <c r="I425" s="1083"/>
      <c r="J425" s="1083"/>
      <c r="K425" s="1083"/>
      <c r="L425" s="1083"/>
      <c r="M425" s="1083"/>
      <c r="N425" s="1083"/>
      <c r="O425" s="1083"/>
      <c r="P425" s="1083"/>
      <c r="Q425" s="1083"/>
      <c r="R425" s="1083"/>
      <c r="S425" s="1083"/>
      <c r="T425" s="1083"/>
      <c r="U425" s="1083"/>
      <c r="V425" s="1083"/>
      <c r="W425" s="1083"/>
      <c r="X425" s="1083"/>
      <c r="Y425" s="1083"/>
      <c r="Z425" s="1083"/>
      <c r="AA425" s="1083"/>
      <c r="AB425" s="1083"/>
      <c r="AC425" s="1083"/>
      <c r="AD425" s="1083"/>
      <c r="AE425" s="1083"/>
    </row>
    <row r="426" spans="2:31" ht="13.5" hidden="1" thickBot="1">
      <c r="B426" s="1145"/>
      <c r="C426" s="1612"/>
      <c r="D426" s="1146"/>
      <c r="E426" s="1147" t="s">
        <v>1031</v>
      </c>
      <c r="F426" s="1148" t="e">
        <f>ROUND(SUM(F423:F425),2)</f>
        <v>#REF!</v>
      </c>
      <c r="I426" s="1083"/>
      <c r="J426" s="1083"/>
      <c r="K426" s="1083"/>
      <c r="L426" s="1083"/>
      <c r="M426" s="1083"/>
      <c r="N426" s="1083"/>
      <c r="O426" s="1083"/>
      <c r="P426" s="1083"/>
      <c r="Q426" s="1083"/>
      <c r="R426" s="1083"/>
      <c r="S426" s="1083"/>
      <c r="T426" s="1083"/>
      <c r="U426" s="1083"/>
      <c r="V426" s="1083"/>
      <c r="W426" s="1083"/>
      <c r="X426" s="1083"/>
      <c r="Y426" s="1083"/>
      <c r="Z426" s="1083"/>
      <c r="AA426" s="1083"/>
      <c r="AB426" s="1083"/>
      <c r="AC426" s="1083"/>
      <c r="AD426" s="1083"/>
      <c r="AE426" s="1083"/>
    </row>
    <row r="427" spans="2:31" ht="13.5" hidden="1" thickTop="1">
      <c r="B427" s="1087"/>
      <c r="C427" s="1603"/>
      <c r="D427" s="1087"/>
      <c r="E427" s="1100"/>
      <c r="F427" s="1105"/>
      <c r="I427" s="1083"/>
      <c r="J427" s="1083"/>
      <c r="K427" s="1083"/>
      <c r="L427" s="1083"/>
      <c r="M427" s="1083"/>
      <c r="N427" s="1083"/>
      <c r="O427" s="1083"/>
      <c r="P427" s="1083"/>
      <c r="Q427" s="1083"/>
      <c r="R427" s="1083"/>
      <c r="S427" s="1083"/>
      <c r="T427" s="1083"/>
      <c r="U427" s="1083"/>
      <c r="V427" s="1083"/>
      <c r="W427" s="1083"/>
      <c r="X427" s="1083"/>
      <c r="Y427" s="1083"/>
      <c r="Z427" s="1083"/>
      <c r="AA427" s="1083"/>
      <c r="AB427" s="1083"/>
      <c r="AC427" s="1083"/>
      <c r="AD427" s="1083"/>
      <c r="AE427" s="1083"/>
    </row>
    <row r="428" spans="2:31" ht="20.25" hidden="1">
      <c r="B428" s="1914" t="s">
        <v>715</v>
      </c>
      <c r="C428" s="1603"/>
      <c r="D428" s="1087"/>
      <c r="E428" s="1100"/>
      <c r="F428" s="1105"/>
      <c r="I428" s="1083"/>
      <c r="J428" s="1083"/>
      <c r="K428" s="1083"/>
      <c r="L428" s="1083"/>
      <c r="M428" s="1083"/>
      <c r="N428" s="1083"/>
      <c r="O428" s="1083"/>
      <c r="P428" s="1083"/>
      <c r="Q428" s="1083"/>
      <c r="R428" s="1083"/>
      <c r="S428" s="1083"/>
      <c r="T428" s="1083"/>
      <c r="U428" s="1083"/>
      <c r="V428" s="1083"/>
      <c r="W428" s="1083"/>
      <c r="X428" s="1083"/>
      <c r="Y428" s="1083"/>
      <c r="Z428" s="1083"/>
      <c r="AA428" s="1083"/>
      <c r="AB428" s="1083"/>
      <c r="AC428" s="1083"/>
      <c r="AD428" s="1083"/>
      <c r="AE428" s="1083"/>
    </row>
    <row r="429" spans="2:31" hidden="1">
      <c r="B429" s="1087"/>
      <c r="C429" s="1603"/>
      <c r="D429" s="1087"/>
      <c r="E429" s="1100"/>
      <c r="F429" s="1105"/>
      <c r="I429" s="1083"/>
      <c r="J429" s="1083"/>
      <c r="K429" s="1083"/>
      <c r="L429" s="1083"/>
      <c r="M429" s="1083"/>
      <c r="N429" s="1083"/>
      <c r="O429" s="1083"/>
      <c r="P429" s="1083"/>
      <c r="Q429" s="1083"/>
      <c r="R429" s="1083"/>
      <c r="S429" s="1083"/>
      <c r="T429" s="1083"/>
      <c r="U429" s="1083"/>
      <c r="V429" s="1083"/>
      <c r="W429" s="1083"/>
      <c r="X429" s="1083"/>
      <c r="Y429" s="1083"/>
      <c r="Z429" s="1083"/>
      <c r="AA429" s="1083"/>
      <c r="AB429" s="1083"/>
      <c r="AC429" s="1083"/>
      <c r="AD429" s="1083"/>
      <c r="AE429" s="1083"/>
    </row>
    <row r="430" spans="2:31" ht="13.5" hidden="1" thickBot="1">
      <c r="B430" s="1387" t="s">
        <v>629</v>
      </c>
      <c r="C430" s="1609"/>
      <c r="D430" s="1131"/>
      <c r="E430" s="1132"/>
      <c r="F430" s="1133"/>
      <c r="I430" s="1083"/>
      <c r="J430" s="1083"/>
      <c r="K430" s="1083"/>
      <c r="L430" s="1083"/>
      <c r="M430" s="1083"/>
      <c r="N430" s="1083"/>
      <c r="O430" s="1083"/>
      <c r="P430" s="1083"/>
      <c r="Q430" s="1083"/>
      <c r="R430" s="1083"/>
      <c r="S430" s="1083"/>
      <c r="T430" s="1083"/>
      <c r="U430" s="1083"/>
      <c r="V430" s="1083"/>
      <c r="W430" s="1083"/>
      <c r="X430" s="1083"/>
      <c r="Y430" s="1083"/>
      <c r="Z430" s="1083"/>
      <c r="AA430" s="1083"/>
      <c r="AB430" s="1083"/>
      <c r="AC430" s="1083"/>
      <c r="AD430" s="1083"/>
      <c r="AE430" s="1083"/>
    </row>
    <row r="431" spans="2:31" ht="13.5" hidden="1" thickTop="1">
      <c r="B431" s="1137" t="s">
        <v>1225</v>
      </c>
      <c r="C431" s="1610">
        <v>1.05</v>
      </c>
      <c r="D431" s="1138" t="s">
        <v>2</v>
      </c>
      <c r="E431" s="1139" t="e">
        <f>+E423</f>
        <v>#REF!</v>
      </c>
      <c r="F431" s="1140" t="e">
        <f>C431*E431</f>
        <v>#REF!</v>
      </c>
      <c r="I431" s="1083"/>
      <c r="J431" s="1083"/>
      <c r="K431" s="1083"/>
      <c r="L431" s="1083"/>
      <c r="M431" s="1083"/>
      <c r="N431" s="1083"/>
      <c r="O431" s="1083"/>
      <c r="P431" s="1083"/>
      <c r="Q431" s="1083"/>
      <c r="R431" s="1083"/>
      <c r="S431" s="1083"/>
      <c r="T431" s="1083"/>
      <c r="U431" s="1083"/>
      <c r="V431" s="1083"/>
      <c r="W431" s="1083"/>
      <c r="X431" s="1083"/>
      <c r="Y431" s="1083"/>
      <c r="Z431" s="1083"/>
      <c r="AA431" s="1083"/>
      <c r="AB431" s="1083"/>
      <c r="AC431" s="1083"/>
      <c r="AD431" s="1083"/>
      <c r="AE431" s="1083"/>
    </row>
    <row r="432" spans="2:31" hidden="1">
      <c r="B432" s="1141" t="s">
        <v>272</v>
      </c>
      <c r="C432" s="1611">
        <v>1.42</v>
      </c>
      <c r="D432" s="1142" t="s">
        <v>126</v>
      </c>
      <c r="E432" s="1143">
        <f>+E424</f>
        <v>2913</v>
      </c>
      <c r="F432" s="1144">
        <f>C432*E432</f>
        <v>4136.46</v>
      </c>
      <c r="I432" s="1083"/>
      <c r="J432" s="1083"/>
      <c r="K432" s="1083"/>
      <c r="L432" s="1083"/>
      <c r="M432" s="1083"/>
      <c r="N432" s="1083"/>
      <c r="O432" s="1083"/>
      <c r="P432" s="1083"/>
      <c r="Q432" s="1083"/>
      <c r="R432" s="1083"/>
      <c r="S432" s="1083"/>
      <c r="T432" s="1083"/>
      <c r="U432" s="1083"/>
      <c r="V432" s="1083"/>
      <c r="W432" s="1083"/>
      <c r="X432" s="1083"/>
      <c r="Y432" s="1083"/>
      <c r="Z432" s="1083"/>
      <c r="AA432" s="1083"/>
      <c r="AB432" s="1083"/>
      <c r="AC432" s="1083"/>
      <c r="AD432" s="1083"/>
      <c r="AE432" s="1083"/>
    </row>
    <row r="433" spans="2:31" ht="13.5" hidden="1" thickBot="1">
      <c r="B433" s="1145"/>
      <c r="C433" s="1612"/>
      <c r="D433" s="1146"/>
      <c r="E433" s="1147" t="s">
        <v>1031</v>
      </c>
      <c r="F433" s="1148" t="e">
        <f>ROUND(SUM(F431:F432),2)</f>
        <v>#REF!</v>
      </c>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1083"/>
      <c r="AD433" s="1083"/>
      <c r="AE433" s="1083"/>
    </row>
    <row r="434" spans="2:31" ht="13.5" hidden="1" thickTop="1">
      <c r="B434" s="1149"/>
      <c r="C434" s="1613"/>
      <c r="D434" s="1149"/>
      <c r="E434" s="1150"/>
      <c r="F434" s="1151"/>
      <c r="I434" s="1083"/>
      <c r="J434" s="1083"/>
      <c r="K434" s="1083"/>
      <c r="L434" s="1083"/>
      <c r="M434" s="1083"/>
      <c r="N434" s="1083"/>
      <c r="O434" s="1083"/>
      <c r="P434" s="1083"/>
      <c r="Q434" s="1083"/>
      <c r="R434" s="1083"/>
      <c r="S434" s="1083"/>
      <c r="T434" s="1083"/>
      <c r="U434" s="1083"/>
      <c r="V434" s="1083"/>
      <c r="W434" s="1083"/>
      <c r="X434" s="1083"/>
      <c r="Y434" s="1083"/>
      <c r="Z434" s="1083"/>
      <c r="AA434" s="1083"/>
      <c r="AB434" s="1083"/>
      <c r="AC434" s="1083"/>
      <c r="AD434" s="1083"/>
      <c r="AE434" s="1083"/>
    </row>
    <row r="435" spans="2:31" ht="20.25" hidden="1">
      <c r="B435" s="1914" t="s">
        <v>719</v>
      </c>
      <c r="C435" s="1603"/>
      <c r="D435" s="1087"/>
      <c r="E435" s="1100"/>
      <c r="F435" s="1105"/>
      <c r="I435" s="1083"/>
      <c r="J435" s="1083"/>
      <c r="K435" s="1083"/>
      <c r="L435" s="1083"/>
      <c r="M435" s="1083"/>
      <c r="N435" s="1083"/>
      <c r="O435" s="1083"/>
      <c r="P435" s="1083"/>
      <c r="Q435" s="1083"/>
      <c r="R435" s="1083"/>
      <c r="S435" s="1083"/>
      <c r="T435" s="1083"/>
      <c r="U435" s="1083"/>
      <c r="V435" s="1083"/>
      <c r="W435" s="1083"/>
      <c r="X435" s="1083"/>
      <c r="Y435" s="1083"/>
      <c r="Z435" s="1083"/>
      <c r="AA435" s="1083"/>
      <c r="AB435" s="1083"/>
      <c r="AC435" s="1083"/>
      <c r="AD435" s="1083"/>
      <c r="AE435" s="1083"/>
    </row>
    <row r="436" spans="2:31" hidden="1">
      <c r="B436" s="1087"/>
      <c r="C436" s="1603"/>
      <c r="D436" s="1087"/>
      <c r="E436" s="1100"/>
      <c r="F436" s="1105"/>
      <c r="I436" s="1083"/>
      <c r="J436" s="1083"/>
      <c r="K436" s="1083"/>
      <c r="L436" s="1083"/>
      <c r="M436" s="1083"/>
      <c r="N436" s="1083"/>
      <c r="O436" s="1083"/>
      <c r="P436" s="1083"/>
      <c r="Q436" s="1083"/>
      <c r="R436" s="1083"/>
      <c r="S436" s="1083"/>
      <c r="T436" s="1083"/>
      <c r="U436" s="1083"/>
      <c r="V436" s="1083"/>
      <c r="W436" s="1083"/>
      <c r="X436" s="1083"/>
      <c r="Y436" s="1083"/>
      <c r="Z436" s="1083"/>
      <c r="AA436" s="1083"/>
      <c r="AB436" s="1083"/>
      <c r="AC436" s="1083"/>
      <c r="AD436" s="1083"/>
      <c r="AE436" s="1083"/>
    </row>
    <row r="437" spans="2:31" ht="13.5" hidden="1" thickBot="1">
      <c r="B437" s="1387" t="s">
        <v>629</v>
      </c>
      <c r="C437" s="1609"/>
      <c r="D437" s="1131"/>
      <c r="E437" s="1132"/>
      <c r="F437" s="113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row>
    <row r="438" spans="2:31" ht="13.5" hidden="1" thickTop="1">
      <c r="B438" s="1137" t="s">
        <v>1225</v>
      </c>
      <c r="C438" s="1610">
        <v>1.05</v>
      </c>
      <c r="D438" s="1138" t="s">
        <v>2</v>
      </c>
      <c r="E438" s="1139" t="e">
        <f>+E431</f>
        <v>#REF!</v>
      </c>
      <c r="F438" s="1140" t="e">
        <f>C438*E438</f>
        <v>#REF!</v>
      </c>
      <c r="I438" s="1083"/>
      <c r="J438" s="1083"/>
      <c r="K438" s="1083"/>
      <c r="L438" s="1083"/>
      <c r="M438" s="1083"/>
      <c r="N438" s="1083"/>
      <c r="O438" s="1083"/>
      <c r="P438" s="1083"/>
      <c r="Q438" s="1083"/>
      <c r="R438" s="1083"/>
      <c r="S438" s="1083"/>
      <c r="T438" s="1083"/>
      <c r="U438" s="1083"/>
      <c r="V438" s="1083"/>
      <c r="W438" s="1083"/>
      <c r="X438" s="1083"/>
      <c r="Y438" s="1083"/>
      <c r="Z438" s="1083"/>
      <c r="AA438" s="1083"/>
      <c r="AB438" s="1083"/>
      <c r="AC438" s="1083"/>
      <c r="AD438" s="1083"/>
      <c r="AE438" s="1083"/>
    </row>
    <row r="439" spans="2:31" hidden="1">
      <c r="B439" s="1141" t="s">
        <v>272</v>
      </c>
      <c r="C439" s="1611">
        <v>1.42</v>
      </c>
      <c r="D439" s="1142" t="s">
        <v>126</v>
      </c>
      <c r="E439" s="1143">
        <f>+E432</f>
        <v>2913</v>
      </c>
      <c r="F439" s="1144">
        <f>C439*E439</f>
        <v>4136.46</v>
      </c>
      <c r="I439" s="1083"/>
      <c r="J439" s="1083"/>
      <c r="K439" s="1083"/>
      <c r="L439" s="1083"/>
      <c r="M439" s="1083"/>
      <c r="N439" s="1083"/>
      <c r="O439" s="1083"/>
      <c r="P439" s="1083"/>
      <c r="Q439" s="1083"/>
      <c r="R439" s="1083"/>
      <c r="S439" s="1083"/>
      <c r="T439" s="1083"/>
      <c r="U439" s="1083"/>
      <c r="V439" s="1083"/>
      <c r="W439" s="1083"/>
      <c r="X439" s="1083"/>
      <c r="Y439" s="1083"/>
      <c r="Z439" s="1083"/>
      <c r="AA439" s="1083"/>
      <c r="AB439" s="1083"/>
      <c r="AC439" s="1083"/>
      <c r="AD439" s="1083"/>
      <c r="AE439" s="1083"/>
    </row>
    <row r="440" spans="2:31" ht="13.5" hidden="1" thickBot="1">
      <c r="B440" s="1145"/>
      <c r="C440" s="1612"/>
      <c r="D440" s="1146"/>
      <c r="E440" s="1147" t="s">
        <v>1031</v>
      </c>
      <c r="F440" s="1148" t="e">
        <f>ROUND(SUM(F438:F439),2)</f>
        <v>#REF!</v>
      </c>
      <c r="I440" s="1083"/>
      <c r="J440" s="1083"/>
      <c r="K440" s="1083"/>
      <c r="L440" s="1083"/>
      <c r="M440" s="1083"/>
      <c r="N440" s="1083"/>
      <c r="O440" s="1083"/>
      <c r="P440" s="1083"/>
      <c r="Q440" s="1083"/>
      <c r="R440" s="1083"/>
      <c r="S440" s="1083"/>
      <c r="T440" s="1083"/>
      <c r="U440" s="1083"/>
      <c r="V440" s="1083"/>
      <c r="W440" s="1083"/>
      <c r="X440" s="1083"/>
      <c r="Y440" s="1083"/>
      <c r="Z440" s="1083"/>
      <c r="AA440" s="1083"/>
      <c r="AB440" s="1083"/>
      <c r="AC440" s="1083"/>
      <c r="AD440" s="1083"/>
      <c r="AE440" s="1083"/>
    </row>
    <row r="441" spans="2:31" ht="13.5" hidden="1" thickTop="1">
      <c r="B441" s="1087"/>
      <c r="C441" s="1603"/>
      <c r="D441" s="1087"/>
      <c r="E441" s="1100"/>
      <c r="F441" s="1105"/>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1083"/>
      <c r="AE441" s="1083"/>
    </row>
    <row r="442" spans="2:31" hidden="1">
      <c r="B442" s="1149"/>
      <c r="C442" s="1613"/>
      <c r="D442" s="1149"/>
      <c r="E442" s="1150"/>
      <c r="F442" s="1151"/>
      <c r="I442" s="1083"/>
      <c r="J442" s="1083"/>
      <c r="K442" s="1083"/>
      <c r="L442" s="1083"/>
      <c r="M442" s="1083"/>
      <c r="N442" s="1083"/>
      <c r="O442" s="1083"/>
      <c r="P442" s="1083"/>
      <c r="Q442" s="1083"/>
      <c r="R442" s="1083"/>
      <c r="S442" s="1083"/>
      <c r="T442" s="1083"/>
      <c r="U442" s="1083"/>
      <c r="V442" s="1083"/>
      <c r="W442" s="1083"/>
      <c r="X442" s="1083"/>
      <c r="Y442" s="1083"/>
      <c r="Z442" s="1083"/>
      <c r="AA442" s="1083"/>
      <c r="AB442" s="1083"/>
      <c r="AC442" s="1083"/>
      <c r="AD442" s="1083"/>
      <c r="AE442" s="1083"/>
    </row>
    <row r="443" spans="2:31" ht="20.25" hidden="1">
      <c r="B443" s="1914" t="s">
        <v>723</v>
      </c>
      <c r="C443" s="1603"/>
      <c r="D443" s="1087"/>
      <c r="E443" s="1100"/>
      <c r="F443" s="1105"/>
      <c r="I443" s="1083"/>
      <c r="J443" s="1083"/>
      <c r="K443" s="1083"/>
      <c r="L443" s="1083"/>
      <c r="M443" s="1083"/>
      <c r="N443" s="1083"/>
      <c r="O443" s="1083"/>
      <c r="P443" s="1083"/>
      <c r="Q443" s="1083"/>
      <c r="R443" s="1083"/>
      <c r="S443" s="1083"/>
      <c r="T443" s="1083"/>
      <c r="U443" s="1083"/>
      <c r="V443" s="1083"/>
      <c r="W443" s="1083"/>
      <c r="X443" s="1083"/>
      <c r="Y443" s="1083"/>
      <c r="Z443" s="1083"/>
      <c r="AA443" s="1083"/>
      <c r="AB443" s="1083"/>
      <c r="AC443" s="1083"/>
      <c r="AD443" s="1083"/>
      <c r="AE443" s="1083"/>
    </row>
    <row r="444" spans="2:31" hidden="1">
      <c r="B444" s="1087"/>
      <c r="C444" s="1603"/>
      <c r="D444" s="1087"/>
      <c r="E444" s="1100"/>
      <c r="F444" s="1105"/>
      <c r="I444" s="1083"/>
      <c r="J444" s="1083"/>
      <c r="K444" s="1083"/>
      <c r="L444" s="1083"/>
      <c r="M444" s="1083"/>
      <c r="N444" s="1083"/>
      <c r="O444" s="1083"/>
      <c r="P444" s="1083"/>
      <c r="Q444" s="1083"/>
      <c r="R444" s="1083"/>
      <c r="S444" s="1083"/>
      <c r="T444" s="1083"/>
      <c r="U444" s="1083"/>
      <c r="V444" s="1083"/>
      <c r="W444" s="1083"/>
      <c r="X444" s="1083"/>
      <c r="Y444" s="1083"/>
      <c r="Z444" s="1083"/>
      <c r="AA444" s="1083"/>
      <c r="AB444" s="1083"/>
      <c r="AC444" s="1083"/>
      <c r="AD444" s="1083"/>
      <c r="AE444" s="1083"/>
    </row>
    <row r="445" spans="2:31" ht="13.5" hidden="1" thickBot="1">
      <c r="B445" s="1387" t="s">
        <v>629</v>
      </c>
      <c r="C445" s="1609"/>
      <c r="D445" s="1131"/>
      <c r="E445" s="1132"/>
      <c r="F445" s="1133"/>
      <c r="I445" s="1083"/>
      <c r="J445" s="1083"/>
      <c r="K445" s="1083"/>
      <c r="L445" s="1083"/>
      <c r="M445" s="1083"/>
      <c r="N445" s="1083"/>
      <c r="O445" s="1083"/>
      <c r="P445" s="1083"/>
      <c r="Q445" s="1083"/>
      <c r="R445" s="1083"/>
      <c r="S445" s="1083"/>
      <c r="T445" s="1083"/>
      <c r="U445" s="1083"/>
      <c r="V445" s="1083"/>
      <c r="W445" s="1083"/>
      <c r="X445" s="1083"/>
      <c r="Y445" s="1083"/>
      <c r="Z445" s="1083"/>
      <c r="AA445" s="1083"/>
      <c r="AB445" s="1083"/>
      <c r="AC445" s="1083"/>
      <c r="AD445" s="1083"/>
      <c r="AE445" s="1083"/>
    </row>
    <row r="446" spans="2:31" ht="13.5" hidden="1" thickTop="1">
      <c r="B446" s="1137" t="s">
        <v>1225</v>
      </c>
      <c r="C446" s="1610">
        <v>1.05</v>
      </c>
      <c r="D446" s="1138" t="s">
        <v>2</v>
      </c>
      <c r="E446" s="1139" t="e">
        <f>+E438</f>
        <v>#REF!</v>
      </c>
      <c r="F446" s="1140" t="e">
        <f>C446*E446</f>
        <v>#REF!</v>
      </c>
      <c r="I446" s="1083"/>
      <c r="J446" s="1083"/>
      <c r="K446" s="1083"/>
      <c r="L446" s="1083"/>
      <c r="M446" s="1083"/>
      <c r="N446" s="1083"/>
      <c r="O446" s="1083"/>
      <c r="P446" s="1083"/>
      <c r="Q446" s="1083"/>
      <c r="R446" s="1083"/>
      <c r="S446" s="1083"/>
      <c r="T446" s="1083"/>
      <c r="U446" s="1083"/>
      <c r="V446" s="1083"/>
      <c r="W446" s="1083"/>
      <c r="X446" s="1083"/>
      <c r="Y446" s="1083"/>
      <c r="Z446" s="1083"/>
      <c r="AA446" s="1083"/>
      <c r="AB446" s="1083"/>
      <c r="AC446" s="1083"/>
      <c r="AD446" s="1083"/>
      <c r="AE446" s="1083"/>
    </row>
    <row r="447" spans="2:31" hidden="1">
      <c r="B447" s="1141" t="s">
        <v>272</v>
      </c>
      <c r="C447" s="1611">
        <v>1.42</v>
      </c>
      <c r="D447" s="1142" t="s">
        <v>126</v>
      </c>
      <c r="E447" s="1143">
        <f>+E439</f>
        <v>2913</v>
      </c>
      <c r="F447" s="1144">
        <f>C447*E447</f>
        <v>4136.46</v>
      </c>
      <c r="I447" s="1083"/>
      <c r="J447" s="1083"/>
      <c r="K447" s="1083"/>
      <c r="L447" s="1083"/>
      <c r="M447" s="1083"/>
      <c r="N447" s="1083"/>
      <c r="O447" s="1083"/>
      <c r="P447" s="1083"/>
      <c r="Q447" s="1083"/>
      <c r="R447" s="1083"/>
      <c r="S447" s="1083"/>
      <c r="T447" s="1083"/>
      <c r="U447" s="1083"/>
      <c r="V447" s="1083"/>
      <c r="W447" s="1083"/>
      <c r="X447" s="1083"/>
      <c r="Y447" s="1083"/>
      <c r="Z447" s="1083"/>
      <c r="AA447" s="1083"/>
      <c r="AB447" s="1083"/>
      <c r="AC447" s="1083"/>
      <c r="AD447" s="1083"/>
      <c r="AE447" s="1083"/>
    </row>
    <row r="448" spans="2:31" ht="13.5" hidden="1" thickBot="1">
      <c r="B448" s="1145"/>
      <c r="C448" s="1612"/>
      <c r="D448" s="1146"/>
      <c r="E448" s="1147" t="s">
        <v>1031</v>
      </c>
      <c r="F448" s="1148" t="e">
        <f>ROUND(SUM(F446:F447),2)</f>
        <v>#REF!</v>
      </c>
      <c r="I448" s="1083"/>
      <c r="J448" s="1083"/>
      <c r="K448" s="1083"/>
      <c r="L448" s="1083"/>
      <c r="M448" s="1083"/>
      <c r="N448" s="1083"/>
      <c r="O448" s="1083"/>
      <c r="P448" s="1083"/>
      <c r="Q448" s="1083"/>
      <c r="R448" s="1083"/>
      <c r="S448" s="1083"/>
      <c r="T448" s="1083"/>
      <c r="U448" s="1083"/>
      <c r="V448" s="1083"/>
      <c r="W448" s="1083"/>
      <c r="X448" s="1083"/>
      <c r="Y448" s="1083"/>
      <c r="Z448" s="1083"/>
      <c r="AA448" s="1083"/>
      <c r="AB448" s="1083"/>
      <c r="AC448" s="1083"/>
      <c r="AD448" s="1083"/>
      <c r="AE448" s="1083"/>
    </row>
    <row r="449" spans="2:31" ht="13.5" hidden="1" thickTop="1">
      <c r="B449" s="1087"/>
      <c r="C449" s="1603"/>
      <c r="D449" s="1087"/>
      <c r="E449" s="1100"/>
      <c r="F449" s="1105"/>
      <c r="I449" s="1083"/>
      <c r="J449" s="1083"/>
      <c r="K449" s="1083"/>
      <c r="L449" s="1083"/>
      <c r="M449" s="1083"/>
      <c r="N449" s="1083"/>
      <c r="O449" s="1083"/>
      <c r="P449" s="1083"/>
      <c r="Q449" s="1083"/>
      <c r="R449" s="1083"/>
      <c r="S449" s="1083"/>
      <c r="T449" s="1083"/>
      <c r="U449" s="1083"/>
      <c r="V449" s="1083"/>
      <c r="W449" s="1083"/>
      <c r="X449" s="1083"/>
      <c r="Y449" s="1083"/>
      <c r="Z449" s="1083"/>
      <c r="AA449" s="1083"/>
      <c r="AB449" s="1083"/>
      <c r="AC449" s="1083"/>
      <c r="AD449" s="1083"/>
      <c r="AE449" s="1083"/>
    </row>
    <row r="450" spans="2:31" ht="20.25" hidden="1">
      <c r="B450" s="1914" t="s">
        <v>678</v>
      </c>
      <c r="C450" s="1603"/>
      <c r="D450" s="1087"/>
      <c r="E450" s="1100"/>
      <c r="F450" s="1105"/>
      <c r="I450" s="1083"/>
      <c r="J450" s="1083"/>
      <c r="K450" s="1083"/>
      <c r="L450" s="1083"/>
      <c r="M450" s="1083"/>
      <c r="N450" s="1083"/>
      <c r="O450" s="1083"/>
      <c r="P450" s="1083"/>
      <c r="Q450" s="1083"/>
      <c r="R450" s="1083"/>
      <c r="S450" s="1083"/>
      <c r="T450" s="1083"/>
      <c r="U450" s="1083"/>
      <c r="V450" s="1083"/>
      <c r="W450" s="1083"/>
      <c r="X450" s="1083"/>
      <c r="Y450" s="1083"/>
      <c r="Z450" s="1083"/>
      <c r="AA450" s="1083"/>
      <c r="AB450" s="1083"/>
      <c r="AC450" s="1083"/>
      <c r="AD450" s="1083"/>
      <c r="AE450" s="1083"/>
    </row>
    <row r="451" spans="2:31" hidden="1">
      <c r="B451" s="1087"/>
      <c r="C451" s="1603"/>
      <c r="D451" s="1087"/>
      <c r="E451" s="1100"/>
      <c r="F451" s="1105"/>
      <c r="I451" s="1083"/>
      <c r="J451" s="1083"/>
      <c r="K451" s="1083"/>
      <c r="L451" s="1083"/>
      <c r="M451" s="1083"/>
      <c r="N451" s="1083"/>
      <c r="O451" s="1083"/>
      <c r="P451" s="1083"/>
      <c r="Q451" s="1083"/>
      <c r="R451" s="1083"/>
      <c r="S451" s="1083"/>
      <c r="T451" s="1083"/>
      <c r="U451" s="1083"/>
      <c r="V451" s="1083"/>
      <c r="W451" s="1083"/>
      <c r="X451" s="1083"/>
      <c r="Y451" s="1083"/>
      <c r="Z451" s="1083"/>
      <c r="AA451" s="1083"/>
      <c r="AB451" s="1083"/>
      <c r="AC451" s="1083"/>
      <c r="AD451" s="1083"/>
      <c r="AE451" s="1083"/>
    </row>
    <row r="452" spans="2:31" ht="13.5" hidden="1" thickBot="1">
      <c r="B452" s="1387" t="s">
        <v>730</v>
      </c>
      <c r="C452" s="1609"/>
      <c r="D452" s="1131"/>
      <c r="E452" s="1132"/>
      <c r="F452" s="1133"/>
      <c r="I452" s="1083"/>
      <c r="J452" s="1083"/>
      <c r="K452" s="1083"/>
      <c r="L452" s="1083"/>
      <c r="M452" s="1083"/>
      <c r="N452" s="1083"/>
      <c r="O452" s="1083"/>
      <c r="P452" s="1083"/>
      <c r="Q452" s="1083"/>
      <c r="R452" s="1083"/>
      <c r="S452" s="1083"/>
      <c r="T452" s="1083"/>
      <c r="U452" s="1083"/>
      <c r="V452" s="1083"/>
      <c r="W452" s="1083"/>
      <c r="X452" s="1083"/>
      <c r="Y452" s="1083"/>
      <c r="Z452" s="1083"/>
      <c r="AA452" s="1083"/>
      <c r="AB452" s="1083"/>
      <c r="AC452" s="1083"/>
      <c r="AD452" s="1083"/>
      <c r="AE452" s="1083"/>
    </row>
    <row r="453" spans="2:31" ht="13.5" hidden="1" thickTop="1">
      <c r="B453" s="1137" t="s">
        <v>1225</v>
      </c>
      <c r="C453" s="1610">
        <v>1.05</v>
      </c>
      <c r="D453" s="1138" t="s">
        <v>2</v>
      </c>
      <c r="E453" s="1139" t="e">
        <f>+E446</f>
        <v>#REF!</v>
      </c>
      <c r="F453" s="1140" t="e">
        <f>C453*E453</f>
        <v>#REF!</v>
      </c>
      <c r="I453" s="1083"/>
      <c r="J453" s="1083"/>
      <c r="K453" s="1083"/>
      <c r="L453" s="1083"/>
      <c r="M453" s="1083"/>
      <c r="N453" s="1083"/>
      <c r="O453" s="1083"/>
      <c r="P453" s="1083"/>
      <c r="Q453" s="1083"/>
      <c r="R453" s="1083"/>
      <c r="S453" s="1083"/>
      <c r="T453" s="1083"/>
      <c r="U453" s="1083"/>
      <c r="V453" s="1083"/>
      <c r="W453" s="1083"/>
      <c r="X453" s="1083"/>
      <c r="Y453" s="1083"/>
      <c r="Z453" s="1083"/>
      <c r="AA453" s="1083"/>
      <c r="AB453" s="1083"/>
      <c r="AC453" s="1083"/>
      <c r="AD453" s="1083"/>
      <c r="AE453" s="1083"/>
    </row>
    <row r="454" spans="2:31" hidden="1">
      <c r="B454" s="1141" t="s">
        <v>272</v>
      </c>
      <c r="C454" s="1611">
        <v>0.56000000000000005</v>
      </c>
      <c r="D454" s="1142" t="s">
        <v>126</v>
      </c>
      <c r="E454" s="1143">
        <f>+E447</f>
        <v>2913</v>
      </c>
      <c r="F454" s="1144">
        <f>C454*E454</f>
        <v>1631.28</v>
      </c>
      <c r="I454" s="1083"/>
      <c r="J454" s="1083"/>
      <c r="K454" s="1083"/>
      <c r="L454" s="1083"/>
      <c r="M454" s="1083"/>
      <c r="N454" s="1083"/>
      <c r="O454" s="1083"/>
      <c r="P454" s="1083"/>
      <c r="Q454" s="1083"/>
      <c r="R454" s="1083"/>
      <c r="S454" s="1083"/>
      <c r="T454" s="1083"/>
      <c r="U454" s="1083"/>
      <c r="V454" s="1083"/>
      <c r="W454" s="1083"/>
      <c r="X454" s="1083"/>
      <c r="Y454" s="1083"/>
      <c r="Z454" s="1083"/>
      <c r="AA454" s="1083"/>
      <c r="AB454" s="1083"/>
      <c r="AC454" s="1083"/>
      <c r="AD454" s="1083"/>
      <c r="AE454" s="1083"/>
    </row>
    <row r="455" spans="2:31" ht="13.5" hidden="1" thickBot="1">
      <c r="B455" s="1145"/>
      <c r="C455" s="1612"/>
      <c r="D455" s="1146"/>
      <c r="E455" s="1147" t="s">
        <v>1031</v>
      </c>
      <c r="F455" s="1148" t="e">
        <f>ROUND(SUM(F453:F454),2)</f>
        <v>#REF!</v>
      </c>
      <c r="I455" s="1083"/>
      <c r="J455" s="1083"/>
      <c r="K455" s="1083"/>
      <c r="L455" s="1083"/>
      <c r="M455" s="1083"/>
      <c r="N455" s="1083"/>
      <c r="O455" s="1083"/>
      <c r="P455" s="1083"/>
      <c r="Q455" s="1083"/>
      <c r="R455" s="1083"/>
      <c r="S455" s="1083"/>
      <c r="T455" s="1083"/>
      <c r="U455" s="1083"/>
      <c r="V455" s="1083"/>
      <c r="W455" s="1083"/>
      <c r="X455" s="1083"/>
      <c r="Y455" s="1083"/>
      <c r="Z455" s="1083"/>
      <c r="AA455" s="1083"/>
      <c r="AB455" s="1083"/>
      <c r="AC455" s="1083"/>
      <c r="AD455" s="1083"/>
      <c r="AE455" s="1083"/>
    </row>
    <row r="456" spans="2:31" ht="13.5" hidden="1" thickTop="1">
      <c r="B456" s="1149"/>
      <c r="C456" s="1613"/>
      <c r="D456" s="1149"/>
      <c r="E456" s="1150"/>
      <c r="F456" s="1151"/>
      <c r="I456" s="1083"/>
      <c r="J456" s="1083"/>
      <c r="K456" s="1083"/>
      <c r="L456" s="1083"/>
      <c r="M456" s="1083"/>
      <c r="N456" s="1083"/>
      <c r="O456" s="1083"/>
      <c r="P456" s="1083"/>
      <c r="Q456" s="1083"/>
      <c r="R456" s="1083"/>
      <c r="S456" s="1083"/>
      <c r="T456" s="1083"/>
      <c r="U456" s="1083"/>
      <c r="V456" s="1083"/>
      <c r="W456" s="1083"/>
      <c r="X456" s="1083"/>
      <c r="Y456" s="1083"/>
      <c r="Z456" s="1083"/>
      <c r="AA456" s="1083"/>
      <c r="AB456" s="1083"/>
      <c r="AC456" s="1083"/>
      <c r="AD456" s="1083"/>
      <c r="AE456" s="1083"/>
    </row>
    <row r="457" spans="2:31" ht="13.5" hidden="1" thickBot="1">
      <c r="B457" s="1392" t="s">
        <v>732</v>
      </c>
      <c r="C457" s="1614"/>
      <c r="D457" s="1135"/>
      <c r="E457" s="1135"/>
      <c r="F457" s="1135"/>
      <c r="I457" s="1083"/>
      <c r="J457" s="1083"/>
      <c r="K457" s="1083"/>
      <c r="L457" s="1083"/>
      <c r="M457" s="1083"/>
      <c r="N457" s="1083"/>
      <c r="O457" s="1083"/>
      <c r="P457" s="1083"/>
      <c r="Q457" s="1083"/>
      <c r="R457" s="1083"/>
      <c r="S457" s="1083"/>
      <c r="T457" s="1083"/>
      <c r="U457" s="1083"/>
      <c r="V457" s="1083"/>
      <c r="W457" s="1083"/>
      <c r="X457" s="1083"/>
      <c r="Y457" s="1083"/>
      <c r="Z457" s="1083"/>
      <c r="AA457" s="1083"/>
      <c r="AB457" s="1083"/>
      <c r="AC457" s="1083"/>
      <c r="AD457" s="1083"/>
      <c r="AE457" s="1083"/>
    </row>
    <row r="458" spans="2:31" ht="13.5" hidden="1" thickTop="1">
      <c r="B458" s="1137" t="s">
        <v>1225</v>
      </c>
      <c r="C458" s="1610">
        <v>1.05</v>
      </c>
      <c r="D458" s="1138" t="s">
        <v>2</v>
      </c>
      <c r="E458" s="1139" t="e">
        <f>+E453</f>
        <v>#REF!</v>
      </c>
      <c r="F458" s="1140" t="e">
        <f>C458*E458</f>
        <v>#REF!</v>
      </c>
      <c r="I458" s="1083"/>
      <c r="J458" s="1083"/>
      <c r="K458" s="1083"/>
      <c r="L458" s="1083"/>
      <c r="M458" s="1083"/>
      <c r="N458" s="1083"/>
      <c r="O458" s="1083"/>
      <c r="P458" s="1083"/>
      <c r="Q458" s="1083"/>
      <c r="R458" s="1083"/>
      <c r="S458" s="1083"/>
      <c r="T458" s="1083"/>
      <c r="U458" s="1083"/>
      <c r="V458" s="1083"/>
      <c r="W458" s="1083"/>
      <c r="X458" s="1083"/>
      <c r="Y458" s="1083"/>
      <c r="Z458" s="1083"/>
      <c r="AA458" s="1083"/>
      <c r="AB458" s="1083"/>
      <c r="AC458" s="1083"/>
      <c r="AD458" s="1083"/>
      <c r="AE458" s="1083"/>
    </row>
    <row r="459" spans="2:31" hidden="1">
      <c r="B459" s="1141" t="s">
        <v>1087</v>
      </c>
      <c r="C459" s="1611">
        <v>2.5</v>
      </c>
      <c r="D459" s="1142" t="s">
        <v>126</v>
      </c>
      <c r="E459" s="1143">
        <f>+E454</f>
        <v>2913</v>
      </c>
      <c r="F459" s="1144">
        <f>C459*E459</f>
        <v>7282.5</v>
      </c>
      <c r="I459" s="1083"/>
      <c r="J459" s="1083"/>
      <c r="K459" s="1083"/>
      <c r="L459" s="1083"/>
      <c r="M459" s="1083"/>
      <c r="N459" s="1083"/>
      <c r="O459" s="1083"/>
      <c r="P459" s="1083"/>
      <c r="Q459" s="1083"/>
      <c r="R459" s="1083"/>
      <c r="S459" s="1083"/>
      <c r="T459" s="1083"/>
      <c r="U459" s="1083"/>
      <c r="V459" s="1083"/>
      <c r="W459" s="1083"/>
      <c r="X459" s="1083"/>
      <c r="Y459" s="1083"/>
      <c r="Z459" s="1083"/>
      <c r="AA459" s="1083"/>
      <c r="AB459" s="1083"/>
      <c r="AC459" s="1083"/>
      <c r="AD459" s="1083"/>
      <c r="AE459" s="1083"/>
    </row>
    <row r="460" spans="2:31" hidden="1">
      <c r="B460" s="1141" t="s">
        <v>1089</v>
      </c>
      <c r="C460" s="1611">
        <f>1/0.25</f>
        <v>4</v>
      </c>
      <c r="D460" s="1152" t="s">
        <v>1</v>
      </c>
      <c r="E460" s="1143">
        <v>1000</v>
      </c>
      <c r="F460" s="1144">
        <f>C460*E460</f>
        <v>4000</v>
      </c>
      <c r="I460" s="1083"/>
      <c r="J460" s="1083"/>
      <c r="K460" s="1083"/>
      <c r="L460" s="1083"/>
      <c r="M460" s="1083"/>
      <c r="N460" s="1083"/>
      <c r="O460" s="1083"/>
      <c r="P460" s="1083"/>
      <c r="Q460" s="1083"/>
      <c r="R460" s="1083"/>
      <c r="S460" s="1083"/>
      <c r="T460" s="1083"/>
      <c r="U460" s="1083"/>
      <c r="V460" s="1083"/>
      <c r="W460" s="1083"/>
      <c r="X460" s="1083"/>
      <c r="Y460" s="1083"/>
      <c r="Z460" s="1083"/>
      <c r="AA460" s="1083"/>
      <c r="AB460" s="1083"/>
      <c r="AC460" s="1083"/>
      <c r="AD460" s="1083"/>
      <c r="AE460" s="1083"/>
    </row>
    <row r="461" spans="2:31" ht="13.5" hidden="1" thickBot="1">
      <c r="B461" s="1145"/>
      <c r="C461" s="1612"/>
      <c r="D461" s="1146"/>
      <c r="E461" s="1147" t="s">
        <v>1031</v>
      </c>
      <c r="F461" s="1148" t="e">
        <f>ROUND(SUM(F458:F460),2)</f>
        <v>#REF!</v>
      </c>
      <c r="I461" s="1083"/>
      <c r="J461" s="1083"/>
      <c r="K461" s="1083"/>
      <c r="L461" s="1083"/>
      <c r="M461" s="1083"/>
      <c r="N461" s="1083"/>
      <c r="O461" s="1083"/>
      <c r="P461" s="1083"/>
      <c r="Q461" s="1083"/>
      <c r="R461" s="1083"/>
      <c r="S461" s="1083"/>
      <c r="T461" s="1083"/>
      <c r="U461" s="1083"/>
      <c r="V461" s="1083"/>
      <c r="W461" s="1083"/>
      <c r="X461" s="1083"/>
      <c r="Y461" s="1083"/>
      <c r="Z461" s="1083"/>
      <c r="AA461" s="1083"/>
      <c r="AB461" s="1083"/>
      <c r="AC461" s="1083"/>
      <c r="AD461" s="1083"/>
      <c r="AE461" s="1083"/>
    </row>
    <row r="462" spans="2:31" ht="13.5" hidden="1" thickTop="1">
      <c r="B462" s="1087"/>
      <c r="C462" s="1603"/>
      <c r="D462" s="1087"/>
      <c r="E462" s="1100"/>
      <c r="F462" s="1105"/>
      <c r="I462" s="1083"/>
      <c r="J462" s="1083"/>
      <c r="K462" s="1083"/>
      <c r="L462" s="1083"/>
      <c r="M462" s="1083"/>
      <c r="N462" s="1083"/>
      <c r="O462" s="1083"/>
      <c r="P462" s="1083"/>
      <c r="Q462" s="1083"/>
      <c r="R462" s="1083"/>
      <c r="S462" s="1083"/>
      <c r="T462" s="1083"/>
      <c r="U462" s="1083"/>
      <c r="V462" s="1083"/>
      <c r="W462" s="1083"/>
      <c r="X462" s="1083"/>
      <c r="Y462" s="1083"/>
      <c r="Z462" s="1083"/>
      <c r="AA462" s="1083"/>
      <c r="AB462" s="1083"/>
      <c r="AC462" s="1083"/>
      <c r="AD462" s="1083"/>
      <c r="AE462" s="1083"/>
    </row>
    <row r="463" spans="2:31" ht="20.25" hidden="1">
      <c r="B463" s="1914" t="s">
        <v>736</v>
      </c>
      <c r="C463" s="1603"/>
      <c r="D463" s="1087"/>
      <c r="E463" s="1100"/>
      <c r="F463" s="1105"/>
      <c r="I463" s="1083"/>
      <c r="J463" s="1083"/>
      <c r="K463" s="1083"/>
      <c r="L463" s="1083"/>
      <c r="M463" s="1083"/>
      <c r="N463" s="1083"/>
      <c r="O463" s="1083"/>
      <c r="P463" s="1083"/>
      <c r="Q463" s="1083"/>
      <c r="R463" s="1083"/>
      <c r="S463" s="1083"/>
      <c r="T463" s="1083"/>
      <c r="U463" s="1083"/>
      <c r="V463" s="1083"/>
      <c r="W463" s="1083"/>
      <c r="X463" s="1083"/>
      <c r="Y463" s="1083"/>
      <c r="Z463" s="1083"/>
      <c r="AA463" s="1083"/>
      <c r="AB463" s="1083"/>
      <c r="AC463" s="1083"/>
      <c r="AD463" s="1083"/>
      <c r="AE463" s="1083"/>
    </row>
    <row r="464" spans="2:31" hidden="1">
      <c r="B464" s="1087"/>
      <c r="C464" s="1603"/>
      <c r="D464" s="1087"/>
      <c r="E464" s="1100"/>
      <c r="F464" s="1105"/>
      <c r="I464" s="1083"/>
      <c r="J464" s="1083"/>
      <c r="K464" s="1083"/>
      <c r="L464" s="1083"/>
      <c r="M464" s="1083"/>
      <c r="N464" s="1083"/>
      <c r="O464" s="1083"/>
      <c r="P464" s="1083"/>
      <c r="Q464" s="1083"/>
      <c r="R464" s="1083"/>
      <c r="S464" s="1083"/>
      <c r="T464" s="1083"/>
      <c r="U464" s="1083"/>
      <c r="V464" s="1083"/>
      <c r="W464" s="1083"/>
      <c r="X464" s="1083"/>
      <c r="Y464" s="1083"/>
      <c r="Z464" s="1083"/>
      <c r="AA464" s="1083"/>
      <c r="AB464" s="1083"/>
      <c r="AC464" s="1083"/>
      <c r="AD464" s="1083"/>
      <c r="AE464" s="1083"/>
    </row>
    <row r="465" spans="2:31" ht="13.5" hidden="1" thickBot="1">
      <c r="B465" s="1387" t="s">
        <v>738</v>
      </c>
      <c r="C465" s="1609"/>
      <c r="D465" s="1131"/>
      <c r="E465" s="1132"/>
      <c r="F465" s="1133"/>
      <c r="I465" s="1083"/>
      <c r="J465" s="1083"/>
      <c r="K465" s="1083"/>
      <c r="L465" s="1083"/>
      <c r="M465" s="1083"/>
      <c r="N465" s="1083"/>
      <c r="O465" s="1083"/>
      <c r="P465" s="1083"/>
      <c r="Q465" s="1083"/>
      <c r="R465" s="1083"/>
      <c r="S465" s="1083"/>
      <c r="T465" s="1083"/>
      <c r="U465" s="1083"/>
      <c r="V465" s="1083"/>
      <c r="W465" s="1083"/>
      <c r="X465" s="1083"/>
      <c r="Y465" s="1083"/>
      <c r="Z465" s="1083"/>
      <c r="AA465" s="1083"/>
      <c r="AB465" s="1083"/>
      <c r="AC465" s="1083"/>
      <c r="AD465" s="1083"/>
      <c r="AE465" s="1083"/>
    </row>
    <row r="466" spans="2:31" ht="13.5" hidden="1" thickTop="1">
      <c r="B466" s="1137" t="s">
        <v>1225</v>
      </c>
      <c r="C466" s="1610">
        <v>1.05</v>
      </c>
      <c r="D466" s="1138" t="s">
        <v>2</v>
      </c>
      <c r="E466" s="1139" t="e">
        <f>+E458</f>
        <v>#REF!</v>
      </c>
      <c r="F466" s="1140" t="e">
        <f>C466*E466</f>
        <v>#REF!</v>
      </c>
      <c r="I466" s="1083"/>
      <c r="J466" s="1083"/>
      <c r="K466" s="1083"/>
      <c r="L466" s="1083"/>
      <c r="M466" s="1083"/>
      <c r="N466" s="1083"/>
      <c r="O466" s="1083"/>
      <c r="P466" s="1083"/>
      <c r="Q466" s="1083"/>
      <c r="R466" s="1083"/>
      <c r="S466" s="1083"/>
      <c r="T466" s="1083"/>
      <c r="U466" s="1083"/>
      <c r="V466" s="1083"/>
      <c r="W466" s="1083"/>
      <c r="X466" s="1083"/>
      <c r="Y466" s="1083"/>
      <c r="Z466" s="1083"/>
      <c r="AA466" s="1083"/>
      <c r="AB466" s="1083"/>
      <c r="AC466" s="1083"/>
      <c r="AD466" s="1083"/>
      <c r="AE466" s="1083"/>
    </row>
    <row r="467" spans="2:31" hidden="1">
      <c r="B467" s="1141" t="s">
        <v>272</v>
      </c>
      <c r="C467" s="1611">
        <v>1.65</v>
      </c>
      <c r="D467" s="1142" t="s">
        <v>126</v>
      </c>
      <c r="E467" s="1143">
        <f>+E459</f>
        <v>2913</v>
      </c>
      <c r="F467" s="1144">
        <f>C467*E467</f>
        <v>4806.45</v>
      </c>
      <c r="I467" s="1083"/>
      <c r="J467" s="1083"/>
      <c r="K467" s="1083"/>
      <c r="L467" s="1083"/>
      <c r="M467" s="1083"/>
      <c r="N467" s="1083"/>
      <c r="O467" s="1083"/>
      <c r="P467" s="1083"/>
      <c r="Q467" s="1083"/>
      <c r="R467" s="1083"/>
      <c r="S467" s="1083"/>
      <c r="T467" s="1083"/>
      <c r="U467" s="1083"/>
      <c r="V467" s="1083"/>
      <c r="W467" s="1083"/>
      <c r="X467" s="1083"/>
      <c r="Y467" s="1083"/>
      <c r="Z467" s="1083"/>
      <c r="AA467" s="1083"/>
      <c r="AB467" s="1083"/>
      <c r="AC467" s="1083"/>
      <c r="AD467" s="1083"/>
      <c r="AE467" s="1083"/>
    </row>
    <row r="468" spans="2:31" ht="13.5" hidden="1" thickBot="1">
      <c r="B468" s="1145"/>
      <c r="C468" s="1612"/>
      <c r="D468" s="1146"/>
      <c r="E468" s="1147" t="s">
        <v>1031</v>
      </c>
      <c r="F468" s="1148" t="e">
        <f>ROUND(SUM(F466:F467),2)</f>
        <v>#REF!</v>
      </c>
      <c r="I468" s="1083"/>
      <c r="J468" s="1083"/>
      <c r="K468" s="1083"/>
      <c r="L468" s="1083"/>
      <c r="M468" s="1083"/>
      <c r="N468" s="1083"/>
      <c r="O468" s="1083"/>
      <c r="P468" s="1083"/>
      <c r="Q468" s="1083"/>
      <c r="R468" s="1083"/>
      <c r="S468" s="1083"/>
      <c r="T468" s="1083"/>
      <c r="U468" s="1083"/>
      <c r="V468" s="1083"/>
      <c r="W468" s="1083"/>
      <c r="X468" s="1083"/>
      <c r="Y468" s="1083"/>
      <c r="Z468" s="1083"/>
      <c r="AA468" s="1083"/>
      <c r="AB468" s="1083"/>
      <c r="AC468" s="1083"/>
      <c r="AD468" s="1083"/>
      <c r="AE468" s="1083"/>
    </row>
    <row r="469" spans="2:31" ht="13.5" hidden="1" thickTop="1">
      <c r="B469" s="1087"/>
      <c r="C469" s="1603"/>
      <c r="D469" s="1087"/>
      <c r="E469" s="1100"/>
      <c r="F469" s="1105"/>
      <c r="I469" s="1083"/>
      <c r="J469" s="1083"/>
      <c r="K469" s="1083"/>
      <c r="L469" s="1083"/>
      <c r="M469" s="1083"/>
      <c r="N469" s="1083"/>
      <c r="O469" s="1083"/>
      <c r="P469" s="1083"/>
      <c r="Q469" s="1083"/>
      <c r="R469" s="1083"/>
      <c r="S469" s="1083"/>
      <c r="T469" s="1083"/>
      <c r="U469" s="1083"/>
      <c r="V469" s="1083"/>
      <c r="W469" s="1083"/>
      <c r="X469" s="1083"/>
      <c r="Y469" s="1083"/>
      <c r="Z469" s="1083"/>
      <c r="AA469" s="1083"/>
      <c r="AB469" s="1083"/>
      <c r="AC469" s="1083"/>
      <c r="AD469" s="1083"/>
      <c r="AE469" s="1083"/>
    </row>
    <row r="470" spans="2:31" ht="20.25" hidden="1">
      <c r="B470" s="1914" t="s">
        <v>741</v>
      </c>
      <c r="C470" s="1603"/>
      <c r="D470" s="1087"/>
      <c r="E470" s="1100"/>
      <c r="F470" s="1105"/>
      <c r="I470" s="1083"/>
      <c r="J470" s="1083"/>
      <c r="K470" s="1083"/>
      <c r="L470" s="1083"/>
      <c r="M470" s="1083"/>
      <c r="N470" s="1083"/>
      <c r="O470" s="1083"/>
      <c r="P470" s="1083"/>
      <c r="Q470" s="1083"/>
      <c r="R470" s="1083"/>
      <c r="S470" s="1083"/>
      <c r="T470" s="1083"/>
      <c r="U470" s="1083"/>
      <c r="V470" s="1083"/>
      <c r="W470" s="1083"/>
      <c r="X470" s="1083"/>
      <c r="Y470" s="1083"/>
      <c r="Z470" s="1083"/>
      <c r="AA470" s="1083"/>
      <c r="AB470" s="1083"/>
      <c r="AC470" s="1083"/>
      <c r="AD470" s="1083"/>
      <c r="AE470" s="1083"/>
    </row>
    <row r="471" spans="2:31" hidden="1">
      <c r="B471" s="1087"/>
      <c r="C471" s="1603"/>
      <c r="D471" s="1087"/>
      <c r="E471" s="1100"/>
      <c r="F471" s="1105"/>
      <c r="I471" s="1083"/>
      <c r="J471" s="1083"/>
      <c r="K471" s="1083"/>
      <c r="L471" s="1083"/>
      <c r="M471" s="1083"/>
      <c r="N471" s="1083"/>
      <c r="O471" s="1083"/>
      <c r="P471" s="1083"/>
      <c r="Q471" s="1083"/>
      <c r="R471" s="1083"/>
      <c r="S471" s="1083"/>
      <c r="T471" s="1083"/>
      <c r="U471" s="1083"/>
      <c r="V471" s="1083"/>
      <c r="W471" s="1083"/>
      <c r="X471" s="1083"/>
      <c r="Y471" s="1083"/>
      <c r="Z471" s="1083"/>
      <c r="AA471" s="1083"/>
      <c r="AB471" s="1083"/>
      <c r="AC471" s="1083"/>
      <c r="AD471" s="1083"/>
      <c r="AE471" s="1083"/>
    </row>
    <row r="472" spans="2:31" ht="13.5" hidden="1" thickBot="1">
      <c r="B472" s="1387" t="s">
        <v>584</v>
      </c>
      <c r="C472" s="1609"/>
      <c r="D472" s="1131"/>
      <c r="E472" s="1132"/>
      <c r="F472" s="1133"/>
      <c r="I472" s="1083"/>
      <c r="J472" s="1083"/>
      <c r="K472" s="1083"/>
      <c r="L472" s="1083"/>
      <c r="M472" s="1083"/>
      <c r="N472" s="1083"/>
      <c r="O472" s="1083"/>
      <c r="P472" s="1083"/>
      <c r="Q472" s="1083"/>
      <c r="R472" s="1083"/>
      <c r="S472" s="1083"/>
      <c r="T472" s="1083"/>
      <c r="U472" s="1083"/>
      <c r="V472" s="1083"/>
      <c r="W472" s="1083"/>
      <c r="X472" s="1083"/>
      <c r="Y472" s="1083"/>
      <c r="Z472" s="1083"/>
      <c r="AA472" s="1083"/>
      <c r="AB472" s="1083"/>
      <c r="AC472" s="1083"/>
      <c r="AD472" s="1083"/>
      <c r="AE472" s="1083"/>
    </row>
    <row r="473" spans="2:31" ht="13.5" hidden="1" thickTop="1">
      <c r="B473" s="1137" t="s">
        <v>1225</v>
      </c>
      <c r="C473" s="1610">
        <v>1.05</v>
      </c>
      <c r="D473" s="1138" t="s">
        <v>2</v>
      </c>
      <c r="E473" s="1139" t="e">
        <f>+E466</f>
        <v>#REF!</v>
      </c>
      <c r="F473" s="1140" t="e">
        <f>C473*E473</f>
        <v>#REF!</v>
      </c>
      <c r="I473" s="1083"/>
      <c r="J473" s="1083"/>
      <c r="K473" s="1083"/>
      <c r="L473" s="1083"/>
      <c r="M473" s="1083"/>
      <c r="N473" s="1083"/>
      <c r="O473" s="1083"/>
      <c r="P473" s="1083"/>
      <c r="Q473" s="1083"/>
      <c r="R473" s="1083"/>
      <c r="S473" s="1083"/>
      <c r="T473" s="1083"/>
      <c r="U473" s="1083"/>
      <c r="V473" s="1083"/>
      <c r="W473" s="1083"/>
      <c r="X473" s="1083"/>
      <c r="Y473" s="1083"/>
      <c r="Z473" s="1083"/>
      <c r="AA473" s="1083"/>
      <c r="AB473" s="1083"/>
      <c r="AC473" s="1083"/>
      <c r="AD473" s="1083"/>
      <c r="AE473" s="1083"/>
    </row>
    <row r="474" spans="2:31" hidden="1">
      <c r="B474" s="1141" t="s">
        <v>272</v>
      </c>
      <c r="C474" s="1611">
        <v>1.79</v>
      </c>
      <c r="D474" s="1142" t="s">
        <v>126</v>
      </c>
      <c r="E474" s="1143">
        <f>+E467</f>
        <v>2913</v>
      </c>
      <c r="F474" s="1144">
        <f>C474*E474</f>
        <v>5214.2700000000004</v>
      </c>
      <c r="I474" s="1083"/>
      <c r="J474" s="1083"/>
      <c r="K474" s="1083"/>
      <c r="L474" s="1083"/>
      <c r="M474" s="1083"/>
      <c r="N474" s="1083"/>
      <c r="O474" s="1083"/>
      <c r="P474" s="1083"/>
      <c r="Q474" s="1083"/>
      <c r="R474" s="1083"/>
      <c r="S474" s="1083"/>
      <c r="T474" s="1083"/>
      <c r="U474" s="1083"/>
      <c r="V474" s="1083"/>
      <c r="W474" s="1083"/>
      <c r="X474" s="1083"/>
      <c r="Y474" s="1083"/>
      <c r="Z474" s="1083"/>
      <c r="AA474" s="1083"/>
      <c r="AB474" s="1083"/>
      <c r="AC474" s="1083"/>
      <c r="AD474" s="1083"/>
      <c r="AE474" s="1083"/>
    </row>
    <row r="475" spans="2:31" ht="13.5" hidden="1" thickBot="1">
      <c r="B475" s="1145"/>
      <c r="C475" s="1612"/>
      <c r="D475" s="1146"/>
      <c r="E475" s="1147" t="s">
        <v>1031</v>
      </c>
      <c r="F475" s="1148" t="e">
        <f>ROUND(SUM(F473:F474),2)</f>
        <v>#REF!</v>
      </c>
      <c r="I475" s="1083"/>
      <c r="J475" s="1083"/>
      <c r="K475" s="1083"/>
      <c r="L475" s="1083"/>
      <c r="M475" s="1083"/>
      <c r="N475" s="1083"/>
      <c r="O475" s="1083"/>
      <c r="P475" s="1083"/>
      <c r="Q475" s="1083"/>
      <c r="R475" s="1083"/>
      <c r="S475" s="1083"/>
      <c r="T475" s="1083"/>
      <c r="U475" s="1083"/>
      <c r="V475" s="1083"/>
      <c r="W475" s="1083"/>
      <c r="X475" s="1083"/>
      <c r="Y475" s="1083"/>
      <c r="Z475" s="1083"/>
      <c r="AA475" s="1083"/>
      <c r="AB475" s="1083"/>
      <c r="AC475" s="1083"/>
      <c r="AD475" s="1083"/>
      <c r="AE475" s="1083"/>
    </row>
    <row r="476" spans="2:31" ht="13.5" hidden="1" thickTop="1">
      <c r="B476" s="1149"/>
      <c r="C476" s="1613"/>
      <c r="D476" s="1149"/>
      <c r="E476" s="1150"/>
      <c r="F476" s="1151"/>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row>
    <row r="477" spans="2:31" ht="13.5" hidden="1" thickBot="1">
      <c r="B477" s="1392" t="s">
        <v>585</v>
      </c>
      <c r="C477" s="1614"/>
      <c r="D477" s="1135"/>
      <c r="E477" s="1135"/>
      <c r="F477" s="1135"/>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row>
    <row r="478" spans="2:31" ht="13.5" hidden="1" thickTop="1">
      <c r="B478" s="1137" t="s">
        <v>1225</v>
      </c>
      <c r="C478" s="1610">
        <v>1.05</v>
      </c>
      <c r="D478" s="1138" t="s">
        <v>2</v>
      </c>
      <c r="E478" s="1139" t="e">
        <f>+E473</f>
        <v>#REF!</v>
      </c>
      <c r="F478" s="1140" t="e">
        <f>C478*E478</f>
        <v>#REF!</v>
      </c>
      <c r="I478" s="1083"/>
      <c r="J478" s="1083"/>
      <c r="K478" s="1083"/>
      <c r="L478" s="1083"/>
      <c r="M478" s="1083"/>
      <c r="N478" s="1083"/>
      <c r="O478" s="1083"/>
      <c r="P478" s="1083"/>
      <c r="Q478" s="1083"/>
      <c r="R478" s="1083"/>
      <c r="S478" s="1083"/>
      <c r="T478" s="1083"/>
      <c r="U478" s="1083"/>
      <c r="V478" s="1083"/>
      <c r="W478" s="1083"/>
      <c r="X478" s="1083"/>
      <c r="Y478" s="1083"/>
      <c r="Z478" s="1083"/>
      <c r="AA478" s="1083"/>
      <c r="AB478" s="1083"/>
      <c r="AC478" s="1083"/>
      <c r="AD478" s="1083"/>
      <c r="AE478" s="1083"/>
    </row>
    <row r="479" spans="2:31" hidden="1">
      <c r="B479" s="1141" t="s">
        <v>1087</v>
      </c>
      <c r="C479" s="1611">
        <v>1.6</v>
      </c>
      <c r="D479" s="1142" t="s">
        <v>126</v>
      </c>
      <c r="E479" s="1143">
        <f>+E474</f>
        <v>2913</v>
      </c>
      <c r="F479" s="1144">
        <f>C479*E479</f>
        <v>4660.8</v>
      </c>
      <c r="I479" s="1083"/>
      <c r="J479" s="1083"/>
      <c r="K479" s="1083"/>
      <c r="L479" s="1083"/>
      <c r="M479" s="1083"/>
      <c r="N479" s="1083"/>
      <c r="O479" s="1083"/>
      <c r="P479" s="1083"/>
      <c r="Q479" s="1083"/>
      <c r="R479" s="1083"/>
      <c r="S479" s="1083"/>
      <c r="T479" s="1083"/>
      <c r="U479" s="1083"/>
      <c r="V479" s="1083"/>
      <c r="W479" s="1083"/>
      <c r="X479" s="1083"/>
      <c r="Y479" s="1083"/>
      <c r="Z479" s="1083"/>
      <c r="AA479" s="1083"/>
      <c r="AB479" s="1083"/>
      <c r="AC479" s="1083"/>
      <c r="AD479" s="1083"/>
      <c r="AE479" s="1083"/>
    </row>
    <row r="480" spans="2:31" hidden="1">
      <c r="B480" s="1141" t="s">
        <v>1089</v>
      </c>
      <c r="C480" s="1611">
        <f>1/0.2</f>
        <v>5</v>
      </c>
      <c r="D480" s="1152" t="s">
        <v>1</v>
      </c>
      <c r="E480" s="1143">
        <v>1000</v>
      </c>
      <c r="F480" s="1144">
        <f>C480*E480</f>
        <v>5000</v>
      </c>
      <c r="I480" s="1083"/>
      <c r="J480" s="1083"/>
      <c r="K480" s="1083"/>
      <c r="L480" s="1083"/>
      <c r="M480" s="1083"/>
      <c r="N480" s="1083"/>
      <c r="O480" s="1083"/>
      <c r="P480" s="1083"/>
      <c r="Q480" s="1083"/>
      <c r="R480" s="1083"/>
      <c r="S480" s="1083"/>
      <c r="T480" s="1083"/>
      <c r="U480" s="1083"/>
      <c r="V480" s="1083"/>
      <c r="W480" s="1083"/>
      <c r="X480" s="1083"/>
      <c r="Y480" s="1083"/>
      <c r="Z480" s="1083"/>
      <c r="AA480" s="1083"/>
      <c r="AB480" s="1083"/>
      <c r="AC480" s="1083"/>
      <c r="AD480" s="1083"/>
      <c r="AE480" s="1083"/>
    </row>
    <row r="481" spans="2:31" ht="13.5" hidden="1" thickBot="1">
      <c r="B481" s="1145"/>
      <c r="C481" s="1612"/>
      <c r="D481" s="1146"/>
      <c r="E481" s="1147" t="s">
        <v>1031</v>
      </c>
      <c r="F481" s="1148" t="e">
        <f>ROUND(SUM(F478:F480),2)</f>
        <v>#REF!</v>
      </c>
      <c r="I481" s="1083"/>
      <c r="J481" s="1083"/>
      <c r="K481" s="1083"/>
      <c r="L481" s="1083"/>
      <c r="M481" s="1083"/>
      <c r="N481" s="1083"/>
      <c r="O481" s="1083"/>
      <c r="P481" s="1083"/>
      <c r="Q481" s="1083"/>
      <c r="R481" s="1083"/>
      <c r="S481" s="1083"/>
      <c r="T481" s="1083"/>
      <c r="U481" s="1083"/>
      <c r="V481" s="1083"/>
      <c r="W481" s="1083"/>
      <c r="X481" s="1083"/>
      <c r="Y481" s="1083"/>
      <c r="Z481" s="1083"/>
      <c r="AA481" s="1083"/>
      <c r="AB481" s="1083"/>
      <c r="AC481" s="1083"/>
      <c r="AD481" s="1083"/>
      <c r="AE481" s="1083"/>
    </row>
    <row r="482" spans="2:31" ht="13.5" hidden="1" thickTop="1">
      <c r="B482" s="1087"/>
      <c r="C482" s="1603"/>
      <c r="D482" s="1087"/>
      <c r="E482" s="1100"/>
      <c r="F482" s="1105"/>
      <c r="I482" s="1083"/>
      <c r="J482" s="1083"/>
      <c r="K482" s="1083"/>
      <c r="L482" s="1083"/>
      <c r="M482" s="1083"/>
      <c r="N482" s="1083"/>
      <c r="O482" s="1083"/>
      <c r="P482" s="1083"/>
      <c r="Q482" s="1083"/>
      <c r="R482" s="1083"/>
      <c r="S482" s="1083"/>
      <c r="T482" s="1083"/>
      <c r="U482" s="1083"/>
      <c r="V482" s="1083"/>
      <c r="W482" s="1083"/>
      <c r="X482" s="1083"/>
      <c r="Y482" s="1083"/>
      <c r="Z482" s="1083"/>
      <c r="AA482" s="1083"/>
      <c r="AB482" s="1083"/>
      <c r="AC482" s="1083"/>
      <c r="AD482" s="1083"/>
      <c r="AE482" s="1083"/>
    </row>
    <row r="483" spans="2:31" ht="20.25" hidden="1">
      <c r="B483" s="1914" t="s">
        <v>1230</v>
      </c>
      <c r="C483" s="1603"/>
      <c r="D483" s="1087"/>
      <c r="E483" s="1100"/>
      <c r="F483" s="1105"/>
      <c r="I483" s="1083"/>
      <c r="J483" s="1083"/>
      <c r="K483" s="1083"/>
      <c r="L483" s="1083"/>
      <c r="M483" s="1083"/>
      <c r="N483" s="1083"/>
      <c r="O483" s="1083"/>
      <c r="P483" s="1083"/>
      <c r="Q483" s="1083"/>
      <c r="R483" s="1083"/>
      <c r="S483" s="1083"/>
      <c r="T483" s="1083"/>
      <c r="U483" s="1083"/>
      <c r="V483" s="1083"/>
      <c r="W483" s="1083"/>
      <c r="X483" s="1083"/>
      <c r="Y483" s="1083"/>
      <c r="Z483" s="1083"/>
      <c r="AA483" s="1083"/>
      <c r="AB483" s="1083"/>
      <c r="AC483" s="1083"/>
      <c r="AD483" s="1083"/>
      <c r="AE483" s="1083"/>
    </row>
    <row r="484" spans="2:31" hidden="1">
      <c r="B484" s="1087"/>
      <c r="C484" s="1603"/>
      <c r="D484" s="1087"/>
      <c r="E484" s="1100"/>
      <c r="F484" s="1105"/>
      <c r="I484" s="1083"/>
      <c r="J484" s="1083"/>
      <c r="K484" s="1083"/>
      <c r="L484" s="1083"/>
      <c r="M484" s="1083"/>
      <c r="N484" s="1083"/>
      <c r="O484" s="1083"/>
      <c r="P484" s="1083"/>
      <c r="Q484" s="1083"/>
      <c r="R484" s="1083"/>
      <c r="S484" s="1083"/>
      <c r="T484" s="1083"/>
      <c r="U484" s="1083"/>
      <c r="V484" s="1083"/>
      <c r="W484" s="1083"/>
      <c r="X484" s="1083"/>
      <c r="Y484" s="1083"/>
      <c r="Z484" s="1083"/>
      <c r="AA484" s="1083"/>
      <c r="AB484" s="1083"/>
      <c r="AC484" s="1083"/>
      <c r="AD484" s="1083"/>
      <c r="AE484" s="1083"/>
    </row>
    <row r="485" spans="2:31" ht="13.5" hidden="1" thickBot="1">
      <c r="B485" s="1387" t="s">
        <v>777</v>
      </c>
      <c r="C485" s="1609"/>
      <c r="D485" s="1131"/>
      <c r="E485" s="1132"/>
      <c r="F485" s="1133"/>
      <c r="I485" s="1083"/>
      <c r="J485" s="1083"/>
      <c r="K485" s="1083"/>
      <c r="L485" s="1083"/>
      <c r="M485" s="1083"/>
      <c r="N485" s="1083"/>
      <c r="O485" s="1083"/>
      <c r="P485" s="1083"/>
      <c r="Q485" s="1083"/>
      <c r="R485" s="1083"/>
      <c r="S485" s="1083"/>
      <c r="T485" s="1083"/>
      <c r="U485" s="1083"/>
      <c r="V485" s="1083"/>
      <c r="W485" s="1083"/>
      <c r="X485" s="1083"/>
      <c r="Y485" s="1083"/>
      <c r="Z485" s="1083"/>
      <c r="AA485" s="1083"/>
      <c r="AB485" s="1083"/>
      <c r="AC485" s="1083"/>
      <c r="AD485" s="1083"/>
      <c r="AE485" s="1083"/>
    </row>
    <row r="486" spans="2:31" ht="13.5" hidden="1" thickTop="1">
      <c r="B486" s="1137" t="s">
        <v>1225</v>
      </c>
      <c r="C486" s="1610">
        <v>1.05</v>
      </c>
      <c r="D486" s="1138" t="s">
        <v>2</v>
      </c>
      <c r="E486" s="1139" t="e">
        <f>+E478</f>
        <v>#REF!</v>
      </c>
      <c r="F486" s="1140" t="e">
        <f>C486*E486</f>
        <v>#REF!</v>
      </c>
      <c r="I486" s="1083"/>
      <c r="J486" s="1083"/>
      <c r="K486" s="1083"/>
      <c r="L486" s="1083"/>
      <c r="M486" s="1083"/>
      <c r="N486" s="1083"/>
      <c r="O486" s="1083"/>
      <c r="P486" s="1083"/>
      <c r="Q486" s="1083"/>
      <c r="R486" s="1083"/>
      <c r="S486" s="1083"/>
      <c r="T486" s="1083"/>
      <c r="U486" s="1083"/>
      <c r="V486" s="1083"/>
      <c r="W486" s="1083"/>
      <c r="X486" s="1083"/>
      <c r="Y486" s="1083"/>
      <c r="Z486" s="1083"/>
      <c r="AA486" s="1083"/>
      <c r="AB486" s="1083"/>
      <c r="AC486" s="1083"/>
      <c r="AD486" s="1083"/>
      <c r="AE486" s="1083"/>
    </row>
    <row r="487" spans="2:31" hidden="1">
      <c r="B487" s="1141" t="s">
        <v>272</v>
      </c>
      <c r="C487" s="1611">
        <v>0.78</v>
      </c>
      <c r="D487" s="1142" t="s">
        <v>126</v>
      </c>
      <c r="E487" s="1143">
        <f>+E474</f>
        <v>2913</v>
      </c>
      <c r="F487" s="1144">
        <f>C487*E487</f>
        <v>2272.14</v>
      </c>
      <c r="I487" s="1083"/>
      <c r="J487" s="1083"/>
      <c r="K487" s="1083"/>
      <c r="L487" s="1083"/>
      <c r="M487" s="1083"/>
      <c r="N487" s="1083"/>
      <c r="O487" s="1083"/>
      <c r="P487" s="1083"/>
      <c r="Q487" s="1083"/>
      <c r="R487" s="1083"/>
      <c r="S487" s="1083"/>
      <c r="T487" s="1083"/>
      <c r="U487" s="1083"/>
      <c r="V487" s="1083"/>
      <c r="W487" s="1083"/>
      <c r="X487" s="1083"/>
      <c r="Y487" s="1083"/>
      <c r="Z487" s="1083"/>
      <c r="AA487" s="1083"/>
      <c r="AB487" s="1083"/>
      <c r="AC487" s="1083"/>
      <c r="AD487" s="1083"/>
      <c r="AE487" s="1083"/>
    </row>
    <row r="488" spans="2:31" ht="13.5" hidden="1" thickBot="1">
      <c r="B488" s="1145"/>
      <c r="C488" s="1612"/>
      <c r="D488" s="1146"/>
      <c r="E488" s="1147" t="s">
        <v>1031</v>
      </c>
      <c r="F488" s="1148" t="e">
        <f>ROUND(SUM(F486:F487),2)</f>
        <v>#REF!</v>
      </c>
      <c r="I488" s="1083"/>
      <c r="J488" s="1083"/>
      <c r="K488" s="1083"/>
      <c r="L488" s="1083"/>
      <c r="M488" s="1083"/>
      <c r="N488" s="1083"/>
      <c r="O488" s="1083"/>
      <c r="P488" s="1083"/>
      <c r="Q488" s="1083"/>
      <c r="R488" s="1083"/>
      <c r="S488" s="1083"/>
      <c r="T488" s="1083"/>
      <c r="U488" s="1083"/>
      <c r="V488" s="1083"/>
      <c r="W488" s="1083"/>
      <c r="X488" s="1083"/>
      <c r="Y488" s="1083"/>
      <c r="Z488" s="1083"/>
      <c r="AA488" s="1083"/>
      <c r="AB488" s="1083"/>
      <c r="AC488" s="1083"/>
      <c r="AD488" s="1083"/>
      <c r="AE488" s="1083"/>
    </row>
    <row r="489" spans="2:31" ht="13.5" hidden="1" thickTop="1">
      <c r="B489" s="1087"/>
      <c r="C489" s="1603"/>
      <c r="D489" s="1087"/>
      <c r="E489" s="1100"/>
      <c r="F489" s="1105"/>
      <c r="I489" s="1083"/>
      <c r="J489" s="1083"/>
      <c r="K489" s="1083"/>
      <c r="L489" s="1083"/>
      <c r="M489" s="1083"/>
      <c r="N489" s="1083"/>
      <c r="O489" s="1083"/>
      <c r="P489" s="1083"/>
      <c r="Q489" s="1083"/>
      <c r="R489" s="1083"/>
      <c r="S489" s="1083"/>
      <c r="T489" s="1083"/>
      <c r="U489" s="1083"/>
      <c r="V489" s="1083"/>
      <c r="W489" s="1083"/>
      <c r="X489" s="1083"/>
      <c r="Y489" s="1083"/>
      <c r="Z489" s="1083"/>
      <c r="AA489" s="1083"/>
      <c r="AB489" s="1083"/>
      <c r="AC489" s="1083"/>
      <c r="AD489" s="1083"/>
      <c r="AE489" s="1083"/>
    </row>
    <row r="490" spans="2:31" ht="13.5" hidden="1" thickBot="1">
      <c r="B490" s="1387" t="s">
        <v>778</v>
      </c>
      <c r="C490" s="1609"/>
      <c r="D490" s="1131"/>
      <c r="E490" s="1132"/>
      <c r="F490" s="1133"/>
      <c r="I490" s="1083"/>
      <c r="J490" s="1083"/>
      <c r="K490" s="1083"/>
      <c r="L490" s="1083"/>
      <c r="M490" s="1083"/>
      <c r="N490" s="1083"/>
      <c r="O490" s="1083"/>
      <c r="P490" s="1083"/>
      <c r="Q490" s="1083"/>
      <c r="R490" s="1083"/>
      <c r="S490" s="1083"/>
      <c r="T490" s="1083"/>
      <c r="U490" s="1083"/>
      <c r="V490" s="1083"/>
      <c r="W490" s="1083"/>
      <c r="X490" s="1083"/>
      <c r="Y490" s="1083"/>
      <c r="Z490" s="1083"/>
      <c r="AA490" s="1083"/>
      <c r="AB490" s="1083"/>
      <c r="AC490" s="1083"/>
      <c r="AD490" s="1083"/>
      <c r="AE490" s="1083"/>
    </row>
    <row r="491" spans="2:31" ht="13.5" hidden="1" thickTop="1">
      <c r="B491" s="1137" t="s">
        <v>1225</v>
      </c>
      <c r="C491" s="1610">
        <v>1.05</v>
      </c>
      <c r="D491" s="1138" t="s">
        <v>2</v>
      </c>
      <c r="E491" s="1139" t="e">
        <f>+E486</f>
        <v>#REF!</v>
      </c>
      <c r="F491" s="1140" t="e">
        <f>C491*E491</f>
        <v>#REF!</v>
      </c>
      <c r="I491" s="1083"/>
      <c r="J491" s="1083"/>
      <c r="K491" s="1083"/>
      <c r="L491" s="1083"/>
      <c r="M491" s="1083"/>
      <c r="N491" s="1083"/>
      <c r="O491" s="1083"/>
      <c r="P491" s="1083"/>
      <c r="Q491" s="1083"/>
      <c r="R491" s="1083"/>
      <c r="S491" s="1083"/>
      <c r="T491" s="1083"/>
      <c r="U491" s="1083"/>
      <c r="V491" s="1083"/>
      <c r="W491" s="1083"/>
      <c r="X491" s="1083"/>
      <c r="Y491" s="1083"/>
      <c r="Z491" s="1083"/>
      <c r="AA491" s="1083"/>
      <c r="AB491" s="1083"/>
      <c r="AC491" s="1083"/>
      <c r="AD491" s="1083"/>
      <c r="AE491" s="1083"/>
    </row>
    <row r="492" spans="2:31" hidden="1">
      <c r="B492" s="1141" t="s">
        <v>272</v>
      </c>
      <c r="C492" s="1611">
        <v>1.39</v>
      </c>
      <c r="D492" s="1142" t="s">
        <v>126</v>
      </c>
      <c r="E492" s="1143">
        <f>+E487</f>
        <v>2913</v>
      </c>
      <c r="F492" s="1144">
        <f>C492*E492</f>
        <v>4049.07</v>
      </c>
      <c r="I492" s="1083"/>
      <c r="J492" s="1083"/>
      <c r="K492" s="1083"/>
      <c r="L492" s="1083"/>
      <c r="M492" s="1083"/>
      <c r="N492" s="1083"/>
      <c r="O492" s="1083"/>
      <c r="P492" s="1083"/>
      <c r="Q492" s="1083"/>
      <c r="R492" s="1083"/>
      <c r="S492" s="1083"/>
      <c r="T492" s="1083"/>
      <c r="U492" s="1083"/>
      <c r="V492" s="1083"/>
      <c r="W492" s="1083"/>
      <c r="X492" s="1083"/>
      <c r="Y492" s="1083"/>
      <c r="Z492" s="1083"/>
      <c r="AA492" s="1083"/>
      <c r="AB492" s="1083"/>
      <c r="AC492" s="1083"/>
      <c r="AD492" s="1083"/>
      <c r="AE492" s="1083"/>
    </row>
    <row r="493" spans="2:31" ht="13.5" hidden="1" thickBot="1">
      <c r="B493" s="1145"/>
      <c r="C493" s="1612"/>
      <c r="D493" s="1146"/>
      <c r="E493" s="1147" t="s">
        <v>1031</v>
      </c>
      <c r="F493" s="1148" t="e">
        <f>ROUND(SUM(F491:F492),2)</f>
        <v>#REF!</v>
      </c>
      <c r="I493" s="1083"/>
      <c r="J493" s="1083"/>
      <c r="K493" s="1083"/>
      <c r="L493" s="1083"/>
      <c r="M493" s="1083"/>
      <c r="N493" s="1083"/>
      <c r="O493" s="1083"/>
      <c r="P493" s="1083"/>
      <c r="Q493" s="1083"/>
      <c r="R493" s="1083"/>
      <c r="S493" s="1083"/>
      <c r="T493" s="1083"/>
      <c r="U493" s="1083"/>
      <c r="V493" s="1083"/>
      <c r="W493" s="1083"/>
      <c r="X493" s="1083"/>
      <c r="Y493" s="1083"/>
      <c r="Z493" s="1083"/>
      <c r="AA493" s="1083"/>
      <c r="AB493" s="1083"/>
      <c r="AC493" s="1083"/>
      <c r="AD493" s="1083"/>
      <c r="AE493" s="1083"/>
    </row>
    <row r="494" spans="2:31" ht="13.5" hidden="1" thickTop="1">
      <c r="B494" s="1149"/>
      <c r="C494" s="1613"/>
      <c r="D494" s="1149"/>
      <c r="E494" s="1150"/>
      <c r="F494" s="1151"/>
      <c r="I494" s="1083"/>
      <c r="J494" s="1083"/>
      <c r="K494" s="1083"/>
      <c r="L494" s="1083"/>
      <c r="M494" s="1083"/>
      <c r="N494" s="1083"/>
      <c r="O494" s="1083"/>
      <c r="P494" s="1083"/>
      <c r="Q494" s="1083"/>
      <c r="R494" s="1083"/>
      <c r="S494" s="1083"/>
      <c r="T494" s="1083"/>
      <c r="U494" s="1083"/>
      <c r="V494" s="1083"/>
      <c r="W494" s="1083"/>
      <c r="X494" s="1083"/>
      <c r="Y494" s="1083"/>
      <c r="Z494" s="1083"/>
      <c r="AA494" s="1083"/>
      <c r="AB494" s="1083"/>
      <c r="AC494" s="1083"/>
      <c r="AD494" s="1083"/>
      <c r="AE494" s="1083"/>
    </row>
    <row r="495" spans="2:31" hidden="1">
      <c r="B495" s="1087"/>
      <c r="C495" s="1603"/>
      <c r="D495" s="1087"/>
      <c r="E495" s="1100"/>
      <c r="F495" s="1105"/>
      <c r="I495" s="1083"/>
      <c r="J495" s="1083"/>
      <c r="K495" s="1083"/>
      <c r="L495" s="1083"/>
      <c r="M495" s="1083"/>
      <c r="N495" s="1083"/>
      <c r="O495" s="1083"/>
      <c r="P495" s="1083"/>
      <c r="Q495" s="1083"/>
      <c r="R495" s="1083"/>
      <c r="S495" s="1083"/>
      <c r="T495" s="1083"/>
      <c r="U495" s="1083"/>
      <c r="V495" s="1083"/>
      <c r="W495" s="1083"/>
      <c r="X495" s="1083"/>
      <c r="Y495" s="1083"/>
      <c r="Z495" s="1083"/>
      <c r="AA495" s="1083"/>
      <c r="AB495" s="1083"/>
      <c r="AC495" s="1083"/>
      <c r="AD495" s="1083"/>
      <c r="AE495" s="1083"/>
    </row>
    <row r="496" spans="2:31" ht="13.5" hidden="1" thickBot="1">
      <c r="B496" s="1392" t="s">
        <v>779</v>
      </c>
      <c r="C496" s="1614"/>
      <c r="D496" s="1135"/>
      <c r="E496" s="1135"/>
      <c r="F496" s="1135"/>
      <c r="I496" s="1083"/>
      <c r="J496" s="1083"/>
      <c r="K496" s="1083"/>
      <c r="L496" s="1083"/>
      <c r="M496" s="1083"/>
      <c r="N496" s="1083"/>
      <c r="O496" s="1083"/>
      <c r="P496" s="1083"/>
      <c r="Q496" s="1083"/>
      <c r="R496" s="1083"/>
      <c r="S496" s="1083"/>
      <c r="T496" s="1083"/>
      <c r="U496" s="1083"/>
      <c r="V496" s="1083"/>
      <c r="W496" s="1083"/>
      <c r="X496" s="1083"/>
      <c r="Y496" s="1083"/>
      <c r="Z496" s="1083"/>
      <c r="AA496" s="1083"/>
      <c r="AB496" s="1083"/>
      <c r="AC496" s="1083"/>
      <c r="AD496" s="1083"/>
      <c r="AE496" s="1083"/>
    </row>
    <row r="497" spans="2:31" ht="13.5" hidden="1" thickTop="1">
      <c r="B497" s="1137" t="s">
        <v>1225</v>
      </c>
      <c r="C497" s="1610">
        <v>1.05</v>
      </c>
      <c r="D497" s="1138" t="s">
        <v>2</v>
      </c>
      <c r="E497" s="1139" t="e">
        <f>+E486</f>
        <v>#REF!</v>
      </c>
      <c r="F497" s="1140" t="e">
        <f>C497*E497</f>
        <v>#REF!</v>
      </c>
      <c r="I497" s="1083"/>
      <c r="J497" s="1083"/>
      <c r="K497" s="1083"/>
      <c r="L497" s="1083"/>
      <c r="M497" s="1083"/>
      <c r="N497" s="1083"/>
      <c r="O497" s="1083"/>
      <c r="P497" s="1083"/>
      <c r="Q497" s="1083"/>
      <c r="R497" s="1083"/>
      <c r="S497" s="1083"/>
      <c r="T497" s="1083"/>
      <c r="U497" s="1083"/>
      <c r="V497" s="1083"/>
      <c r="W497" s="1083"/>
      <c r="X497" s="1083"/>
      <c r="Y497" s="1083"/>
      <c r="Z497" s="1083"/>
      <c r="AA497" s="1083"/>
      <c r="AB497" s="1083"/>
      <c r="AC497" s="1083"/>
      <c r="AD497" s="1083"/>
      <c r="AE497" s="1083"/>
    </row>
    <row r="498" spans="2:31" hidden="1">
      <c r="B498" s="1141" t="s">
        <v>1087</v>
      </c>
      <c r="C498" s="1611">
        <v>7.86</v>
      </c>
      <c r="D498" s="1142" t="s">
        <v>126</v>
      </c>
      <c r="E498" s="1143">
        <f>+E487</f>
        <v>2913</v>
      </c>
      <c r="F498" s="1144">
        <f>C498*E498</f>
        <v>22896.18</v>
      </c>
      <c r="I498" s="1083"/>
      <c r="J498" s="1083"/>
      <c r="K498" s="1083"/>
      <c r="L498" s="1083"/>
      <c r="M498" s="1083"/>
      <c r="N498" s="1083"/>
      <c r="O498" s="1083"/>
      <c r="P498" s="1083"/>
      <c r="Q498" s="1083"/>
      <c r="R498" s="1083"/>
      <c r="S498" s="1083"/>
      <c r="T498" s="1083"/>
      <c r="U498" s="1083"/>
      <c r="V498" s="1083"/>
      <c r="W498" s="1083"/>
      <c r="X498" s="1083"/>
      <c r="Y498" s="1083"/>
      <c r="Z498" s="1083"/>
      <c r="AA498" s="1083"/>
      <c r="AB498" s="1083"/>
      <c r="AC498" s="1083"/>
      <c r="AD498" s="1083"/>
      <c r="AE498" s="1083"/>
    </row>
    <row r="499" spans="2:31" hidden="1">
      <c r="B499" s="1141" t="s">
        <v>1089</v>
      </c>
      <c r="C499" s="1611">
        <f>1/(0.2*0.2)</f>
        <v>25</v>
      </c>
      <c r="D499" s="1152" t="s">
        <v>1</v>
      </c>
      <c r="E499" s="1143">
        <v>1000</v>
      </c>
      <c r="F499" s="1144">
        <f>C499*E499</f>
        <v>25000</v>
      </c>
      <c r="I499" s="1083"/>
      <c r="J499" s="1083"/>
      <c r="K499" s="1083"/>
      <c r="L499" s="1083"/>
      <c r="M499" s="1083"/>
      <c r="N499" s="1083"/>
      <c r="O499" s="1083"/>
      <c r="P499" s="1083"/>
      <c r="Q499" s="1083"/>
      <c r="R499" s="1083"/>
      <c r="S499" s="1083"/>
      <c r="T499" s="1083"/>
      <c r="U499" s="1083"/>
      <c r="V499" s="1083"/>
      <c r="W499" s="1083"/>
      <c r="X499" s="1083"/>
      <c r="Y499" s="1083"/>
      <c r="Z499" s="1083"/>
      <c r="AA499" s="1083"/>
      <c r="AB499" s="1083"/>
      <c r="AC499" s="1083"/>
      <c r="AD499" s="1083"/>
      <c r="AE499" s="1083"/>
    </row>
    <row r="500" spans="2:31" ht="13.5" hidden="1" thickBot="1">
      <c r="B500" s="1145"/>
      <c r="C500" s="1612"/>
      <c r="D500" s="1146"/>
      <c r="E500" s="1147" t="s">
        <v>1031</v>
      </c>
      <c r="F500" s="1148" t="e">
        <f>ROUND(SUM(F497:F499),2)</f>
        <v>#REF!</v>
      </c>
      <c r="I500" s="1083"/>
      <c r="J500" s="1083"/>
      <c r="K500" s="1083"/>
      <c r="L500" s="1083"/>
      <c r="M500" s="1083"/>
      <c r="N500" s="1083"/>
      <c r="O500" s="1083"/>
      <c r="P500" s="1083"/>
      <c r="Q500" s="1083"/>
      <c r="R500" s="1083"/>
      <c r="S500" s="1083"/>
      <c r="T500" s="1083"/>
      <c r="U500" s="1083"/>
      <c r="V500" s="1083"/>
      <c r="W500" s="1083"/>
      <c r="X500" s="1083"/>
      <c r="Y500" s="1083"/>
      <c r="Z500" s="1083"/>
      <c r="AA500" s="1083"/>
      <c r="AB500" s="1083"/>
      <c r="AC500" s="1083"/>
      <c r="AD500" s="1083"/>
      <c r="AE500" s="1083"/>
    </row>
    <row r="501" spans="2:31" ht="13.5" hidden="1" thickTop="1">
      <c r="B501" s="1087"/>
      <c r="C501" s="1603"/>
      <c r="D501" s="1087"/>
      <c r="E501" s="1100"/>
      <c r="F501" s="1105"/>
      <c r="I501" s="1083"/>
      <c r="J501" s="1083"/>
      <c r="K501" s="1083"/>
      <c r="L501" s="1083"/>
      <c r="M501" s="1083"/>
      <c r="N501" s="1083"/>
      <c r="O501" s="1083"/>
      <c r="P501" s="1083"/>
      <c r="Q501" s="1083"/>
      <c r="R501" s="1083"/>
      <c r="S501" s="1083"/>
      <c r="T501" s="1083"/>
      <c r="U501" s="1083"/>
      <c r="V501" s="1083"/>
      <c r="W501" s="1083"/>
      <c r="X501" s="1083"/>
      <c r="Y501" s="1083"/>
      <c r="Z501" s="1083"/>
      <c r="AA501" s="1083"/>
      <c r="AB501" s="1083"/>
      <c r="AC501" s="1083"/>
      <c r="AD501" s="1083"/>
      <c r="AE501" s="1083"/>
    </row>
    <row r="502" spans="2:31" ht="13.5" hidden="1" thickBot="1">
      <c r="B502" s="1392" t="s">
        <v>780</v>
      </c>
      <c r="C502" s="1614"/>
      <c r="D502" s="1135"/>
      <c r="E502" s="1135"/>
      <c r="F502" s="1135"/>
      <c r="I502" s="1083"/>
      <c r="J502" s="1083"/>
      <c r="K502" s="1083"/>
      <c r="L502" s="1083"/>
      <c r="M502" s="1083"/>
      <c r="N502" s="1083"/>
      <c r="O502" s="1083"/>
      <c r="P502" s="1083"/>
      <c r="Q502" s="1083"/>
      <c r="R502" s="1083"/>
      <c r="S502" s="1083"/>
      <c r="T502" s="1083"/>
      <c r="U502" s="1083"/>
      <c r="V502" s="1083"/>
      <c r="W502" s="1083"/>
      <c r="X502" s="1083"/>
      <c r="Y502" s="1083"/>
      <c r="Z502" s="1083"/>
      <c r="AA502" s="1083"/>
      <c r="AB502" s="1083"/>
      <c r="AC502" s="1083"/>
      <c r="AD502" s="1083"/>
      <c r="AE502" s="1083"/>
    </row>
    <row r="503" spans="2:31" ht="13.5" hidden="1" thickTop="1">
      <c r="B503" s="1137" t="s">
        <v>1225</v>
      </c>
      <c r="C503" s="1610">
        <v>1.05</v>
      </c>
      <c r="D503" s="1138" t="s">
        <v>2</v>
      </c>
      <c r="E503" s="1139" t="e">
        <f>+E497</f>
        <v>#REF!</v>
      </c>
      <c r="F503" s="1140" t="e">
        <f>C503*E503</f>
        <v>#REF!</v>
      </c>
      <c r="I503" s="1083"/>
      <c r="J503" s="1083"/>
      <c r="K503" s="1083"/>
      <c r="L503" s="1083"/>
      <c r="M503" s="1083"/>
      <c r="N503" s="1083"/>
      <c r="O503" s="1083"/>
      <c r="P503" s="1083"/>
      <c r="Q503" s="1083"/>
      <c r="R503" s="1083"/>
      <c r="S503" s="1083"/>
      <c r="T503" s="1083"/>
      <c r="U503" s="1083"/>
      <c r="V503" s="1083"/>
      <c r="W503" s="1083"/>
      <c r="X503" s="1083"/>
      <c r="Y503" s="1083"/>
      <c r="Z503" s="1083"/>
      <c r="AA503" s="1083"/>
      <c r="AB503" s="1083"/>
      <c r="AC503" s="1083"/>
      <c r="AD503" s="1083"/>
      <c r="AE503" s="1083"/>
    </row>
    <row r="504" spans="2:31" hidden="1">
      <c r="B504" s="1141" t="s">
        <v>1087</v>
      </c>
      <c r="C504" s="1611">
        <v>5.61</v>
      </c>
      <c r="D504" s="1142" t="s">
        <v>126</v>
      </c>
      <c r="E504" s="1143">
        <f>+E498</f>
        <v>2913</v>
      </c>
      <c r="F504" s="1144">
        <f>C504*E504</f>
        <v>16341.93</v>
      </c>
      <c r="I504" s="1083"/>
      <c r="J504" s="1083"/>
      <c r="K504" s="1083"/>
      <c r="L504" s="1083"/>
      <c r="M504" s="1083"/>
      <c r="N504" s="1083"/>
      <c r="O504" s="1083"/>
      <c r="P504" s="1083"/>
      <c r="Q504" s="1083"/>
      <c r="R504" s="1083"/>
      <c r="S504" s="1083"/>
      <c r="T504" s="1083"/>
      <c r="U504" s="1083"/>
      <c r="V504" s="1083"/>
      <c r="W504" s="1083"/>
      <c r="X504" s="1083"/>
      <c r="Y504" s="1083"/>
      <c r="Z504" s="1083"/>
      <c r="AA504" s="1083"/>
      <c r="AB504" s="1083"/>
      <c r="AC504" s="1083"/>
      <c r="AD504" s="1083"/>
      <c r="AE504" s="1083"/>
    </row>
    <row r="505" spans="2:31" hidden="1">
      <c r="B505" s="1141" t="s">
        <v>1089</v>
      </c>
      <c r="C505" s="1611">
        <f>1/(0.2*0.3)</f>
        <v>16.670000000000002</v>
      </c>
      <c r="D505" s="1152" t="s">
        <v>1</v>
      </c>
      <c r="E505" s="1143">
        <v>1000</v>
      </c>
      <c r="F505" s="1144">
        <f>C505*E505</f>
        <v>16670</v>
      </c>
      <c r="I505" s="1083"/>
      <c r="J505" s="1083"/>
      <c r="K505" s="1083"/>
      <c r="L505" s="1083"/>
      <c r="M505" s="1083"/>
      <c r="N505" s="1083"/>
      <c r="O505" s="1083"/>
      <c r="P505" s="1083"/>
      <c r="Q505" s="1083"/>
      <c r="R505" s="1083"/>
      <c r="S505" s="1083"/>
      <c r="T505" s="1083"/>
      <c r="U505" s="1083"/>
      <c r="V505" s="1083"/>
      <c r="W505" s="1083"/>
      <c r="X505" s="1083"/>
      <c r="Y505" s="1083"/>
      <c r="Z505" s="1083"/>
      <c r="AA505" s="1083"/>
      <c r="AB505" s="1083"/>
      <c r="AC505" s="1083"/>
      <c r="AD505" s="1083"/>
      <c r="AE505" s="1083"/>
    </row>
    <row r="506" spans="2:31" ht="13.5" hidden="1" thickBot="1">
      <c r="B506" s="1145"/>
      <c r="C506" s="1612"/>
      <c r="D506" s="1146"/>
      <c r="E506" s="1147" t="s">
        <v>1031</v>
      </c>
      <c r="F506" s="1148" t="e">
        <f>ROUND(SUM(F503:F505),2)</f>
        <v>#REF!</v>
      </c>
      <c r="I506" s="1083"/>
      <c r="J506" s="1083"/>
      <c r="K506" s="1083"/>
      <c r="L506" s="1083"/>
      <c r="M506" s="1083"/>
      <c r="N506" s="1083"/>
      <c r="O506" s="1083"/>
      <c r="P506" s="1083"/>
      <c r="Q506" s="1083"/>
      <c r="R506" s="1083"/>
      <c r="S506" s="1083"/>
      <c r="T506" s="1083"/>
      <c r="U506" s="1083"/>
      <c r="V506" s="1083"/>
      <c r="W506" s="1083"/>
      <c r="X506" s="1083"/>
      <c r="Y506" s="1083"/>
      <c r="Z506" s="1083"/>
      <c r="AA506" s="1083"/>
      <c r="AB506" s="1083"/>
      <c r="AC506" s="1083"/>
      <c r="AD506" s="1083"/>
      <c r="AE506" s="1083"/>
    </row>
    <row r="507" spans="2:31" ht="13.5" hidden="1" thickTop="1">
      <c r="B507" s="1087"/>
      <c r="C507" s="1603"/>
      <c r="D507" s="1087"/>
      <c r="E507" s="1100"/>
      <c r="F507" s="1105"/>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083"/>
      <c r="AD507" s="1083"/>
      <c r="AE507" s="1083"/>
    </row>
    <row r="508" spans="2:31" hidden="1">
      <c r="B508" s="1087"/>
      <c r="C508" s="1603"/>
      <c r="D508" s="1087"/>
      <c r="E508" s="1100"/>
      <c r="F508" s="1105"/>
      <c r="I508" s="1083"/>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083"/>
      <c r="AD508" s="1083"/>
      <c r="AE508" s="1083"/>
    </row>
    <row r="509" spans="2:31" ht="13.5" hidden="1" thickBot="1">
      <c r="B509" s="1392" t="s">
        <v>782</v>
      </c>
      <c r="C509" s="1614"/>
      <c r="D509" s="1135"/>
      <c r="E509" s="1135"/>
      <c r="F509" s="1135"/>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083"/>
      <c r="AD509" s="1083"/>
      <c r="AE509" s="1083"/>
    </row>
    <row r="510" spans="2:31" ht="13.5" hidden="1" thickTop="1">
      <c r="B510" s="1137" t="s">
        <v>1225</v>
      </c>
      <c r="C510" s="1610">
        <v>1.05</v>
      </c>
      <c r="D510" s="1138" t="s">
        <v>2</v>
      </c>
      <c r="E510" s="1139" t="e">
        <f>+E285</f>
        <v>#REF!</v>
      </c>
      <c r="F510" s="1140" t="e">
        <f>C510*E510</f>
        <v>#REF!</v>
      </c>
      <c r="I510" s="1083"/>
      <c r="J510" s="1083"/>
      <c r="K510" s="1083"/>
      <c r="L510" s="1083"/>
      <c r="M510" s="1083"/>
      <c r="N510" s="1083"/>
      <c r="O510" s="1083"/>
      <c r="P510" s="1083"/>
      <c r="Q510" s="1083"/>
      <c r="R510" s="1083"/>
      <c r="S510" s="1083"/>
      <c r="T510" s="1083"/>
      <c r="U510" s="1083"/>
      <c r="V510" s="1083"/>
      <c r="W510" s="1083"/>
      <c r="X510" s="1083"/>
      <c r="Y510" s="1083"/>
      <c r="Z510" s="1083"/>
      <c r="AA510" s="1083"/>
      <c r="AB510" s="1083"/>
      <c r="AC510" s="1083"/>
      <c r="AD510" s="1083"/>
      <c r="AE510" s="1083"/>
    </row>
    <row r="511" spans="2:31" hidden="1">
      <c r="B511" s="1141" t="s">
        <v>1087</v>
      </c>
      <c r="C511" s="1611">
        <v>1.35</v>
      </c>
      <c r="D511" s="1142" t="s">
        <v>126</v>
      </c>
      <c r="E511" s="1143">
        <f>+E286</f>
        <v>2913</v>
      </c>
      <c r="F511" s="1144">
        <f>C511*E511</f>
        <v>3932.55</v>
      </c>
      <c r="I511" s="1083"/>
      <c r="J511" s="1083"/>
      <c r="K511" s="1083"/>
      <c r="L511" s="1083"/>
      <c r="M511" s="1083"/>
      <c r="N511" s="1083"/>
      <c r="O511" s="1083"/>
      <c r="P511" s="1083"/>
      <c r="Q511" s="1083"/>
      <c r="R511" s="1083"/>
      <c r="S511" s="1083"/>
      <c r="T511" s="1083"/>
      <c r="U511" s="1083"/>
      <c r="V511" s="1083"/>
      <c r="W511" s="1083"/>
      <c r="X511" s="1083"/>
      <c r="Y511" s="1083"/>
      <c r="Z511" s="1083"/>
      <c r="AA511" s="1083"/>
      <c r="AB511" s="1083"/>
      <c r="AC511" s="1083"/>
      <c r="AD511" s="1083"/>
      <c r="AE511" s="1083"/>
    </row>
    <row r="512" spans="2:31" hidden="1">
      <c r="B512" s="1141" t="s">
        <v>1089</v>
      </c>
      <c r="C512" s="1611">
        <f>1/0.12</f>
        <v>8.33</v>
      </c>
      <c r="D512" s="1152" t="s">
        <v>1</v>
      </c>
      <c r="E512" s="1143">
        <v>1000</v>
      </c>
      <c r="F512" s="1144">
        <f>C512*E512</f>
        <v>8330</v>
      </c>
      <c r="I512" s="1083"/>
      <c r="J512" s="1083"/>
      <c r="K512" s="1083"/>
      <c r="L512" s="1083"/>
      <c r="M512" s="1083"/>
      <c r="N512" s="1083"/>
      <c r="O512" s="1083"/>
      <c r="P512" s="1083"/>
      <c r="Q512" s="1083"/>
      <c r="R512" s="1083"/>
      <c r="S512" s="1083"/>
      <c r="T512" s="1083"/>
      <c r="U512" s="1083"/>
      <c r="V512" s="1083"/>
      <c r="W512" s="1083"/>
      <c r="X512" s="1083"/>
      <c r="Y512" s="1083"/>
      <c r="Z512" s="1083"/>
      <c r="AA512" s="1083"/>
      <c r="AB512" s="1083"/>
      <c r="AC512" s="1083"/>
      <c r="AD512" s="1083"/>
      <c r="AE512" s="1083"/>
    </row>
    <row r="513" spans="2:31" ht="13.5" hidden="1" thickBot="1">
      <c r="B513" s="1145"/>
      <c r="C513" s="1612"/>
      <c r="D513" s="1146"/>
      <c r="E513" s="1147" t="s">
        <v>1031</v>
      </c>
      <c r="F513" s="1148" t="e">
        <f>ROUND(SUM(F510:F512),2)</f>
        <v>#REF!</v>
      </c>
      <c r="I513" s="1083"/>
      <c r="J513" s="1083"/>
      <c r="K513" s="1083"/>
      <c r="L513" s="1083"/>
      <c r="M513" s="1083"/>
      <c r="N513" s="1083"/>
      <c r="O513" s="1083"/>
      <c r="P513" s="1083"/>
      <c r="Q513" s="1083"/>
      <c r="R513" s="1083"/>
      <c r="S513" s="1083"/>
      <c r="T513" s="1083"/>
      <c r="U513" s="1083"/>
      <c r="V513" s="1083"/>
      <c r="W513" s="1083"/>
      <c r="X513" s="1083"/>
      <c r="Y513" s="1083"/>
      <c r="Z513" s="1083"/>
      <c r="AA513" s="1083"/>
      <c r="AB513" s="1083"/>
      <c r="AC513" s="1083"/>
      <c r="AD513" s="1083"/>
      <c r="AE513" s="1083"/>
    </row>
    <row r="514" spans="2:31" ht="13.5" hidden="1" thickTop="1">
      <c r="B514" s="1087"/>
      <c r="C514" s="1603"/>
      <c r="D514" s="1087"/>
      <c r="E514" s="1100"/>
      <c r="F514" s="1105"/>
      <c r="I514" s="1083"/>
      <c r="J514" s="1083"/>
      <c r="K514" s="1083"/>
      <c r="L514" s="1083"/>
      <c r="M514" s="1083"/>
      <c r="N514" s="1083"/>
      <c r="O514" s="1083"/>
      <c r="P514" s="1083"/>
      <c r="Q514" s="1083"/>
      <c r="R514" s="1083"/>
      <c r="S514" s="1083"/>
      <c r="T514" s="1083"/>
      <c r="U514" s="1083"/>
      <c r="V514" s="1083"/>
      <c r="W514" s="1083"/>
      <c r="X514" s="1083"/>
      <c r="Y514" s="1083"/>
      <c r="Z514" s="1083"/>
      <c r="AA514" s="1083"/>
      <c r="AB514" s="1083"/>
      <c r="AC514" s="1083"/>
      <c r="AD514" s="1083"/>
      <c r="AE514" s="1083"/>
    </row>
    <row r="515" spans="2:31" ht="13.5" hidden="1" thickBot="1">
      <c r="B515" s="1392" t="s">
        <v>783</v>
      </c>
      <c r="C515" s="1614"/>
      <c r="D515" s="1135"/>
      <c r="E515" s="1135"/>
      <c r="F515" s="1135"/>
      <c r="I515" s="1083"/>
      <c r="J515" s="1083"/>
      <c r="K515" s="1083"/>
      <c r="L515" s="1083"/>
      <c r="M515" s="1083"/>
      <c r="N515" s="1083"/>
      <c r="O515" s="1083"/>
      <c r="P515" s="1083"/>
      <c r="Q515" s="1083"/>
      <c r="R515" s="1083"/>
      <c r="S515" s="1083"/>
      <c r="T515" s="1083"/>
      <c r="U515" s="1083"/>
      <c r="V515" s="1083"/>
      <c r="W515" s="1083"/>
      <c r="X515" s="1083"/>
      <c r="Y515" s="1083"/>
      <c r="Z515" s="1083"/>
      <c r="AA515" s="1083"/>
      <c r="AB515" s="1083"/>
      <c r="AC515" s="1083"/>
      <c r="AD515" s="1083"/>
      <c r="AE515" s="1083"/>
    </row>
    <row r="516" spans="2:31" ht="13.5" hidden="1" thickTop="1">
      <c r="B516" s="1137" t="s">
        <v>1225</v>
      </c>
      <c r="C516" s="1610">
        <v>1.05</v>
      </c>
      <c r="D516" s="1138" t="s">
        <v>2</v>
      </c>
      <c r="E516" s="1139" t="e">
        <f>+E510</f>
        <v>#REF!</v>
      </c>
      <c r="F516" s="1140" t="e">
        <f>C516*E516</f>
        <v>#REF!</v>
      </c>
      <c r="I516" s="1083"/>
      <c r="J516" s="1083"/>
      <c r="K516" s="1083"/>
      <c r="L516" s="1083"/>
      <c r="M516" s="1083"/>
      <c r="N516" s="1083"/>
      <c r="O516" s="1083"/>
      <c r="P516" s="1083"/>
      <c r="Q516" s="1083"/>
      <c r="R516" s="1083"/>
      <c r="S516" s="1083"/>
      <c r="T516" s="1083"/>
      <c r="U516" s="1083"/>
      <c r="V516" s="1083"/>
      <c r="W516" s="1083"/>
      <c r="X516" s="1083"/>
      <c r="Y516" s="1083"/>
      <c r="Z516" s="1083"/>
      <c r="AA516" s="1083"/>
      <c r="AB516" s="1083"/>
      <c r="AC516" s="1083"/>
      <c r="AD516" s="1083"/>
      <c r="AE516" s="1083"/>
    </row>
    <row r="517" spans="2:31" hidden="1">
      <c r="B517" s="1141" t="s">
        <v>1087</v>
      </c>
      <c r="C517" s="1611">
        <v>1.35</v>
      </c>
      <c r="D517" s="1142" t="s">
        <v>126</v>
      </c>
      <c r="E517" s="1143">
        <f>+E511</f>
        <v>2913</v>
      </c>
      <c r="F517" s="1144">
        <f>C517*E517</f>
        <v>3932.55</v>
      </c>
      <c r="I517" s="1083"/>
      <c r="J517" s="1083"/>
      <c r="K517" s="1083"/>
      <c r="L517" s="1083"/>
      <c r="M517" s="1083"/>
      <c r="N517" s="1083"/>
      <c r="O517" s="1083"/>
      <c r="P517" s="1083"/>
      <c r="Q517" s="1083"/>
      <c r="R517" s="1083"/>
      <c r="S517" s="1083"/>
      <c r="T517" s="1083"/>
      <c r="U517" s="1083"/>
      <c r="V517" s="1083"/>
      <c r="W517" s="1083"/>
      <c r="X517" s="1083"/>
      <c r="Y517" s="1083"/>
      <c r="Z517" s="1083"/>
      <c r="AA517" s="1083"/>
      <c r="AB517" s="1083"/>
      <c r="AC517" s="1083"/>
      <c r="AD517" s="1083"/>
      <c r="AE517" s="1083"/>
    </row>
    <row r="518" spans="2:31" hidden="1">
      <c r="B518" s="1141" t="s">
        <v>1089</v>
      </c>
      <c r="C518" s="1611">
        <f>1/0.12</f>
        <v>8.33</v>
      </c>
      <c r="D518" s="1152" t="s">
        <v>1</v>
      </c>
      <c r="E518" s="1143">
        <v>1000</v>
      </c>
      <c r="F518" s="1144">
        <f>C518*E518</f>
        <v>8330</v>
      </c>
    </row>
    <row r="519" spans="2:31" ht="13.5" hidden="1" thickBot="1">
      <c r="B519" s="1145"/>
      <c r="C519" s="1612"/>
      <c r="D519" s="1146"/>
      <c r="E519" s="1147" t="s">
        <v>1031</v>
      </c>
      <c r="F519" s="1148" t="e">
        <f>ROUND(SUM(F516:F518),2)</f>
        <v>#REF!</v>
      </c>
    </row>
    <row r="520" spans="2:31">
      <c r="B520" s="1087"/>
      <c r="C520" s="1603"/>
      <c r="D520" s="1087"/>
      <c r="E520" s="1100"/>
      <c r="F520" s="1105"/>
    </row>
    <row r="521" spans="2:31">
      <c r="B521" s="1107" t="s">
        <v>1040</v>
      </c>
      <c r="C521" s="1616"/>
      <c r="D521" s="1108"/>
      <c r="E521" s="1109"/>
      <c r="F521" s="1110"/>
    </row>
    <row r="522" spans="2:31">
      <c r="B522" s="3321" t="s">
        <v>1041</v>
      </c>
      <c r="C522" s="3322" t="s">
        <v>2</v>
      </c>
      <c r="D522" s="3323">
        <v>8.7999999999999995E-2</v>
      </c>
      <c r="E522" s="3324">
        <v>75</v>
      </c>
      <c r="F522" s="3245">
        <f>E522*D522</f>
        <v>6.6</v>
      </c>
    </row>
    <row r="523" spans="2:31">
      <c r="B523" s="3321" t="s">
        <v>1042</v>
      </c>
      <c r="C523" s="3322" t="s">
        <v>11</v>
      </c>
      <c r="D523" s="3324">
        <v>1</v>
      </c>
      <c r="E523" s="3324">
        <v>29.7</v>
      </c>
      <c r="F523" s="3245">
        <f>E523*D523</f>
        <v>29.7</v>
      </c>
    </row>
    <row r="524" spans="2:31">
      <c r="B524" s="3325"/>
      <c r="C524" s="3326"/>
      <c r="D524" s="3325"/>
      <c r="E524" s="3327" t="s">
        <v>1031</v>
      </c>
      <c r="F524" s="3273">
        <f>SUM(F522:F523)</f>
        <v>36.299999999999997</v>
      </c>
    </row>
    <row r="525" spans="2:31">
      <c r="B525" s="1087"/>
      <c r="C525" s="1615"/>
      <c r="D525" s="1094"/>
      <c r="E525" s="1095"/>
      <c r="F525" s="1103"/>
    </row>
    <row r="526" spans="2:31">
      <c r="B526" s="1087"/>
      <c r="C526" s="1615"/>
      <c r="D526" s="1094"/>
      <c r="E526" s="1095"/>
      <c r="F526" s="1103"/>
      <c r="I526" s="1083"/>
      <c r="J526" s="1083"/>
      <c r="K526" s="1083"/>
      <c r="L526" s="1083"/>
      <c r="M526" s="1083"/>
      <c r="N526" s="1083"/>
      <c r="O526" s="1083"/>
      <c r="P526" s="1083"/>
      <c r="Q526" s="1083"/>
      <c r="R526" s="1083"/>
      <c r="S526" s="1083"/>
      <c r="T526" s="1083"/>
      <c r="U526" s="1083"/>
      <c r="V526" s="1083"/>
      <c r="W526" s="1083"/>
      <c r="X526" s="1083"/>
      <c r="Y526" s="1083"/>
      <c r="Z526" s="1083"/>
      <c r="AA526" s="1083"/>
      <c r="AB526" s="1083"/>
      <c r="AC526" s="1083"/>
      <c r="AD526" s="1083"/>
      <c r="AE526" s="1083"/>
    </row>
    <row r="527" spans="2:31">
      <c r="B527" s="1101" t="s">
        <v>1045</v>
      </c>
      <c r="C527" s="1615"/>
      <c r="D527" s="1094"/>
      <c r="E527" s="1095"/>
      <c r="F527" s="1103"/>
      <c r="I527" s="1083"/>
      <c r="J527" s="1083"/>
      <c r="K527" s="1083"/>
      <c r="L527" s="1083"/>
      <c r="M527" s="1083"/>
      <c r="N527" s="1083"/>
      <c r="O527" s="1083"/>
      <c r="P527" s="1083"/>
      <c r="Q527" s="1083"/>
      <c r="R527" s="1083"/>
      <c r="S527" s="1083"/>
      <c r="T527" s="1083"/>
      <c r="U527" s="1083"/>
      <c r="V527" s="1083"/>
      <c r="W527" s="1083"/>
      <c r="X527" s="1083"/>
      <c r="Y527" s="1083"/>
      <c r="Z527" s="1083"/>
      <c r="AA527" s="1083"/>
      <c r="AB527" s="1083"/>
      <c r="AC527" s="1083"/>
      <c r="AD527" s="1083"/>
      <c r="AE527" s="1083"/>
    </row>
    <row r="528" spans="2:31">
      <c r="B528" s="3252" t="s">
        <v>181</v>
      </c>
      <c r="C528" s="3270" t="s">
        <v>126</v>
      </c>
      <c r="D528" s="3254">
        <v>1</v>
      </c>
      <c r="E528" s="3245">
        <f>+E59</f>
        <v>2500</v>
      </c>
      <c r="F528" s="3245">
        <f>E528*D528</f>
        <v>2500</v>
      </c>
      <c r="I528" s="1083"/>
      <c r="J528" s="1083"/>
      <c r="K528" s="1083"/>
      <c r="L528" s="1083"/>
      <c r="M528" s="1083"/>
      <c r="N528" s="1083"/>
      <c r="O528" s="1083"/>
      <c r="P528" s="1083"/>
      <c r="Q528" s="1083"/>
      <c r="R528" s="1083"/>
      <c r="S528" s="1083"/>
      <c r="T528" s="1083"/>
      <c r="U528" s="1083"/>
      <c r="V528" s="1083"/>
      <c r="W528" s="1083"/>
      <c r="X528" s="1083"/>
      <c r="Y528" s="1083"/>
      <c r="Z528" s="1083"/>
      <c r="AA528" s="1083"/>
      <c r="AB528" s="1083"/>
      <c r="AC528" s="1083"/>
      <c r="AD528" s="1083"/>
      <c r="AE528" s="1083"/>
    </row>
    <row r="529" spans="2:31">
      <c r="B529" s="3252" t="s">
        <v>1044</v>
      </c>
      <c r="C529" s="3270" t="s">
        <v>183</v>
      </c>
      <c r="D529" s="3254">
        <v>2</v>
      </c>
      <c r="E529" s="3245">
        <v>45</v>
      </c>
      <c r="F529" s="3245">
        <f>E529*D529</f>
        <v>90</v>
      </c>
      <c r="I529" s="1083"/>
      <c r="J529" s="1083"/>
      <c r="K529" s="1083"/>
      <c r="L529" s="1083"/>
      <c r="M529" s="1083"/>
      <c r="N529" s="1083"/>
      <c r="O529" s="1083"/>
      <c r="P529" s="1083"/>
      <c r="Q529" s="1083"/>
      <c r="R529" s="1083"/>
      <c r="S529" s="1083"/>
      <c r="T529" s="1083"/>
      <c r="U529" s="1083"/>
      <c r="V529" s="1083"/>
      <c r="W529" s="1083"/>
      <c r="X529" s="1083"/>
      <c r="Y529" s="1083"/>
      <c r="Z529" s="1083"/>
      <c r="AA529" s="1083"/>
      <c r="AB529" s="1083"/>
      <c r="AC529" s="1083"/>
      <c r="AD529" s="1083"/>
      <c r="AE529" s="1083"/>
    </row>
    <row r="530" spans="2:31">
      <c r="B530" s="3252"/>
      <c r="C530" s="3270"/>
      <c r="D530" s="3254"/>
      <c r="E530" s="3263" t="s">
        <v>1031</v>
      </c>
      <c r="F530" s="3273">
        <f>SUM(F528:F529)</f>
        <v>2590</v>
      </c>
      <c r="I530" s="1083"/>
      <c r="J530" s="1083"/>
      <c r="K530" s="1083"/>
      <c r="L530" s="1083"/>
      <c r="M530" s="1083"/>
      <c r="N530" s="1083"/>
      <c r="O530" s="1083"/>
      <c r="P530" s="1083"/>
      <c r="Q530" s="1083"/>
      <c r="R530" s="1083"/>
      <c r="S530" s="1083"/>
      <c r="T530" s="1083"/>
      <c r="U530" s="1083"/>
      <c r="V530" s="1083"/>
      <c r="W530" s="1083"/>
      <c r="X530" s="1083"/>
      <c r="Y530" s="1083"/>
      <c r="Z530" s="1083"/>
      <c r="AA530" s="1083"/>
      <c r="AB530" s="1083"/>
      <c r="AC530" s="1083"/>
      <c r="AD530" s="1083"/>
      <c r="AE530" s="1083"/>
    </row>
    <row r="531" spans="2:31">
      <c r="B531" s="1087"/>
      <c r="C531" s="1615"/>
      <c r="D531" s="1094"/>
      <c r="E531" s="1095"/>
      <c r="F531" s="1103"/>
      <c r="I531" s="1083"/>
      <c r="J531" s="1083"/>
      <c r="K531" s="1083"/>
      <c r="L531" s="1083"/>
      <c r="M531" s="1083"/>
      <c r="N531" s="1083"/>
      <c r="O531" s="1083"/>
      <c r="P531" s="1083"/>
      <c r="Q531" s="1083"/>
      <c r="R531" s="1083"/>
      <c r="S531" s="1083"/>
      <c r="T531" s="1083"/>
      <c r="U531" s="1083"/>
      <c r="V531" s="1083"/>
      <c r="W531" s="1083"/>
      <c r="X531" s="1083"/>
      <c r="Y531" s="1083"/>
      <c r="Z531" s="1083"/>
      <c r="AA531" s="1083"/>
      <c r="AB531" s="1083"/>
      <c r="AC531" s="1083"/>
      <c r="AD531" s="1083"/>
      <c r="AE531" s="1083"/>
    </row>
    <row r="532" spans="2:31" ht="15.75">
      <c r="B532" s="1112" t="s">
        <v>186</v>
      </c>
      <c r="C532" s="1617"/>
      <c r="D532" s="1113"/>
      <c r="E532" s="1113"/>
      <c r="F532" s="1113"/>
      <c r="I532" s="1083"/>
      <c r="J532" s="1083"/>
      <c r="K532" s="1083"/>
      <c r="L532" s="1083"/>
      <c r="M532" s="1083"/>
      <c r="N532" s="1083"/>
      <c r="O532" s="1083"/>
      <c r="P532" s="1083"/>
      <c r="Q532" s="1083"/>
      <c r="R532" s="1083"/>
      <c r="S532" s="1083"/>
      <c r="T532" s="1083"/>
      <c r="U532" s="1083"/>
      <c r="V532" s="1083"/>
      <c r="W532" s="1083"/>
      <c r="X532" s="1083"/>
      <c r="Y532" s="1083"/>
      <c r="Z532" s="1083"/>
      <c r="AA532" s="1083"/>
      <c r="AB532" s="1083"/>
      <c r="AC532" s="1083"/>
      <c r="AD532" s="1083"/>
      <c r="AE532" s="1083"/>
    </row>
    <row r="533" spans="2:31">
      <c r="B533" s="1088" t="s">
        <v>187</v>
      </c>
      <c r="C533" s="1603"/>
      <c r="D533" s="1087"/>
      <c r="E533" s="1087"/>
      <c r="F533" s="1087"/>
      <c r="I533" s="1083"/>
      <c r="J533" s="1083"/>
      <c r="K533" s="1083"/>
      <c r="L533" s="1083"/>
      <c r="M533" s="1083"/>
      <c r="N533" s="1083"/>
      <c r="O533" s="1083"/>
      <c r="P533" s="1083"/>
      <c r="Q533" s="1083"/>
      <c r="R533" s="1083"/>
      <c r="S533" s="1083"/>
      <c r="T533" s="1083"/>
      <c r="U533" s="1083"/>
      <c r="V533" s="1083"/>
      <c r="W533" s="1083"/>
      <c r="X533" s="1083"/>
      <c r="Y533" s="1083"/>
      <c r="Z533" s="1083"/>
      <c r="AA533" s="1083"/>
      <c r="AB533" s="1083"/>
      <c r="AC533" s="1083"/>
      <c r="AD533" s="1083"/>
      <c r="AE533" s="1083"/>
    </row>
    <row r="534" spans="2:31">
      <c r="B534" s="3252" t="s">
        <v>122</v>
      </c>
      <c r="C534" s="3255" t="s">
        <v>2</v>
      </c>
      <c r="D534" s="3252">
        <v>0.52</v>
      </c>
      <c r="E534" s="3245">
        <f>F16</f>
        <v>1115</v>
      </c>
      <c r="F534" s="3245">
        <f>E534*D534</f>
        <v>579.79999999999995</v>
      </c>
      <c r="I534" s="1083"/>
      <c r="J534" s="1083"/>
      <c r="K534" s="1083"/>
      <c r="L534" s="1083"/>
      <c r="M534" s="1083"/>
      <c r="N534" s="1083"/>
      <c r="O534" s="1083"/>
      <c r="P534" s="1083"/>
      <c r="Q534" s="1083"/>
      <c r="R534" s="1083"/>
      <c r="S534" s="1083"/>
      <c r="T534" s="1083"/>
      <c r="U534" s="1083"/>
      <c r="V534" s="1083"/>
      <c r="W534" s="1083"/>
      <c r="X534" s="1083"/>
      <c r="Y534" s="1083"/>
      <c r="Z534" s="1083"/>
      <c r="AA534" s="1083"/>
      <c r="AB534" s="1083"/>
      <c r="AC534" s="1083"/>
      <c r="AD534" s="1083"/>
      <c r="AE534" s="1083"/>
    </row>
    <row r="535" spans="2:31">
      <c r="B535" s="3252" t="s">
        <v>124</v>
      </c>
      <c r="C535" s="3255" t="s">
        <v>2</v>
      </c>
      <c r="D535" s="3252">
        <v>0.85</v>
      </c>
      <c r="E535" s="3245">
        <f>F21</f>
        <v>1215</v>
      </c>
      <c r="F535" s="3245">
        <f>E535*D535</f>
        <v>1032.75</v>
      </c>
      <c r="I535" s="1083"/>
      <c r="J535" s="1083"/>
      <c r="K535" s="1083"/>
      <c r="L535" s="1083"/>
      <c r="M535" s="1083"/>
      <c r="N535" s="1083"/>
      <c r="O535" s="1083"/>
      <c r="P535" s="1083"/>
      <c r="Q535" s="1083"/>
      <c r="R535" s="1083"/>
      <c r="S535" s="1083"/>
      <c r="T535" s="1083"/>
      <c r="U535" s="1083"/>
      <c r="V535" s="1083"/>
      <c r="W535" s="1083"/>
      <c r="X535" s="1083"/>
      <c r="Y535" s="1083"/>
      <c r="Z535" s="1083"/>
      <c r="AA535" s="1083"/>
      <c r="AB535" s="1083"/>
      <c r="AC535" s="1083"/>
      <c r="AD535" s="1083"/>
      <c r="AE535" s="1083"/>
    </row>
    <row r="536" spans="2:31">
      <c r="B536" s="3252" t="s">
        <v>117</v>
      </c>
      <c r="C536" s="3255" t="s">
        <v>118</v>
      </c>
      <c r="D536" s="3264">
        <v>60</v>
      </c>
      <c r="E536" s="3245">
        <f>F3</f>
        <v>2.5</v>
      </c>
      <c r="F536" s="3245">
        <f>E536*D536</f>
        <v>150</v>
      </c>
      <c r="I536" s="1083"/>
      <c r="J536" s="1083"/>
      <c r="K536" s="1083"/>
      <c r="L536" s="1083"/>
      <c r="M536" s="1083"/>
      <c r="N536" s="1083"/>
      <c r="O536" s="1083"/>
      <c r="P536" s="1083"/>
      <c r="Q536" s="1083"/>
      <c r="R536" s="1083"/>
      <c r="S536" s="1083"/>
      <c r="T536" s="1083"/>
      <c r="U536" s="1083"/>
      <c r="V536" s="1083"/>
      <c r="W536" s="1083"/>
      <c r="X536" s="1083"/>
      <c r="Y536" s="1083"/>
      <c r="Z536" s="1083"/>
      <c r="AA536" s="1083"/>
      <c r="AB536" s="1083"/>
      <c r="AC536" s="1083"/>
      <c r="AD536" s="1083"/>
      <c r="AE536" s="1083"/>
    </row>
    <row r="537" spans="2:31">
      <c r="B537" s="3252" t="s">
        <v>188</v>
      </c>
      <c r="C537" s="3255" t="s">
        <v>1026</v>
      </c>
      <c r="D537" s="3264">
        <v>6.4</v>
      </c>
      <c r="E537" s="3245">
        <f>F4</f>
        <v>325</v>
      </c>
      <c r="F537" s="3245">
        <f>E537*D537</f>
        <v>2080</v>
      </c>
      <c r="I537" s="1083"/>
      <c r="J537" s="1083"/>
      <c r="K537" s="1083"/>
      <c r="L537" s="1083"/>
      <c r="M537" s="1083"/>
      <c r="N537" s="1083"/>
      <c r="O537" s="1083"/>
      <c r="P537" s="1083"/>
      <c r="Q537" s="1083"/>
      <c r="R537" s="1083"/>
      <c r="S537" s="1083"/>
      <c r="T537" s="1083"/>
      <c r="U537" s="1083"/>
      <c r="V537" s="1083"/>
      <c r="W537" s="1083"/>
      <c r="X537" s="1083"/>
      <c r="Y537" s="1083"/>
      <c r="Z537" s="1083"/>
      <c r="AA537" s="1083"/>
      <c r="AB537" s="1083"/>
      <c r="AC537" s="1083"/>
      <c r="AD537" s="1083"/>
      <c r="AE537" s="1083"/>
    </row>
    <row r="538" spans="2:31">
      <c r="B538" s="3252" t="s">
        <v>189</v>
      </c>
      <c r="C538" s="3255" t="s">
        <v>148</v>
      </c>
      <c r="D538" s="3264">
        <v>0.5</v>
      </c>
      <c r="E538" s="3245">
        <v>659</v>
      </c>
      <c r="F538" s="3245">
        <f>E538*D538</f>
        <v>329.5</v>
      </c>
      <c r="I538" s="1083"/>
      <c r="J538" s="1083"/>
      <c r="K538" s="1083"/>
      <c r="L538" s="1083"/>
      <c r="M538" s="1083"/>
      <c r="N538" s="1083"/>
      <c r="O538" s="1083"/>
      <c r="P538" s="1083"/>
      <c r="Q538" s="1083"/>
      <c r="R538" s="1083"/>
      <c r="S538" s="1083"/>
      <c r="T538" s="1083"/>
      <c r="U538" s="1083"/>
      <c r="V538" s="1083"/>
      <c r="W538" s="1083"/>
      <c r="X538" s="1083"/>
      <c r="Y538" s="1083"/>
      <c r="Z538" s="1083"/>
      <c r="AA538" s="1083"/>
      <c r="AB538" s="1083"/>
      <c r="AC538" s="1083"/>
      <c r="AD538" s="1083"/>
      <c r="AE538" s="1083"/>
    </row>
    <row r="539" spans="2:31">
      <c r="B539" s="3271" t="s">
        <v>190</v>
      </c>
      <c r="C539" s="3260"/>
      <c r="D539" s="3252"/>
      <c r="E539" s="3252"/>
      <c r="F539" s="3254">
        <f>SUM(F534+F535+F536+F537)*0.03</f>
        <v>115.28</v>
      </c>
      <c r="I539" s="1083"/>
      <c r="J539" s="1083"/>
      <c r="K539" s="1083"/>
      <c r="L539" s="1083"/>
      <c r="M539" s="1083"/>
      <c r="N539" s="1083"/>
      <c r="O539" s="1083"/>
      <c r="P539" s="1083"/>
      <c r="Q539" s="1083"/>
      <c r="R539" s="1083"/>
      <c r="S539" s="1083"/>
      <c r="T539" s="1083"/>
      <c r="U539" s="1083"/>
      <c r="V539" s="1083"/>
      <c r="W539" s="1083"/>
      <c r="X539" s="1083"/>
      <c r="Y539" s="1083"/>
      <c r="Z539" s="1083"/>
      <c r="AA539" s="1083"/>
      <c r="AB539" s="1083"/>
      <c r="AC539" s="1083"/>
      <c r="AD539" s="1083"/>
      <c r="AE539" s="1083"/>
    </row>
    <row r="540" spans="2:31">
      <c r="B540" s="3252"/>
      <c r="C540" s="3260"/>
      <c r="D540" s="3252"/>
      <c r="E540" s="3262" t="s">
        <v>1031</v>
      </c>
      <c r="F540" s="3263">
        <f>SUM(F534:F539)</f>
        <v>4287.33</v>
      </c>
      <c r="I540" s="1083"/>
      <c r="J540" s="1083"/>
      <c r="K540" s="1083"/>
      <c r="L540" s="1083"/>
      <c r="M540" s="1083"/>
      <c r="N540" s="1083"/>
      <c r="O540" s="1083"/>
      <c r="P540" s="1083"/>
      <c r="Q540" s="1083"/>
      <c r="R540" s="1083"/>
      <c r="S540" s="1083"/>
      <c r="T540" s="1083"/>
      <c r="U540" s="1083"/>
      <c r="V540" s="1083"/>
      <c r="W540" s="1083"/>
      <c r="X540" s="1083"/>
      <c r="Y540" s="1083"/>
      <c r="Z540" s="1083"/>
      <c r="AA540" s="1083"/>
      <c r="AB540" s="1083"/>
      <c r="AC540" s="1083"/>
      <c r="AD540" s="1083"/>
      <c r="AE540" s="1083"/>
    </row>
    <row r="541" spans="2:31">
      <c r="B541" s="1087"/>
      <c r="C541" s="1603"/>
      <c r="D541" s="1087"/>
      <c r="E541" s="1100"/>
      <c r="F541" s="1095"/>
      <c r="I541" s="1083"/>
      <c r="J541" s="1083"/>
      <c r="K541" s="1083"/>
      <c r="L541" s="1083"/>
      <c r="M541" s="1083"/>
      <c r="N541" s="1083"/>
      <c r="O541" s="1083"/>
      <c r="P541" s="1083"/>
      <c r="Q541" s="1083"/>
      <c r="R541" s="1083"/>
      <c r="S541" s="1083"/>
      <c r="T541" s="1083"/>
      <c r="U541" s="1083"/>
      <c r="V541" s="1083"/>
      <c r="W541" s="1083"/>
      <c r="X541" s="1083"/>
      <c r="Y541" s="1083"/>
      <c r="Z541" s="1083"/>
      <c r="AA541" s="1083"/>
      <c r="AB541" s="1083"/>
      <c r="AC541" s="1083"/>
      <c r="AD541" s="1083"/>
      <c r="AE541" s="1083"/>
    </row>
    <row r="542" spans="2:31">
      <c r="B542" s="1101" t="s">
        <v>191</v>
      </c>
      <c r="C542" s="1603"/>
      <c r="D542" s="1087"/>
      <c r="E542" s="1087"/>
      <c r="F542" s="1087"/>
      <c r="I542" s="1083"/>
      <c r="J542" s="1083"/>
      <c r="K542" s="1083"/>
      <c r="L542" s="1083"/>
      <c r="M542" s="1083"/>
      <c r="N542" s="1083"/>
      <c r="O542" s="1083"/>
      <c r="P542" s="1083"/>
      <c r="Q542" s="1083"/>
      <c r="R542" s="1083"/>
      <c r="S542" s="1083"/>
      <c r="T542" s="1083"/>
      <c r="U542" s="1083"/>
      <c r="V542" s="1083"/>
      <c r="W542" s="1083"/>
      <c r="X542" s="1083"/>
      <c r="Y542" s="1083"/>
      <c r="Z542" s="1083"/>
      <c r="AA542" s="1083"/>
      <c r="AB542" s="1083"/>
      <c r="AC542" s="1083"/>
      <c r="AD542" s="1083"/>
      <c r="AE542" s="1083"/>
    </row>
    <row r="543" spans="2:31">
      <c r="B543" s="3252" t="s">
        <v>192</v>
      </c>
      <c r="C543" s="3255" t="s">
        <v>3</v>
      </c>
      <c r="D543" s="3264">
        <v>13</v>
      </c>
      <c r="E543" s="3245">
        <v>28.5</v>
      </c>
      <c r="F543" s="3245">
        <f t="shared" ref="F543:F550" si="2">E543*D543</f>
        <v>370.5</v>
      </c>
      <c r="I543" s="1083"/>
      <c r="J543" s="1083"/>
      <c r="K543" s="1083"/>
      <c r="L543" s="1083"/>
      <c r="M543" s="1083"/>
      <c r="N543" s="1083"/>
      <c r="O543" s="1083"/>
      <c r="P543" s="1083"/>
      <c r="Q543" s="1083"/>
      <c r="R543" s="1083"/>
      <c r="S543" s="1083"/>
      <c r="T543" s="1083"/>
      <c r="U543" s="1083"/>
      <c r="V543" s="1083"/>
      <c r="W543" s="1083"/>
      <c r="X543" s="1083"/>
      <c r="Y543" s="1083"/>
      <c r="Z543" s="1083"/>
      <c r="AA543" s="1083"/>
      <c r="AB543" s="1083"/>
      <c r="AC543" s="1083"/>
      <c r="AD543" s="1083"/>
      <c r="AE543" s="1083"/>
    </row>
    <row r="544" spans="2:31">
      <c r="B544" s="3252" t="s">
        <v>193</v>
      </c>
      <c r="C544" s="3255" t="s">
        <v>3</v>
      </c>
      <c r="D544" s="3264">
        <v>13</v>
      </c>
      <c r="E544" s="3245">
        <v>18</v>
      </c>
      <c r="F544" s="3245">
        <f t="shared" si="2"/>
        <v>234</v>
      </c>
      <c r="I544" s="1083"/>
      <c r="J544" s="1083"/>
      <c r="K544" s="1083"/>
      <c r="L544" s="1083"/>
      <c r="M544" s="1083"/>
      <c r="N544" s="1083"/>
      <c r="O544" s="1083"/>
      <c r="P544" s="1083"/>
      <c r="Q544" s="1083"/>
      <c r="R544" s="1083"/>
      <c r="S544" s="1083"/>
      <c r="T544" s="1083"/>
      <c r="U544" s="1083"/>
      <c r="V544" s="1083"/>
      <c r="W544" s="1083"/>
      <c r="X544" s="1083"/>
      <c r="Y544" s="1083"/>
      <c r="Z544" s="1083"/>
      <c r="AA544" s="1083"/>
      <c r="AB544" s="1083"/>
      <c r="AC544" s="1083"/>
      <c r="AD544" s="1083"/>
      <c r="AE544" s="1083"/>
    </row>
    <row r="545" spans="2:31">
      <c r="B545" s="3271" t="s">
        <v>194</v>
      </c>
      <c r="C545" s="3255" t="s">
        <v>2</v>
      </c>
      <c r="D545" s="3252">
        <v>3.1199999999999999E-2</v>
      </c>
      <c r="E545" s="3245">
        <f>F84</f>
        <v>5506.4</v>
      </c>
      <c r="F545" s="3245">
        <f t="shared" si="2"/>
        <v>171.8</v>
      </c>
      <c r="I545" s="1083"/>
      <c r="J545" s="1083"/>
      <c r="K545" s="1083"/>
      <c r="L545" s="1083"/>
      <c r="M545" s="1083"/>
      <c r="N545" s="1083"/>
      <c r="O545" s="1083"/>
      <c r="P545" s="1083"/>
      <c r="Q545" s="1083"/>
      <c r="R545" s="1083"/>
      <c r="S545" s="1083"/>
      <c r="T545" s="1083"/>
      <c r="U545" s="1083"/>
      <c r="V545" s="1083"/>
      <c r="W545" s="1083"/>
      <c r="X545" s="1083"/>
      <c r="Y545" s="1083"/>
      <c r="Z545" s="1083"/>
      <c r="AA545" s="1083"/>
      <c r="AB545" s="1083"/>
      <c r="AC545" s="1083"/>
      <c r="AD545" s="1083"/>
      <c r="AE545" s="1083"/>
    </row>
    <row r="546" spans="2:31">
      <c r="B546" s="3252" t="s">
        <v>195</v>
      </c>
      <c r="C546" s="3255" t="s">
        <v>2</v>
      </c>
      <c r="D546" s="3328">
        <v>0.01</v>
      </c>
      <c r="E546" s="3245">
        <f>SUM(F540)</f>
        <v>4287.33</v>
      </c>
      <c r="F546" s="3245">
        <f t="shared" si="2"/>
        <v>42.87</v>
      </c>
      <c r="I546" s="1083"/>
      <c r="J546" s="1083"/>
      <c r="K546" s="1083"/>
      <c r="L546" s="1083"/>
      <c r="M546" s="1083"/>
      <c r="N546" s="1083"/>
      <c r="O546" s="1083"/>
      <c r="P546" s="1083"/>
      <c r="Q546" s="1083"/>
      <c r="R546" s="1083"/>
      <c r="S546" s="1083"/>
      <c r="T546" s="1083"/>
      <c r="U546" s="1083"/>
      <c r="V546" s="1083"/>
      <c r="W546" s="1083"/>
      <c r="X546" s="1083"/>
      <c r="Y546" s="1083"/>
      <c r="Z546" s="1083"/>
      <c r="AA546" s="1083"/>
      <c r="AB546" s="1083"/>
      <c r="AC546" s="1083"/>
      <c r="AD546" s="1083"/>
      <c r="AE546" s="1083"/>
    </row>
    <row r="547" spans="2:31">
      <c r="B547" s="3252" t="s">
        <v>196</v>
      </c>
      <c r="C547" s="3255" t="s">
        <v>126</v>
      </c>
      <c r="D547" s="3252">
        <v>2.9600000000000001E-2</v>
      </c>
      <c r="E547" s="3245">
        <f>F62</f>
        <v>2913</v>
      </c>
      <c r="F547" s="3245">
        <f t="shared" si="2"/>
        <v>86.22</v>
      </c>
      <c r="I547" s="1083"/>
      <c r="J547" s="1083"/>
      <c r="K547" s="1083"/>
      <c r="L547" s="1083"/>
      <c r="M547" s="1083"/>
      <c r="N547" s="1083"/>
      <c r="O547" s="1083"/>
      <c r="P547" s="1083"/>
      <c r="Q547" s="1083"/>
      <c r="R547" s="1083"/>
      <c r="S547" s="1083"/>
      <c r="T547" s="1083"/>
      <c r="U547" s="1083"/>
      <c r="V547" s="1083"/>
      <c r="W547" s="1083"/>
      <c r="X547" s="1083"/>
      <c r="Y547" s="1083"/>
      <c r="Z547" s="1083"/>
      <c r="AA547" s="1083"/>
      <c r="AB547" s="1083"/>
      <c r="AC547" s="1083"/>
      <c r="AD547" s="1083"/>
      <c r="AE547" s="1083"/>
    </row>
    <row r="548" spans="2:31">
      <c r="B548" s="3252" t="s">
        <v>197</v>
      </c>
      <c r="C548" s="3255" t="s">
        <v>155</v>
      </c>
      <c r="D548" s="3252">
        <v>0.18179999999999999</v>
      </c>
      <c r="E548" s="3245">
        <v>45</v>
      </c>
      <c r="F548" s="3245">
        <f t="shared" si="2"/>
        <v>8.18</v>
      </c>
      <c r="I548" s="1083"/>
      <c r="J548" s="1083"/>
      <c r="K548" s="1083"/>
      <c r="L548" s="1083"/>
      <c r="M548" s="1083"/>
      <c r="N548" s="1083"/>
      <c r="O548" s="1083"/>
      <c r="P548" s="1083"/>
      <c r="Q548" s="1083"/>
      <c r="R548" s="1083"/>
      <c r="S548" s="1083"/>
      <c r="T548" s="1083"/>
      <c r="U548" s="1083"/>
      <c r="V548" s="1083"/>
      <c r="W548" s="1083"/>
      <c r="X548" s="1083"/>
      <c r="Y548" s="1083"/>
      <c r="Z548" s="1083"/>
      <c r="AA548" s="1083"/>
      <c r="AB548" s="1083"/>
      <c r="AC548" s="1083"/>
      <c r="AD548" s="1083"/>
      <c r="AE548" s="1083"/>
    </row>
    <row r="549" spans="2:31">
      <c r="B549" s="3252" t="s">
        <v>198</v>
      </c>
      <c r="C549" s="3255" t="s">
        <v>148</v>
      </c>
      <c r="D549" s="3252">
        <v>2.3E-2</v>
      </c>
      <c r="E549" s="3245">
        <v>659</v>
      </c>
      <c r="F549" s="3245">
        <f t="shared" si="2"/>
        <v>15.16</v>
      </c>
      <c r="I549" s="1083"/>
      <c r="J549" s="1083"/>
      <c r="K549" s="1083"/>
      <c r="L549" s="1083"/>
      <c r="M549" s="1083"/>
      <c r="N549" s="1083"/>
      <c r="O549" s="1083"/>
      <c r="P549" s="1083"/>
      <c r="Q549" s="1083"/>
      <c r="R549" s="1083"/>
      <c r="S549" s="1083"/>
      <c r="T549" s="1083"/>
      <c r="U549" s="1083"/>
      <c r="V549" s="1083"/>
      <c r="W549" s="1083"/>
      <c r="X549" s="1083"/>
      <c r="Y549" s="1083"/>
      <c r="Z549" s="1083"/>
      <c r="AA549" s="1083"/>
      <c r="AB549" s="1083"/>
      <c r="AC549" s="1083"/>
      <c r="AD549" s="1083"/>
      <c r="AE549" s="1083"/>
    </row>
    <row r="550" spans="2:31">
      <c r="B550" s="3252" t="s">
        <v>199</v>
      </c>
      <c r="C550" s="3255" t="s">
        <v>2</v>
      </c>
      <c r="D550" s="3328">
        <v>0.01</v>
      </c>
      <c r="E550" s="3245">
        <v>659</v>
      </c>
      <c r="F550" s="3245">
        <f t="shared" si="2"/>
        <v>6.59</v>
      </c>
      <c r="I550" s="1083"/>
      <c r="J550" s="1083"/>
      <c r="K550" s="1083"/>
      <c r="L550" s="1083"/>
      <c r="M550" s="1083"/>
      <c r="N550" s="1083"/>
      <c r="O550" s="1083"/>
      <c r="P550" s="1083"/>
      <c r="Q550" s="1083"/>
      <c r="R550" s="1083"/>
      <c r="S550" s="1083"/>
      <c r="T550" s="1083"/>
      <c r="U550" s="1083"/>
      <c r="V550" s="1083"/>
      <c r="W550" s="1083"/>
      <c r="X550" s="1083"/>
      <c r="Y550" s="1083"/>
      <c r="Z550" s="1083"/>
      <c r="AA550" s="1083"/>
      <c r="AB550" s="1083"/>
      <c r="AC550" s="1083"/>
      <c r="AD550" s="1083"/>
      <c r="AE550" s="1083"/>
    </row>
    <row r="551" spans="2:31">
      <c r="B551" s="3252"/>
      <c r="C551" s="3260"/>
      <c r="D551" s="3252"/>
      <c r="E551" s="3262" t="s">
        <v>1031</v>
      </c>
      <c r="F551" s="3263">
        <f>SUM(F543:F550)</f>
        <v>935.32</v>
      </c>
      <c r="I551" s="1083"/>
      <c r="J551" s="1083"/>
      <c r="K551" s="1083"/>
      <c r="L551" s="1083"/>
      <c r="M551" s="1083"/>
      <c r="N551" s="1083"/>
      <c r="O551" s="1083"/>
      <c r="P551" s="1083"/>
      <c r="Q551" s="1083"/>
      <c r="R551" s="1083"/>
      <c r="S551" s="1083"/>
      <c r="T551" s="1083"/>
      <c r="U551" s="1083"/>
      <c r="V551" s="1083"/>
      <c r="W551" s="1083"/>
      <c r="X551" s="1083"/>
      <c r="Y551" s="1083"/>
      <c r="Z551" s="1083"/>
      <c r="AA551" s="1083"/>
      <c r="AB551" s="1083"/>
      <c r="AC551" s="1083"/>
      <c r="AD551" s="1083"/>
      <c r="AE551" s="1083"/>
    </row>
    <row r="552" spans="2:31">
      <c r="B552" s="1101" t="s">
        <v>1046</v>
      </c>
      <c r="C552" s="1603"/>
      <c r="D552" s="1087"/>
      <c r="E552" s="1100"/>
      <c r="F552" s="1095">
        <f>+F551-F549</f>
        <v>920.16</v>
      </c>
      <c r="I552" s="1083"/>
      <c r="J552" s="1083"/>
      <c r="K552" s="1083"/>
      <c r="L552" s="1083"/>
      <c r="M552" s="1083"/>
      <c r="N552" s="1083"/>
      <c r="O552" s="1083"/>
      <c r="P552" s="1083"/>
      <c r="Q552" s="1083"/>
      <c r="R552" s="1083"/>
      <c r="S552" s="1083"/>
      <c r="T552" s="1083"/>
      <c r="U552" s="1083"/>
      <c r="V552" s="1083"/>
      <c r="W552" s="1083"/>
      <c r="X552" s="1083"/>
      <c r="Y552" s="1083"/>
      <c r="Z552" s="1083"/>
      <c r="AA552" s="1083"/>
      <c r="AB552" s="1083"/>
      <c r="AC552" s="1083"/>
      <c r="AD552" s="1083"/>
      <c r="AE552" s="1083"/>
    </row>
    <row r="553" spans="2:31">
      <c r="B553" s="1101"/>
      <c r="C553" s="1603"/>
      <c r="D553" s="1087"/>
      <c r="E553" s="1100"/>
      <c r="F553" s="1095"/>
      <c r="I553" s="1083"/>
      <c r="J553" s="1083"/>
      <c r="K553" s="1083"/>
      <c r="L553" s="1083"/>
      <c r="M553" s="1083"/>
      <c r="N553" s="1083"/>
      <c r="O553" s="1083"/>
      <c r="P553" s="1083"/>
      <c r="Q553" s="1083"/>
      <c r="R553" s="1083"/>
      <c r="S553" s="1083"/>
      <c r="T553" s="1083"/>
      <c r="U553" s="1083"/>
      <c r="V553" s="1083"/>
      <c r="W553" s="1083"/>
      <c r="X553" s="1083"/>
      <c r="Y553" s="1083"/>
      <c r="Z553" s="1083"/>
      <c r="AA553" s="1083"/>
      <c r="AB553" s="1083"/>
      <c r="AC553" s="1083"/>
      <c r="AD553" s="1083"/>
      <c r="AE553" s="1083"/>
    </row>
    <row r="554" spans="2:31">
      <c r="B554" s="1391" t="s">
        <v>1047</v>
      </c>
      <c r="C554" s="1603"/>
      <c r="D554" s="1087"/>
      <c r="E554" s="1087"/>
      <c r="F554" s="1087"/>
      <c r="I554" s="1083"/>
      <c r="J554" s="1083"/>
      <c r="K554" s="1083"/>
      <c r="L554" s="1083"/>
      <c r="M554" s="1083"/>
      <c r="N554" s="1083"/>
      <c r="O554" s="1083"/>
      <c r="P554" s="1083"/>
      <c r="Q554" s="1083"/>
      <c r="R554" s="1083"/>
      <c r="S554" s="1083"/>
      <c r="T554" s="1083"/>
      <c r="U554" s="1083"/>
      <c r="V554" s="1083"/>
      <c r="W554" s="1083"/>
      <c r="X554" s="1083"/>
      <c r="Y554" s="1083"/>
      <c r="Z554" s="1083"/>
      <c r="AA554" s="1083"/>
      <c r="AB554" s="1083"/>
      <c r="AC554" s="1083"/>
      <c r="AD554" s="1083"/>
      <c r="AE554" s="1083"/>
    </row>
    <row r="555" spans="2:31">
      <c r="B555" s="3271" t="s">
        <v>1048</v>
      </c>
      <c r="C555" s="3255" t="s">
        <v>3</v>
      </c>
      <c r="D555" s="3264">
        <v>13</v>
      </c>
      <c r="E555" s="3245">
        <v>27</v>
      </c>
      <c r="F555" s="3245">
        <f t="shared" ref="F555:F562" si="3">E555*D555</f>
        <v>351</v>
      </c>
      <c r="I555" s="1083"/>
      <c r="J555" s="1083"/>
      <c r="K555" s="1083"/>
      <c r="L555" s="1083"/>
      <c r="M555" s="1083"/>
      <c r="N555" s="1083"/>
      <c r="O555" s="1083"/>
      <c r="P555" s="1083"/>
      <c r="Q555" s="1083"/>
      <c r="R555" s="1083"/>
      <c r="S555" s="1083"/>
      <c r="T555" s="1083"/>
      <c r="U555" s="1083"/>
      <c r="V555" s="1083"/>
      <c r="W555" s="1083"/>
      <c r="X555" s="1083"/>
      <c r="Y555" s="1083"/>
      <c r="Z555" s="1083"/>
      <c r="AA555" s="1083"/>
      <c r="AB555" s="1083"/>
      <c r="AC555" s="1083"/>
      <c r="AD555" s="1083"/>
      <c r="AE555" s="1083"/>
    </row>
    <row r="556" spans="2:31">
      <c r="B556" s="3271" t="s">
        <v>1049</v>
      </c>
      <c r="C556" s="3255" t="s">
        <v>3</v>
      </c>
      <c r="D556" s="3264">
        <v>13</v>
      </c>
      <c r="E556" s="3245">
        <v>17</v>
      </c>
      <c r="F556" s="3245">
        <f t="shared" si="3"/>
        <v>221</v>
      </c>
      <c r="I556" s="1083"/>
      <c r="J556" s="1083"/>
      <c r="K556" s="1083"/>
      <c r="L556" s="1083"/>
      <c r="M556" s="1083"/>
      <c r="N556" s="1083"/>
      <c r="O556" s="1083"/>
      <c r="P556" s="1083"/>
      <c r="Q556" s="1083"/>
      <c r="R556" s="1083"/>
      <c r="S556" s="1083"/>
      <c r="T556" s="1083"/>
      <c r="U556" s="1083"/>
      <c r="V556" s="1083"/>
      <c r="W556" s="1083"/>
      <c r="X556" s="1083"/>
      <c r="Y556" s="1083"/>
      <c r="Z556" s="1083"/>
      <c r="AA556" s="1083"/>
      <c r="AB556" s="1083"/>
      <c r="AC556" s="1083"/>
      <c r="AD556" s="1083"/>
      <c r="AE556" s="1083"/>
    </row>
    <row r="557" spans="2:31">
      <c r="B557" s="3252" t="s">
        <v>1050</v>
      </c>
      <c r="C557" s="3255" t="s">
        <v>2</v>
      </c>
      <c r="D557" s="3328">
        <v>0.02</v>
      </c>
      <c r="E557" s="3245">
        <f>F84</f>
        <v>5506.4</v>
      </c>
      <c r="F557" s="3245">
        <f t="shared" si="3"/>
        <v>110.13</v>
      </c>
      <c r="I557" s="1083"/>
      <c r="J557" s="1083"/>
      <c r="K557" s="1083"/>
      <c r="L557" s="1083"/>
      <c r="M557" s="1083"/>
      <c r="N557" s="1083"/>
      <c r="O557" s="1083"/>
      <c r="P557" s="1083"/>
      <c r="Q557" s="1083"/>
      <c r="R557" s="1083"/>
      <c r="S557" s="1083"/>
      <c r="T557" s="1083"/>
      <c r="U557" s="1083"/>
      <c r="V557" s="1083"/>
      <c r="W557" s="1083"/>
      <c r="X557" s="1083"/>
      <c r="Y557" s="1083"/>
      <c r="Z557" s="1083"/>
      <c r="AA557" s="1083"/>
      <c r="AB557" s="1083"/>
      <c r="AC557" s="1083"/>
      <c r="AD557" s="1083"/>
      <c r="AE557" s="1083"/>
    </row>
    <row r="558" spans="2:31">
      <c r="B558" s="3252" t="s">
        <v>1051</v>
      </c>
      <c r="C558" s="3255" t="s">
        <v>2</v>
      </c>
      <c r="D558" s="3252">
        <v>9.1999999999999998E-3</v>
      </c>
      <c r="E558" s="3245">
        <f>SUM(F540)</f>
        <v>4287.33</v>
      </c>
      <c r="F558" s="3245">
        <f t="shared" si="3"/>
        <v>39.44</v>
      </c>
      <c r="I558" s="1083"/>
      <c r="J558" s="1083"/>
      <c r="K558" s="1083"/>
      <c r="L558" s="1083"/>
      <c r="M558" s="1083"/>
      <c r="N558" s="1083"/>
      <c r="O558" s="1083"/>
      <c r="P558" s="1083"/>
      <c r="Q558" s="1083"/>
      <c r="R558" s="1083"/>
      <c r="S558" s="1083"/>
      <c r="T558" s="1083"/>
      <c r="U558" s="1083"/>
      <c r="V558" s="1083"/>
      <c r="W558" s="1083"/>
      <c r="X558" s="1083"/>
      <c r="Y558" s="1083"/>
      <c r="Z558" s="1083"/>
      <c r="AA558" s="1083"/>
      <c r="AB558" s="1083"/>
      <c r="AC558" s="1083"/>
      <c r="AD558" s="1083"/>
      <c r="AE558" s="1083"/>
    </row>
    <row r="559" spans="2:31">
      <c r="B559" s="3252" t="s">
        <v>1052</v>
      </c>
      <c r="C559" s="3255" t="s">
        <v>126</v>
      </c>
      <c r="D559" s="3252">
        <v>2.9600000000000001E-2</v>
      </c>
      <c r="E559" s="3245">
        <f>F62</f>
        <v>2913</v>
      </c>
      <c r="F559" s="3245">
        <f t="shared" si="3"/>
        <v>86.22</v>
      </c>
      <c r="I559" s="1083"/>
      <c r="J559" s="1083"/>
      <c r="K559" s="1083"/>
      <c r="L559" s="1083"/>
      <c r="M559" s="1083"/>
      <c r="N559" s="1083"/>
      <c r="O559" s="1083"/>
      <c r="P559" s="1083"/>
      <c r="Q559" s="1083"/>
      <c r="R559" s="1083"/>
      <c r="S559" s="1083"/>
      <c r="T559" s="1083"/>
      <c r="U559" s="1083"/>
      <c r="V559" s="1083"/>
      <c r="W559" s="1083"/>
      <c r="X559" s="1083"/>
      <c r="Y559" s="1083"/>
      <c r="Z559" s="1083"/>
      <c r="AA559" s="1083"/>
      <c r="AB559" s="1083"/>
      <c r="AC559" s="1083"/>
      <c r="AD559" s="1083"/>
      <c r="AE559" s="1083"/>
    </row>
    <row r="560" spans="2:31">
      <c r="B560" s="3271" t="s">
        <v>1053</v>
      </c>
      <c r="C560" s="3255" t="s">
        <v>155</v>
      </c>
      <c r="D560" s="3252">
        <v>0.18179999999999999</v>
      </c>
      <c r="E560" s="3245">
        <v>23.15</v>
      </c>
      <c r="F560" s="3245">
        <f t="shared" si="3"/>
        <v>4.21</v>
      </c>
      <c r="I560" s="1083"/>
      <c r="J560" s="1083"/>
      <c r="K560" s="1083"/>
      <c r="L560" s="1083"/>
      <c r="M560" s="1083"/>
      <c r="N560" s="1083"/>
      <c r="O560" s="1083"/>
      <c r="P560" s="1083"/>
      <c r="Q560" s="1083"/>
      <c r="R560" s="1083"/>
      <c r="S560" s="1083"/>
      <c r="T560" s="1083"/>
      <c r="U560" s="1083"/>
      <c r="V560" s="1083"/>
      <c r="W560" s="1083"/>
      <c r="X560" s="1083"/>
      <c r="Y560" s="1083"/>
      <c r="Z560" s="1083"/>
      <c r="AA560" s="1083"/>
      <c r="AB560" s="1083"/>
      <c r="AC560" s="1083"/>
      <c r="AD560" s="1083"/>
      <c r="AE560" s="1083"/>
    </row>
    <row r="561" spans="2:31">
      <c r="B561" s="3252" t="s">
        <v>198</v>
      </c>
      <c r="C561" s="3255" t="s">
        <v>148</v>
      </c>
      <c r="D561" s="3252">
        <v>2.3E-2</v>
      </c>
      <c r="E561" s="3245">
        <v>659</v>
      </c>
      <c r="F561" s="3245">
        <f t="shared" si="3"/>
        <v>15.16</v>
      </c>
      <c r="I561" s="1083"/>
      <c r="J561" s="1083"/>
      <c r="K561" s="1083"/>
      <c r="L561" s="1083"/>
      <c r="M561" s="1083"/>
      <c r="N561" s="1083"/>
      <c r="O561" s="1083"/>
      <c r="P561" s="1083"/>
      <c r="Q561" s="1083"/>
      <c r="R561" s="1083"/>
      <c r="S561" s="1083"/>
      <c r="T561" s="1083"/>
      <c r="U561" s="1083"/>
      <c r="V561" s="1083"/>
      <c r="W561" s="1083"/>
      <c r="X561" s="1083"/>
      <c r="Y561" s="1083"/>
      <c r="Z561" s="1083"/>
      <c r="AA561" s="1083"/>
      <c r="AB561" s="1083"/>
      <c r="AC561" s="1083"/>
      <c r="AD561" s="1083"/>
      <c r="AE561" s="1083"/>
    </row>
    <row r="562" spans="2:31">
      <c r="B562" s="3252" t="s">
        <v>199</v>
      </c>
      <c r="C562" s="3255" t="s">
        <v>2</v>
      </c>
      <c r="D562" s="3328">
        <v>0.01</v>
      </c>
      <c r="E562" s="3245">
        <v>659</v>
      </c>
      <c r="F562" s="3245">
        <f t="shared" si="3"/>
        <v>6.59</v>
      </c>
      <c r="I562" s="1083"/>
      <c r="J562" s="1083"/>
      <c r="K562" s="1083"/>
      <c r="L562" s="1083"/>
      <c r="M562" s="1083"/>
      <c r="N562" s="1083"/>
      <c r="O562" s="1083"/>
      <c r="P562" s="1083"/>
      <c r="Q562" s="1083"/>
      <c r="R562" s="1083"/>
      <c r="S562" s="1083"/>
      <c r="T562" s="1083"/>
      <c r="U562" s="1083"/>
      <c r="V562" s="1083"/>
      <c r="W562" s="1083"/>
      <c r="X562" s="1083"/>
      <c r="Y562" s="1083"/>
      <c r="Z562" s="1083"/>
      <c r="AA562" s="1083"/>
      <c r="AB562" s="1083"/>
      <c r="AC562" s="1083"/>
      <c r="AD562" s="1083"/>
      <c r="AE562" s="1083"/>
    </row>
    <row r="563" spans="2:31">
      <c r="B563" s="3252"/>
      <c r="C563" s="3260"/>
      <c r="D563" s="3328"/>
      <c r="E563" s="3262" t="s">
        <v>1031</v>
      </c>
      <c r="F563" s="3263">
        <f>SUM(F555:F562)</f>
        <v>833.75</v>
      </c>
      <c r="I563" s="1083"/>
      <c r="J563" s="1083"/>
      <c r="K563" s="1083"/>
      <c r="L563" s="1083"/>
      <c r="M563" s="1083"/>
      <c r="N563" s="1083"/>
      <c r="O563" s="1083"/>
      <c r="P563" s="1083"/>
      <c r="Q563" s="1083"/>
      <c r="R563" s="1083"/>
      <c r="S563" s="1083"/>
      <c r="T563" s="1083"/>
      <c r="U563" s="1083"/>
      <c r="V563" s="1083"/>
      <c r="W563" s="1083"/>
      <c r="X563" s="1083"/>
      <c r="Y563" s="1083"/>
      <c r="Z563" s="1083"/>
      <c r="AA563" s="1083"/>
      <c r="AB563" s="1083"/>
      <c r="AC563" s="1083"/>
      <c r="AD563" s="1083"/>
      <c r="AE563" s="1083"/>
    </row>
    <row r="564" spans="2:31">
      <c r="B564" s="1087"/>
      <c r="C564" s="1603"/>
      <c r="D564" s="1087"/>
      <c r="E564" s="1100"/>
      <c r="F564" s="1095"/>
      <c r="I564" s="1083"/>
      <c r="J564" s="1083"/>
      <c r="K564" s="1083"/>
      <c r="L564" s="1083"/>
      <c r="M564" s="1083"/>
      <c r="N564" s="1083"/>
      <c r="O564" s="1083"/>
      <c r="P564" s="1083"/>
      <c r="Q564" s="1083"/>
      <c r="R564" s="1083"/>
      <c r="S564" s="1083"/>
      <c r="T564" s="1083"/>
      <c r="U564" s="1083"/>
      <c r="V564" s="1083"/>
      <c r="W564" s="1083"/>
      <c r="X564" s="1083"/>
      <c r="Y564" s="1083"/>
      <c r="Z564" s="1083"/>
      <c r="AA564" s="1083"/>
      <c r="AB564" s="1083"/>
      <c r="AC564" s="1083"/>
      <c r="AD564" s="1083"/>
      <c r="AE564" s="1083"/>
    </row>
    <row r="565" spans="2:31">
      <c r="B565" s="1101" t="s">
        <v>1054</v>
      </c>
      <c r="C565" s="1603"/>
      <c r="D565" s="1114"/>
      <c r="E565" s="1100"/>
      <c r="F565" s="1095"/>
      <c r="I565" s="1083"/>
      <c r="J565" s="1083"/>
      <c r="K565" s="1083"/>
      <c r="L565" s="1083"/>
      <c r="M565" s="1083"/>
      <c r="N565" s="1083"/>
      <c r="O565" s="1083"/>
      <c r="P565" s="1083"/>
      <c r="Q565" s="1083"/>
      <c r="R565" s="1083"/>
      <c r="S565" s="1083"/>
      <c r="T565" s="1083"/>
      <c r="U565" s="1083"/>
      <c r="V565" s="1083"/>
      <c r="W565" s="1083"/>
      <c r="X565" s="1083"/>
      <c r="Y565" s="1083"/>
      <c r="Z565" s="1083"/>
      <c r="AA565" s="1083"/>
      <c r="AB565" s="1083"/>
      <c r="AC565" s="1083"/>
      <c r="AD565" s="1083"/>
      <c r="AE565" s="1083"/>
    </row>
    <row r="566" spans="2:31">
      <c r="B566" s="3252" t="s">
        <v>1055</v>
      </c>
      <c r="C566" s="3255" t="s">
        <v>3</v>
      </c>
      <c r="D566" s="3264">
        <v>13</v>
      </c>
      <c r="E566" s="3245">
        <v>60</v>
      </c>
      <c r="F566" s="3245">
        <f>E566*D566</f>
        <v>780</v>
      </c>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row>
    <row r="567" spans="2:31">
      <c r="B567" s="3252" t="s">
        <v>1056</v>
      </c>
      <c r="C567" s="3255" t="s">
        <v>3</v>
      </c>
      <c r="D567" s="3264">
        <v>13</v>
      </c>
      <c r="E567" s="3245">
        <v>20</v>
      </c>
      <c r="F567" s="3245">
        <f>E567*D567</f>
        <v>260</v>
      </c>
      <c r="I567" s="1083"/>
      <c r="J567" s="1083"/>
      <c r="K567" s="1083"/>
      <c r="L567" s="1083"/>
      <c r="M567" s="1083"/>
      <c r="N567" s="1083"/>
      <c r="O567" s="1083"/>
      <c r="P567" s="1083"/>
      <c r="Q567" s="1083"/>
      <c r="R567" s="1083"/>
      <c r="S567" s="1083"/>
      <c r="T567" s="1083"/>
      <c r="U567" s="1083"/>
      <c r="V567" s="1083"/>
      <c r="W567" s="1083"/>
      <c r="X567" s="1083"/>
      <c r="Y567" s="1083"/>
      <c r="Z567" s="1083"/>
      <c r="AA567" s="1083"/>
      <c r="AB567" s="1083"/>
      <c r="AC567" s="1083"/>
      <c r="AD567" s="1083"/>
      <c r="AE567" s="1083"/>
    </row>
    <row r="568" spans="2:31">
      <c r="B568" s="3252" t="s">
        <v>1057</v>
      </c>
      <c r="C568" s="3255" t="s">
        <v>2</v>
      </c>
      <c r="D568" s="3328">
        <v>8.6E-3</v>
      </c>
      <c r="E568" s="3245">
        <f>F76</f>
        <v>5653.39</v>
      </c>
      <c r="F568" s="3245">
        <f>E568*D568</f>
        <v>48.62</v>
      </c>
      <c r="I568" s="1083"/>
      <c r="J568" s="1083"/>
      <c r="K568" s="1083"/>
      <c r="L568" s="1083"/>
      <c r="M568" s="1083"/>
      <c r="N568" s="1083"/>
      <c r="O568" s="1083"/>
      <c r="P568" s="1083"/>
      <c r="Q568" s="1083"/>
      <c r="R568" s="1083"/>
      <c r="S568" s="1083"/>
      <c r="T568" s="1083"/>
      <c r="U568" s="1083"/>
      <c r="V568" s="1083"/>
      <c r="W568" s="1083"/>
      <c r="X568" s="1083"/>
      <c r="Y568" s="1083"/>
      <c r="Z568" s="1083"/>
      <c r="AA568" s="1083"/>
      <c r="AB568" s="1083"/>
      <c r="AC568" s="1083"/>
      <c r="AD568" s="1083"/>
      <c r="AE568" s="1083"/>
    </row>
    <row r="569" spans="2:31">
      <c r="B569" s="3252" t="s">
        <v>1058</v>
      </c>
      <c r="C569" s="3255" t="s">
        <v>3</v>
      </c>
      <c r="D569" s="3264">
        <v>0.13</v>
      </c>
      <c r="E569" s="3245">
        <v>60</v>
      </c>
      <c r="F569" s="3245">
        <f>E569*D569</f>
        <v>7.8</v>
      </c>
      <c r="I569" s="1083"/>
      <c r="J569" s="1083"/>
      <c r="K569" s="1083"/>
      <c r="L569" s="1083"/>
      <c r="M569" s="1083"/>
      <c r="N569" s="1083"/>
      <c r="O569" s="1083"/>
      <c r="P569" s="1083"/>
      <c r="Q569" s="1083"/>
      <c r="R569" s="1083"/>
      <c r="S569" s="1083"/>
      <c r="T569" s="1083"/>
      <c r="U569" s="1083"/>
      <c r="V569" s="1083"/>
      <c r="W569" s="1083"/>
      <c r="X569" s="1083"/>
      <c r="Y569" s="1083"/>
      <c r="Z569" s="1083"/>
      <c r="AA569" s="1083"/>
      <c r="AB569" s="1083"/>
      <c r="AC569" s="1083"/>
      <c r="AD569" s="1083"/>
      <c r="AE569" s="1083"/>
    </row>
    <row r="570" spans="2:31">
      <c r="B570" s="3252"/>
      <c r="C570" s="3260"/>
      <c r="D570" s="3328"/>
      <c r="E570" s="3262" t="s">
        <v>1031</v>
      </c>
      <c r="F570" s="3263">
        <f>SUM(F566:F569)</f>
        <v>1096.42</v>
      </c>
      <c r="I570" s="1083"/>
      <c r="J570" s="1083"/>
      <c r="K570" s="1083"/>
      <c r="L570" s="1083"/>
      <c r="M570" s="1083"/>
      <c r="N570" s="1083"/>
      <c r="O570" s="1083"/>
      <c r="P570" s="1083"/>
      <c r="Q570" s="1083"/>
      <c r="R570" s="1083"/>
      <c r="S570" s="1083"/>
      <c r="T570" s="1083"/>
      <c r="U570" s="1083"/>
      <c r="V570" s="1083"/>
      <c r="W570" s="1083"/>
      <c r="X570" s="1083"/>
      <c r="Y570" s="1083"/>
      <c r="Z570" s="1083"/>
      <c r="AA570" s="1083"/>
      <c r="AB570" s="1083"/>
      <c r="AC570" s="1083"/>
      <c r="AD570" s="1083"/>
      <c r="AE570" s="1083"/>
    </row>
    <row r="571" spans="2:31">
      <c r="B571" s="1087"/>
      <c r="C571" s="1603"/>
      <c r="D571" s="1114"/>
      <c r="E571" s="1100"/>
      <c r="F571" s="1095"/>
      <c r="I571" s="1083"/>
      <c r="J571" s="1083"/>
      <c r="K571" s="1083"/>
      <c r="L571" s="1083"/>
      <c r="M571" s="1083"/>
      <c r="N571" s="1083"/>
      <c r="O571" s="1083"/>
      <c r="P571" s="1083"/>
      <c r="Q571" s="1083"/>
      <c r="R571" s="1083"/>
      <c r="S571" s="1083"/>
      <c r="T571" s="1083"/>
      <c r="U571" s="1083"/>
      <c r="V571" s="1083"/>
      <c r="W571" s="1083"/>
      <c r="X571" s="1083"/>
      <c r="Y571" s="1083"/>
      <c r="Z571" s="1083"/>
      <c r="AA571" s="1083"/>
      <c r="AB571" s="1083"/>
      <c r="AC571" s="1083"/>
      <c r="AD571" s="1083"/>
      <c r="AE571" s="1083"/>
    </row>
    <row r="572" spans="2:31">
      <c r="B572" s="1101" t="s">
        <v>1063</v>
      </c>
      <c r="C572" s="1603"/>
      <c r="D572" s="1087"/>
      <c r="E572" s="1100"/>
      <c r="F572" s="1095"/>
      <c r="I572" s="1083"/>
      <c r="J572" s="1083"/>
      <c r="K572" s="1083"/>
      <c r="L572" s="1083"/>
      <c r="M572" s="1083"/>
      <c r="N572" s="1083"/>
      <c r="O572" s="1083"/>
      <c r="P572" s="1083"/>
      <c r="Q572" s="1083"/>
      <c r="R572" s="1083"/>
      <c r="S572" s="1083"/>
      <c r="T572" s="1083"/>
      <c r="U572" s="1083"/>
      <c r="V572" s="1083"/>
      <c r="W572" s="1083"/>
      <c r="X572" s="1083"/>
      <c r="Y572" s="1083"/>
      <c r="Z572" s="1083"/>
      <c r="AA572" s="1083"/>
      <c r="AB572" s="1083"/>
      <c r="AC572" s="1083"/>
      <c r="AD572" s="1083"/>
      <c r="AE572" s="1083"/>
    </row>
    <row r="573" spans="2:31">
      <c r="B573" s="3252" t="s">
        <v>1064</v>
      </c>
      <c r="C573" s="3255" t="s">
        <v>2</v>
      </c>
      <c r="D573" s="3264">
        <v>0.08</v>
      </c>
      <c r="E573" s="3245">
        <f>F540</f>
        <v>4287.33</v>
      </c>
      <c r="F573" s="3245">
        <f t="shared" ref="F573:F578" si="4">E573*D573</f>
        <v>342.99</v>
      </c>
      <c r="I573" s="1083"/>
      <c r="J573" s="1083"/>
      <c r="K573" s="1083"/>
      <c r="L573" s="1083"/>
      <c r="M573" s="1083"/>
      <c r="N573" s="1083"/>
      <c r="O573" s="1083"/>
      <c r="P573" s="1083"/>
      <c r="Q573" s="1083"/>
      <c r="R573" s="1083"/>
      <c r="S573" s="1083"/>
      <c r="T573" s="1083"/>
      <c r="U573" s="1083"/>
      <c r="V573" s="1083"/>
      <c r="W573" s="1083"/>
      <c r="X573" s="1083"/>
      <c r="Y573" s="1083"/>
      <c r="Z573" s="1083"/>
      <c r="AA573" s="1083"/>
      <c r="AB573" s="1083"/>
      <c r="AC573" s="1083"/>
      <c r="AD573" s="1083"/>
      <c r="AE573" s="1083"/>
    </row>
    <row r="574" spans="2:31">
      <c r="B574" s="3252" t="s">
        <v>1065</v>
      </c>
      <c r="C574" s="3255" t="s">
        <v>2</v>
      </c>
      <c r="D574" s="3252">
        <v>2.1999999999999999E-2</v>
      </c>
      <c r="E574" s="3245">
        <f>F76</f>
        <v>5653.39</v>
      </c>
      <c r="F574" s="3245">
        <f t="shared" si="4"/>
        <v>124.37</v>
      </c>
      <c r="I574" s="1083"/>
      <c r="J574" s="1083"/>
      <c r="K574" s="1083"/>
      <c r="L574" s="1083"/>
      <c r="M574" s="1083"/>
      <c r="N574" s="1083"/>
      <c r="O574" s="1083"/>
      <c r="P574" s="1083"/>
      <c r="Q574" s="1083"/>
      <c r="R574" s="1083"/>
      <c r="S574" s="1083"/>
      <c r="T574" s="1083"/>
      <c r="U574" s="1083"/>
      <c r="V574" s="1083"/>
      <c r="W574" s="1083"/>
      <c r="X574" s="1083"/>
      <c r="Y574" s="1083"/>
      <c r="Z574" s="1083"/>
      <c r="AA574" s="1083"/>
      <c r="AB574" s="1083"/>
      <c r="AC574" s="1083"/>
      <c r="AD574" s="1083"/>
      <c r="AE574" s="1083"/>
    </row>
    <row r="575" spans="2:31">
      <c r="B575" s="3252" t="s">
        <v>154</v>
      </c>
      <c r="C575" s="3255" t="s">
        <v>155</v>
      </c>
      <c r="D575" s="3252">
        <v>8.7999999999999995E-2</v>
      </c>
      <c r="E575" s="3245">
        <v>45</v>
      </c>
      <c r="F575" s="3245">
        <f t="shared" si="4"/>
        <v>3.96</v>
      </c>
      <c r="I575" s="1083"/>
      <c r="J575" s="1083"/>
      <c r="K575" s="1083"/>
      <c r="L575" s="1083"/>
      <c r="M575" s="1083"/>
      <c r="N575" s="1083"/>
      <c r="O575" s="1083"/>
      <c r="P575" s="1083"/>
      <c r="Q575" s="1083"/>
      <c r="R575" s="1083"/>
      <c r="S575" s="1083"/>
      <c r="T575" s="1083"/>
      <c r="U575" s="1083"/>
      <c r="V575" s="1083"/>
      <c r="W575" s="1083"/>
      <c r="X575" s="1083"/>
      <c r="Y575" s="1083"/>
      <c r="Z575" s="1083"/>
      <c r="AA575" s="1083"/>
      <c r="AB575" s="1083"/>
      <c r="AC575" s="1083"/>
      <c r="AD575" s="1083"/>
      <c r="AE575" s="1083"/>
    </row>
    <row r="576" spans="2:31">
      <c r="B576" s="3252" t="s">
        <v>1066</v>
      </c>
      <c r="C576" s="3255" t="s">
        <v>11</v>
      </c>
      <c r="D576" s="3264">
        <v>1</v>
      </c>
      <c r="E576" s="3245">
        <v>70</v>
      </c>
      <c r="F576" s="3245">
        <f t="shared" si="4"/>
        <v>70</v>
      </c>
      <c r="I576" s="1083"/>
      <c r="J576" s="1083"/>
      <c r="K576" s="1083"/>
      <c r="L576" s="1083"/>
      <c r="M576" s="1083"/>
      <c r="N576" s="1083"/>
      <c r="O576" s="1083"/>
      <c r="P576" s="1083"/>
      <c r="Q576" s="1083"/>
      <c r="R576" s="1083"/>
      <c r="S576" s="1083"/>
      <c r="T576" s="1083"/>
      <c r="U576" s="1083"/>
      <c r="V576" s="1083"/>
      <c r="W576" s="1083"/>
      <c r="X576" s="1083"/>
      <c r="Y576" s="1083"/>
      <c r="Z576" s="1083"/>
      <c r="AA576" s="1083"/>
      <c r="AB576" s="1083"/>
      <c r="AC576" s="1083"/>
      <c r="AD576" s="1083"/>
      <c r="AE576" s="1083"/>
    </row>
    <row r="577" spans="2:31">
      <c r="B577" s="3252" t="s">
        <v>1062</v>
      </c>
      <c r="C577" s="3255" t="s">
        <v>1</v>
      </c>
      <c r="D577" s="3264">
        <v>0.8</v>
      </c>
      <c r="E577" s="3245">
        <f>F267</f>
        <v>82.22</v>
      </c>
      <c r="F577" s="3245">
        <f t="shared" si="4"/>
        <v>65.78</v>
      </c>
      <c r="I577" s="1083"/>
      <c r="J577" s="1083"/>
      <c r="K577" s="1083"/>
      <c r="L577" s="1083"/>
      <c r="M577" s="1083"/>
      <c r="N577" s="1083"/>
      <c r="O577" s="1083"/>
      <c r="P577" s="1083"/>
      <c r="Q577" s="1083"/>
      <c r="R577" s="1083"/>
      <c r="S577" s="1083"/>
      <c r="T577" s="1083"/>
      <c r="U577" s="1083"/>
      <c r="V577" s="1083"/>
      <c r="W577" s="1083"/>
      <c r="X577" s="1083"/>
      <c r="Y577" s="1083"/>
      <c r="Z577" s="1083"/>
      <c r="AA577" s="1083"/>
      <c r="AB577" s="1083"/>
      <c r="AC577" s="1083"/>
      <c r="AD577" s="1083"/>
      <c r="AE577" s="1083"/>
    </row>
    <row r="578" spans="2:31">
      <c r="B578" s="3252" t="s">
        <v>1067</v>
      </c>
      <c r="C578" s="3311" t="s">
        <v>1026</v>
      </c>
      <c r="D578" s="3252">
        <v>0.04</v>
      </c>
      <c r="E578" s="3245">
        <f>F4</f>
        <v>325</v>
      </c>
      <c r="F578" s="3245">
        <f t="shared" si="4"/>
        <v>13</v>
      </c>
      <c r="I578" s="1083"/>
      <c r="J578" s="1083"/>
      <c r="K578" s="1083"/>
      <c r="L578" s="1083"/>
      <c r="M578" s="1083"/>
      <c r="N578" s="1083"/>
      <c r="O578" s="1083"/>
      <c r="P578" s="1083"/>
      <c r="Q578" s="1083"/>
      <c r="R578" s="1083"/>
      <c r="S578" s="1083"/>
      <c r="T578" s="1083"/>
      <c r="U578" s="1083"/>
      <c r="V578" s="1083"/>
      <c r="W578" s="1083"/>
      <c r="X578" s="1083"/>
      <c r="Y578" s="1083"/>
      <c r="Z578" s="1083"/>
      <c r="AA578" s="1083"/>
      <c r="AB578" s="1083"/>
      <c r="AC578" s="1083"/>
      <c r="AD578" s="1083"/>
      <c r="AE578" s="1083"/>
    </row>
    <row r="579" spans="2:31">
      <c r="B579" s="3252"/>
      <c r="C579" s="3260"/>
      <c r="D579" s="3252"/>
      <c r="E579" s="3262" t="s">
        <v>1031</v>
      </c>
      <c r="F579" s="3273">
        <f>SUM(F573:F578)</f>
        <v>620.1</v>
      </c>
      <c r="I579" s="1083"/>
      <c r="J579" s="1083"/>
      <c r="K579" s="1083"/>
      <c r="L579" s="1083"/>
      <c r="M579" s="1083"/>
      <c r="N579" s="1083"/>
      <c r="O579" s="1083"/>
      <c r="P579" s="1083"/>
      <c r="Q579" s="1083"/>
      <c r="R579" s="1083"/>
      <c r="S579" s="1083"/>
      <c r="T579" s="1083"/>
      <c r="U579" s="1083"/>
      <c r="V579" s="1083"/>
      <c r="W579" s="1083"/>
      <c r="X579" s="1083"/>
      <c r="Y579" s="1083"/>
      <c r="Z579" s="1083"/>
      <c r="AA579" s="1083"/>
      <c r="AB579" s="1083"/>
      <c r="AC579" s="1083"/>
      <c r="AD579" s="1083"/>
      <c r="AE579" s="1083"/>
    </row>
    <row r="580" spans="2:31">
      <c r="B580" s="1087"/>
      <c r="C580" s="1608"/>
      <c r="D580" s="1087"/>
      <c r="E580" s="1094"/>
      <c r="F580" s="1115"/>
      <c r="I580" s="1083"/>
      <c r="J580" s="1083"/>
      <c r="K580" s="1083"/>
      <c r="L580" s="1083"/>
      <c r="M580" s="1083"/>
      <c r="N580" s="1083"/>
      <c r="O580" s="1083"/>
      <c r="P580" s="1083"/>
      <c r="Q580" s="1083"/>
      <c r="R580" s="1083"/>
      <c r="S580" s="1083"/>
      <c r="T580" s="1083"/>
      <c r="U580" s="1083"/>
      <c r="V580" s="1083"/>
      <c r="W580" s="1083"/>
      <c r="X580" s="1083"/>
      <c r="Y580" s="1083"/>
      <c r="Z580" s="1083"/>
      <c r="AA580" s="1083"/>
      <c r="AB580" s="1083"/>
      <c r="AC580" s="1083"/>
      <c r="AD580" s="1083"/>
      <c r="AE580" s="1083"/>
    </row>
    <row r="581" spans="2:31">
      <c r="B581" s="1101" t="s">
        <v>1068</v>
      </c>
      <c r="C581" s="1603"/>
      <c r="D581" s="1087"/>
      <c r="E581" s="1087"/>
      <c r="F581" s="1087"/>
      <c r="I581" s="1083"/>
      <c r="J581" s="1083"/>
      <c r="K581" s="1083"/>
      <c r="L581" s="1083"/>
      <c r="M581" s="1083"/>
      <c r="N581" s="1083"/>
      <c r="O581" s="1083"/>
      <c r="P581" s="1083"/>
      <c r="Q581" s="1083"/>
      <c r="R581" s="1083"/>
      <c r="S581" s="1083"/>
      <c r="T581" s="1083"/>
      <c r="U581" s="1083"/>
      <c r="V581" s="1083"/>
      <c r="W581" s="1083"/>
      <c r="X581" s="1083"/>
      <c r="Y581" s="1083"/>
      <c r="Z581" s="1083"/>
      <c r="AA581" s="1083"/>
      <c r="AB581" s="1083"/>
      <c r="AC581" s="1083"/>
      <c r="AD581" s="1083"/>
      <c r="AE581" s="1083"/>
    </row>
    <row r="582" spans="2:31">
      <c r="B582" s="3252" t="s">
        <v>1069</v>
      </c>
      <c r="C582" s="3255" t="s">
        <v>2</v>
      </c>
      <c r="D582" s="3264">
        <v>0.8</v>
      </c>
      <c r="E582" s="3245">
        <f>F56</f>
        <v>4782.66</v>
      </c>
      <c r="F582" s="3245">
        <f>E582*D582</f>
        <v>3826.13</v>
      </c>
      <c r="I582" s="1083"/>
      <c r="J582" s="1083"/>
      <c r="K582" s="1083"/>
      <c r="L582" s="1083"/>
      <c r="M582" s="1083"/>
      <c r="N582" s="1083"/>
      <c r="O582" s="1083"/>
      <c r="P582" s="1083"/>
      <c r="Q582" s="1083"/>
      <c r="R582" s="1083"/>
      <c r="S582" s="1083"/>
      <c r="T582" s="1083"/>
      <c r="U582" s="1083"/>
      <c r="V582" s="1083"/>
      <c r="W582" s="1083"/>
      <c r="X582" s="1083"/>
      <c r="Y582" s="1083"/>
      <c r="Z582" s="1083"/>
      <c r="AA582" s="1083"/>
      <c r="AB582" s="1083"/>
      <c r="AC582" s="1083"/>
      <c r="AD582" s="1083"/>
      <c r="AE582" s="1083"/>
    </row>
    <row r="583" spans="2:31">
      <c r="B583" s="3252" t="s">
        <v>1070</v>
      </c>
      <c r="C583" s="3255" t="s">
        <v>2</v>
      </c>
      <c r="D583" s="3252">
        <v>0.45</v>
      </c>
      <c r="E583" s="3245">
        <v>750</v>
      </c>
      <c r="F583" s="3245">
        <f>E583*D583</f>
        <v>337.5</v>
      </c>
      <c r="I583" s="1083"/>
      <c r="J583" s="1083"/>
      <c r="K583" s="1083"/>
      <c r="L583" s="1083"/>
      <c r="M583" s="1083"/>
      <c r="N583" s="1083"/>
      <c r="O583" s="1083"/>
      <c r="P583" s="1083"/>
      <c r="Q583" s="1083"/>
      <c r="R583" s="1083"/>
      <c r="S583" s="1083"/>
      <c r="T583" s="1083"/>
      <c r="U583" s="1083"/>
      <c r="V583" s="1083"/>
      <c r="W583" s="1083"/>
      <c r="X583" s="1083"/>
      <c r="Y583" s="1083"/>
      <c r="Z583" s="1083"/>
      <c r="AA583" s="1083"/>
      <c r="AB583" s="1083"/>
      <c r="AC583" s="1083"/>
      <c r="AD583" s="1083"/>
      <c r="AE583" s="1083"/>
    </row>
    <row r="584" spans="2:31">
      <c r="B584" s="3252" t="s">
        <v>41</v>
      </c>
      <c r="C584" s="3255" t="s">
        <v>2</v>
      </c>
      <c r="D584" s="3264">
        <v>1</v>
      </c>
      <c r="E584" s="3245">
        <v>659</v>
      </c>
      <c r="F584" s="3245">
        <f>E584*D584</f>
        <v>659</v>
      </c>
      <c r="I584" s="1083"/>
      <c r="J584" s="1083"/>
      <c r="K584" s="1083"/>
      <c r="L584" s="1083"/>
      <c r="M584" s="1083"/>
      <c r="N584" s="1083"/>
      <c r="O584" s="1083"/>
      <c r="P584" s="1083"/>
      <c r="Q584" s="1083"/>
      <c r="R584" s="1083"/>
      <c r="S584" s="1083"/>
      <c r="T584" s="1083"/>
      <c r="U584" s="1083"/>
      <c r="V584" s="1083"/>
      <c r="W584" s="1083"/>
      <c r="X584" s="1083"/>
      <c r="Y584" s="1083"/>
      <c r="Z584" s="1083"/>
      <c r="AA584" s="1083"/>
      <c r="AB584" s="1083"/>
      <c r="AC584" s="1083"/>
      <c r="AD584" s="1083"/>
      <c r="AE584" s="1083"/>
    </row>
    <row r="585" spans="2:31">
      <c r="B585" s="3252"/>
      <c r="C585" s="3260"/>
      <c r="D585" s="3252"/>
      <c r="E585" s="3254"/>
      <c r="F585" s="3273">
        <f>SUM(F582:F584)</f>
        <v>4822.63</v>
      </c>
      <c r="I585" s="1083"/>
      <c r="J585" s="1083"/>
      <c r="K585" s="1083"/>
      <c r="L585" s="1083"/>
      <c r="M585" s="1083"/>
      <c r="N585" s="1083"/>
      <c r="O585" s="1083"/>
      <c r="P585" s="1083"/>
      <c r="Q585" s="1083"/>
      <c r="R585" s="1083"/>
      <c r="S585" s="1083"/>
      <c r="T585" s="1083"/>
      <c r="U585" s="1083"/>
      <c r="V585" s="1083"/>
      <c r="W585" s="1083"/>
      <c r="X585" s="1083"/>
      <c r="Y585" s="1083"/>
      <c r="Z585" s="1083"/>
      <c r="AA585" s="1083"/>
      <c r="AB585" s="1083"/>
      <c r="AC585" s="1083"/>
      <c r="AD585" s="1083"/>
      <c r="AE585" s="1083"/>
    </row>
    <row r="586" spans="2:31">
      <c r="B586" s="1087"/>
      <c r="C586" s="1608"/>
      <c r="D586" s="1087"/>
      <c r="E586" s="1094"/>
      <c r="F586" s="1115"/>
      <c r="I586" s="1083"/>
      <c r="J586" s="1083"/>
      <c r="K586" s="1083"/>
      <c r="L586" s="1083"/>
      <c r="M586" s="1083"/>
      <c r="N586" s="1083"/>
      <c r="O586" s="1083"/>
      <c r="P586" s="1083"/>
      <c r="Q586" s="1083"/>
      <c r="R586" s="1083"/>
      <c r="S586" s="1083"/>
      <c r="T586" s="1083"/>
      <c r="U586" s="1083"/>
      <c r="V586" s="1083"/>
      <c r="W586" s="1083"/>
      <c r="X586" s="1083"/>
      <c r="Y586" s="1083"/>
      <c r="Z586" s="1083"/>
      <c r="AA586" s="1083"/>
      <c r="AB586" s="1083"/>
      <c r="AC586" s="1083"/>
      <c r="AD586" s="1083"/>
      <c r="AE586" s="1083"/>
    </row>
    <row r="587" spans="2:31">
      <c r="B587" s="1117" t="s">
        <v>1072</v>
      </c>
      <c r="C587" s="1619"/>
      <c r="D587" s="1118"/>
      <c r="E587" s="1118"/>
      <c r="F587" s="1118"/>
      <c r="I587" s="1083"/>
      <c r="J587" s="1083"/>
      <c r="K587" s="1083"/>
      <c r="L587" s="1083"/>
      <c r="M587" s="1083"/>
      <c r="N587" s="1083"/>
      <c r="O587" s="1083"/>
      <c r="P587" s="1083"/>
      <c r="Q587" s="1083"/>
      <c r="R587" s="1083"/>
      <c r="S587" s="1083"/>
      <c r="T587" s="1083"/>
      <c r="U587" s="1083"/>
      <c r="V587" s="1083"/>
      <c r="W587" s="1083"/>
      <c r="X587" s="1083"/>
      <c r="Y587" s="1083"/>
      <c r="Z587" s="1083"/>
      <c r="AA587" s="1083"/>
      <c r="AB587" s="1083"/>
      <c r="AC587" s="1083"/>
      <c r="AD587" s="1083"/>
      <c r="AE587" s="1083"/>
    </row>
    <row r="588" spans="2:31">
      <c r="B588" s="3329" t="s">
        <v>1073</v>
      </c>
      <c r="C588" s="3330" t="s">
        <v>1074</v>
      </c>
      <c r="D588" s="3331">
        <v>0.08</v>
      </c>
      <c r="E588" s="3245">
        <v>890</v>
      </c>
      <c r="F588" s="3245">
        <f>E588*D588</f>
        <v>71.2</v>
      </c>
      <c r="I588" s="1083"/>
      <c r="J588" s="1083"/>
      <c r="K588" s="1083"/>
      <c r="L588" s="1083"/>
      <c r="M588" s="1083"/>
      <c r="N588" s="1083"/>
      <c r="O588" s="1083"/>
      <c r="P588" s="1083"/>
      <c r="Q588" s="1083"/>
      <c r="R588" s="1083"/>
      <c r="S588" s="1083"/>
      <c r="T588" s="1083"/>
      <c r="U588" s="1083"/>
      <c r="V588" s="1083"/>
      <c r="W588" s="1083"/>
      <c r="X588" s="1083"/>
      <c r="Y588" s="1083"/>
      <c r="Z588" s="1083"/>
      <c r="AA588" s="1083"/>
      <c r="AB588" s="1083"/>
      <c r="AC588" s="1083"/>
      <c r="AD588" s="1083"/>
      <c r="AE588" s="1083"/>
    </row>
    <row r="589" spans="2:31">
      <c r="B589" s="3329" t="s">
        <v>1075</v>
      </c>
      <c r="C589" s="3330" t="s">
        <v>118</v>
      </c>
      <c r="D589" s="3331">
        <v>0.02</v>
      </c>
      <c r="E589" s="3245">
        <v>350</v>
      </c>
      <c r="F589" s="3245">
        <f>E589*D589</f>
        <v>7</v>
      </c>
      <c r="I589" s="1083"/>
      <c r="J589" s="1083"/>
      <c r="K589" s="1083"/>
      <c r="L589" s="1083"/>
      <c r="M589" s="1083"/>
      <c r="N589" s="1083"/>
      <c r="O589" s="1083"/>
      <c r="P589" s="1083"/>
      <c r="Q589" s="1083"/>
      <c r="R589" s="1083"/>
      <c r="S589" s="1083"/>
      <c r="T589" s="1083"/>
      <c r="U589" s="1083"/>
      <c r="V589" s="1083"/>
      <c r="W589" s="1083"/>
      <c r="X589" s="1083"/>
      <c r="Y589" s="1083"/>
      <c r="Z589" s="1083"/>
      <c r="AA589" s="1083"/>
      <c r="AB589" s="1083"/>
      <c r="AC589" s="1083"/>
      <c r="AD589" s="1083"/>
      <c r="AE589" s="1083"/>
    </row>
    <row r="590" spans="2:31">
      <c r="B590" s="3329" t="s">
        <v>1076</v>
      </c>
      <c r="C590" s="3330" t="s">
        <v>11</v>
      </c>
      <c r="D590" s="3331">
        <v>1</v>
      </c>
      <c r="E590" s="3245">
        <v>55</v>
      </c>
      <c r="F590" s="3245">
        <f>E590*D590</f>
        <v>55</v>
      </c>
      <c r="I590" s="1083"/>
      <c r="J590" s="1083"/>
      <c r="K590" s="1083"/>
      <c r="L590" s="1083"/>
      <c r="M590" s="1083"/>
      <c r="N590" s="1083"/>
      <c r="O590" s="1083"/>
      <c r="P590" s="1083"/>
      <c r="Q590" s="1083"/>
      <c r="R590" s="1083"/>
      <c r="S590" s="1083"/>
      <c r="T590" s="1083"/>
      <c r="U590" s="1083"/>
      <c r="V590" s="1083"/>
      <c r="W590" s="1083"/>
      <c r="X590" s="1083"/>
      <c r="Y590" s="1083"/>
      <c r="Z590" s="1083"/>
      <c r="AA590" s="1083"/>
      <c r="AB590" s="1083"/>
      <c r="AC590" s="1083"/>
      <c r="AD590" s="1083"/>
      <c r="AE590" s="1083"/>
    </row>
    <row r="591" spans="2:31">
      <c r="B591" s="1916" t="s">
        <v>1077</v>
      </c>
      <c r="C591" s="3330" t="s">
        <v>3</v>
      </c>
      <c r="D591" s="1916">
        <v>1</v>
      </c>
      <c r="E591" s="3248">
        <f>SUM(F588:F589)*0.15</f>
        <v>11.73</v>
      </c>
      <c r="F591" s="3248">
        <f>E591*D591</f>
        <v>11.73</v>
      </c>
      <c r="I591" s="1083"/>
      <c r="J591" s="1083"/>
      <c r="K591" s="1083"/>
      <c r="L591" s="1083"/>
      <c r="M591" s="1083"/>
      <c r="N591" s="1083"/>
      <c r="O591" s="1083"/>
      <c r="P591" s="1083"/>
      <c r="Q591" s="1083"/>
      <c r="R591" s="1083"/>
      <c r="S591" s="1083"/>
      <c r="T591" s="1083"/>
      <c r="U591" s="1083"/>
      <c r="V591" s="1083"/>
      <c r="W591" s="1083"/>
      <c r="X591" s="1083"/>
      <c r="Y591" s="1083"/>
      <c r="Z591" s="1083"/>
      <c r="AA591" s="1083"/>
      <c r="AB591" s="1083"/>
      <c r="AC591" s="1083"/>
      <c r="AD591" s="1083"/>
      <c r="AE591" s="1083"/>
    </row>
    <row r="592" spans="2:31">
      <c r="B592" s="3329" t="s">
        <v>1078</v>
      </c>
      <c r="C592" s="3332"/>
      <c r="D592" s="3333"/>
      <c r="E592" s="3334" t="s">
        <v>1031</v>
      </c>
      <c r="F592" s="3334">
        <f>ROUND(SUM(F588:F591),2)</f>
        <v>144.93</v>
      </c>
      <c r="I592" s="1083"/>
      <c r="J592" s="1083"/>
      <c r="K592" s="1083"/>
      <c r="L592" s="1083"/>
      <c r="M592" s="1083"/>
      <c r="N592" s="1083"/>
      <c r="O592" s="1083"/>
      <c r="P592" s="1083"/>
      <c r="Q592" s="1083"/>
      <c r="R592" s="1083"/>
      <c r="S592" s="1083"/>
      <c r="T592" s="1083"/>
      <c r="U592" s="1083"/>
      <c r="V592" s="1083"/>
      <c r="W592" s="1083"/>
      <c r="X592" s="1083"/>
      <c r="Y592" s="1083"/>
      <c r="Z592" s="1083"/>
      <c r="AA592" s="1083"/>
      <c r="AB592" s="1083"/>
      <c r="AC592" s="1083"/>
      <c r="AD592" s="1083"/>
      <c r="AE592" s="1083"/>
    </row>
    <row r="593" spans="2:31">
      <c r="B593" s="1101"/>
      <c r="C593" s="1119"/>
      <c r="D593" s="1120"/>
      <c r="E593" s="1121"/>
      <c r="F593" s="1122"/>
      <c r="I593" s="1083"/>
      <c r="J593" s="1083"/>
      <c r="K593" s="1083"/>
      <c r="L593" s="1083"/>
      <c r="M593" s="1083"/>
      <c r="N593" s="1083"/>
      <c r="O593" s="1083"/>
      <c r="P593" s="1083"/>
      <c r="Q593" s="1083"/>
      <c r="R593" s="1083"/>
      <c r="S593" s="1083"/>
      <c r="T593" s="1083"/>
      <c r="U593" s="1083"/>
      <c r="V593" s="1083"/>
      <c r="W593" s="1083"/>
      <c r="X593" s="1083"/>
      <c r="Y593" s="1083"/>
      <c r="Z593" s="1083"/>
      <c r="AA593" s="1083"/>
      <c r="AB593" s="1083"/>
      <c r="AC593" s="1083"/>
      <c r="AD593" s="1083"/>
      <c r="AE593" s="1083"/>
    </row>
    <row r="594" spans="2:31">
      <c r="B594" s="1117" t="s">
        <v>1079</v>
      </c>
      <c r="C594" s="1619"/>
      <c r="D594" s="1118"/>
      <c r="E594" s="1118"/>
      <c r="F594" s="1118"/>
      <c r="I594" s="1083"/>
      <c r="J594" s="1083"/>
      <c r="K594" s="1083"/>
      <c r="L594" s="1083"/>
      <c r="M594" s="1083"/>
      <c r="N594" s="1083"/>
      <c r="O594" s="1083"/>
      <c r="P594" s="1083"/>
      <c r="Q594" s="1083"/>
      <c r="R594" s="1083"/>
      <c r="S594" s="1083"/>
      <c r="T594" s="1083"/>
      <c r="U594" s="1083"/>
      <c r="V594" s="1083"/>
      <c r="W594" s="1083"/>
      <c r="X594" s="1083"/>
      <c r="Y594" s="1083"/>
      <c r="Z594" s="1083"/>
      <c r="AA594" s="1083"/>
      <c r="AB594" s="1083"/>
      <c r="AC594" s="1083"/>
      <c r="AD594" s="1083"/>
      <c r="AE594" s="1083"/>
    </row>
    <row r="595" spans="2:31">
      <c r="B595" s="1916" t="s">
        <v>1080</v>
      </c>
      <c r="C595" s="3330" t="s">
        <v>118</v>
      </c>
      <c r="D595" s="3331">
        <v>1</v>
      </c>
      <c r="E595" s="3248">
        <f>6914/5</f>
        <v>1382.8</v>
      </c>
      <c r="F595" s="3248">
        <f>E595*D595</f>
        <v>1382.8</v>
      </c>
      <c r="I595" s="1083"/>
      <c r="J595" s="1083"/>
      <c r="K595" s="1083"/>
      <c r="L595" s="1083"/>
      <c r="M595" s="1083"/>
      <c r="N595" s="1083"/>
      <c r="O595" s="1083"/>
      <c r="P595" s="1083"/>
      <c r="Q595" s="1083"/>
      <c r="R595" s="1083"/>
      <c r="S595" s="1083"/>
      <c r="T595" s="1083"/>
      <c r="U595" s="1083"/>
      <c r="V595" s="1083"/>
      <c r="W595" s="1083"/>
      <c r="X595" s="1083"/>
      <c r="Y595" s="1083"/>
      <c r="Z595" s="1083"/>
      <c r="AA595" s="1083"/>
      <c r="AB595" s="1083"/>
      <c r="AC595" s="1083"/>
      <c r="AD595" s="1083"/>
      <c r="AE595" s="1083"/>
    </row>
    <row r="596" spans="2:31">
      <c r="B596" s="3329" t="s">
        <v>1076</v>
      </c>
      <c r="C596" s="3330" t="s">
        <v>11</v>
      </c>
      <c r="D596" s="3331">
        <v>25</v>
      </c>
      <c r="E596" s="3248">
        <v>55</v>
      </c>
      <c r="F596" s="3248">
        <f>E596*D596</f>
        <v>1375</v>
      </c>
      <c r="G596" s="1123">
        <f>E596/2</f>
        <v>27.5</v>
      </c>
      <c r="I596" s="1083"/>
      <c r="J596" s="1083"/>
      <c r="K596" s="1083"/>
      <c r="L596" s="1083"/>
      <c r="M596" s="1083"/>
      <c r="N596" s="1083"/>
      <c r="O596" s="1083"/>
      <c r="P596" s="1083"/>
      <c r="Q596" s="1083"/>
      <c r="R596" s="1083"/>
      <c r="S596" s="1083"/>
      <c r="T596" s="1083"/>
      <c r="U596" s="1083"/>
      <c r="V596" s="1083"/>
      <c r="W596" s="1083"/>
      <c r="X596" s="1083"/>
      <c r="Y596" s="1083"/>
      <c r="Z596" s="1083"/>
      <c r="AA596" s="1083"/>
      <c r="AB596" s="1083"/>
      <c r="AC596" s="1083"/>
      <c r="AD596" s="1083"/>
      <c r="AE596" s="1083"/>
    </row>
    <row r="597" spans="2:31">
      <c r="B597" s="1916" t="s">
        <v>1077</v>
      </c>
      <c r="C597" s="3330" t="s">
        <v>3</v>
      </c>
      <c r="D597" s="3331">
        <v>1</v>
      </c>
      <c r="E597" s="3248">
        <f>SUM(F595:F595)*0.15</f>
        <v>207.42</v>
      </c>
      <c r="F597" s="3248">
        <f>E597*D597</f>
        <v>207.42</v>
      </c>
      <c r="I597" s="1083"/>
      <c r="J597" s="1083"/>
      <c r="K597" s="1083"/>
      <c r="L597" s="1083"/>
      <c r="M597" s="1083"/>
      <c r="N597" s="1083"/>
      <c r="O597" s="1083"/>
      <c r="P597" s="1083"/>
      <c r="Q597" s="1083"/>
      <c r="R597" s="1083"/>
      <c r="S597" s="1083"/>
      <c r="T597" s="1083"/>
      <c r="U597" s="1083"/>
      <c r="V597" s="1083"/>
      <c r="W597" s="1083"/>
      <c r="X597" s="1083"/>
      <c r="Y597" s="1083"/>
      <c r="Z597" s="1083"/>
      <c r="AA597" s="1083"/>
      <c r="AB597" s="1083"/>
      <c r="AC597" s="1083"/>
      <c r="AD597" s="1083"/>
      <c r="AE597" s="1083"/>
    </row>
    <row r="598" spans="2:31">
      <c r="B598" s="3329" t="s">
        <v>1078</v>
      </c>
      <c r="C598" s="3332"/>
      <c r="D598" s="3333"/>
      <c r="E598" s="3334" t="s">
        <v>1031</v>
      </c>
      <c r="F598" s="3334">
        <f>ROUND(SUM(F595:F597),2)</f>
        <v>2965.22</v>
      </c>
      <c r="I598" s="1083"/>
      <c r="J598" s="1083"/>
      <c r="K598" s="1083"/>
      <c r="L598" s="1083"/>
      <c r="M598" s="1083"/>
      <c r="N598" s="1083"/>
      <c r="O598" s="1083"/>
      <c r="P598" s="1083"/>
      <c r="Q598" s="1083"/>
      <c r="R598" s="1083"/>
      <c r="S598" s="1083"/>
      <c r="T598" s="1083"/>
      <c r="U598" s="1083"/>
      <c r="V598" s="1083"/>
      <c r="W598" s="1083"/>
      <c r="X598" s="1083"/>
      <c r="Y598" s="1083"/>
      <c r="Z598" s="1083"/>
      <c r="AA598" s="1083"/>
      <c r="AB598" s="1083"/>
      <c r="AC598" s="1083"/>
      <c r="AD598" s="1083"/>
      <c r="AE598" s="1083"/>
    </row>
    <row r="599" spans="2:31">
      <c r="B599" s="1101"/>
      <c r="C599" s="1119"/>
      <c r="D599" s="1120"/>
      <c r="E599" s="1121"/>
      <c r="F599" s="1122"/>
      <c r="I599" s="1083"/>
      <c r="J599" s="1083"/>
      <c r="K599" s="1083"/>
      <c r="L599" s="1083"/>
      <c r="M599" s="1083"/>
      <c r="N599" s="1083"/>
      <c r="O599" s="1083"/>
      <c r="P599" s="1083"/>
      <c r="Q599" s="1083"/>
      <c r="R599" s="1083"/>
      <c r="S599" s="1083"/>
      <c r="T599" s="1083"/>
      <c r="U599" s="1083"/>
      <c r="V599" s="1083"/>
      <c r="W599" s="1083"/>
      <c r="X599" s="1083"/>
      <c r="Y599" s="1083"/>
      <c r="Z599" s="1083"/>
      <c r="AA599" s="1083"/>
      <c r="AB599" s="1083"/>
      <c r="AC599" s="1083"/>
      <c r="AD599" s="1083"/>
      <c r="AE599" s="1083"/>
    </row>
    <row r="600" spans="2:31" ht="13.5" thickBot="1">
      <c r="B600" s="1397" t="s">
        <v>3527</v>
      </c>
      <c r="C600" s="1620"/>
      <c r="D600" s="1124"/>
      <c r="E600" s="1125"/>
      <c r="F600" s="1124"/>
      <c r="I600" s="1083"/>
      <c r="J600" s="1083"/>
      <c r="K600" s="1083"/>
      <c r="L600" s="1083"/>
      <c r="M600" s="1083"/>
      <c r="N600" s="1083"/>
      <c r="O600" s="1083"/>
      <c r="P600" s="1083"/>
      <c r="Q600" s="1083"/>
      <c r="R600" s="1083"/>
      <c r="S600" s="1083"/>
      <c r="T600" s="1083"/>
      <c r="U600" s="1083"/>
      <c r="V600" s="1083"/>
      <c r="W600" s="1083"/>
      <c r="X600" s="1083"/>
      <c r="Y600" s="1083"/>
      <c r="Z600" s="1083"/>
      <c r="AA600" s="1083"/>
      <c r="AB600" s="1083"/>
      <c r="AC600" s="1083"/>
      <c r="AD600" s="1083"/>
      <c r="AE600" s="1083"/>
    </row>
    <row r="601" spans="2:31" ht="14.25" thickTop="1" thickBot="1">
      <c r="B601" s="1126" t="s">
        <v>166</v>
      </c>
      <c r="C601" s="1621">
        <v>1.0999999999999999E-2</v>
      </c>
      <c r="D601" s="1127" t="s">
        <v>2</v>
      </c>
      <c r="E601" s="1128">
        <f>+F76</f>
        <v>5653.39</v>
      </c>
      <c r="F601" s="1129">
        <f>C601*E601</f>
        <v>62.19</v>
      </c>
      <c r="I601" s="1083"/>
      <c r="J601" s="1083"/>
      <c r="K601" s="1083"/>
      <c r="L601" s="1083"/>
      <c r="M601" s="1083"/>
      <c r="N601" s="1083"/>
      <c r="O601" s="1083"/>
      <c r="P601" s="1083"/>
      <c r="Q601" s="1083"/>
      <c r="R601" s="1083"/>
      <c r="S601" s="1083"/>
      <c r="T601" s="1083"/>
      <c r="U601" s="1083"/>
      <c r="V601" s="1083"/>
      <c r="W601" s="1083"/>
      <c r="X601" s="1083"/>
      <c r="Y601" s="1083"/>
      <c r="Z601" s="1083"/>
      <c r="AA601" s="1083"/>
      <c r="AB601" s="1083"/>
      <c r="AC601" s="1083"/>
      <c r="AD601" s="1083"/>
      <c r="AE601" s="1083"/>
    </row>
    <row r="602" spans="2:31" ht="14.25" thickTop="1" thickBot="1">
      <c r="B602" s="3335" t="s">
        <v>1081</v>
      </c>
      <c r="C602" s="3336">
        <v>1</v>
      </c>
      <c r="D602" s="3337" t="s">
        <v>11</v>
      </c>
      <c r="E602" s="3338">
        <v>35</v>
      </c>
      <c r="F602" s="1129">
        <f>C602*E602</f>
        <v>35</v>
      </c>
      <c r="I602" s="1083"/>
      <c r="J602" s="1083"/>
      <c r="K602" s="1083"/>
      <c r="L602" s="1083"/>
      <c r="M602" s="1083"/>
      <c r="N602" s="1083"/>
      <c r="O602" s="1083"/>
      <c r="P602" s="1083"/>
      <c r="Q602" s="1083"/>
      <c r="R602" s="1083"/>
      <c r="S602" s="1083"/>
      <c r="T602" s="1083"/>
      <c r="U602" s="1083"/>
      <c r="V602" s="1083"/>
      <c r="W602" s="1083"/>
      <c r="X602" s="1083"/>
      <c r="Y602" s="1083"/>
      <c r="Z602" s="1083"/>
      <c r="AA602" s="1083"/>
      <c r="AB602" s="1083"/>
      <c r="AC602" s="1083"/>
      <c r="AD602" s="1083"/>
      <c r="AE602" s="1083"/>
    </row>
    <row r="603" spans="2:31" ht="13.5" thickTop="1">
      <c r="B603" s="3339" t="s">
        <v>1082</v>
      </c>
      <c r="C603" s="3340">
        <v>1.0999999999999999E-2</v>
      </c>
      <c r="D603" s="3341" t="s">
        <v>2</v>
      </c>
      <c r="E603" s="3342">
        <v>150</v>
      </c>
      <c r="F603" s="1129">
        <f>C603*E603</f>
        <v>1.65</v>
      </c>
      <c r="I603" s="1083"/>
      <c r="J603" s="1083"/>
      <c r="K603" s="1083"/>
      <c r="L603" s="1083"/>
      <c r="M603" s="1083"/>
      <c r="N603" s="1083"/>
      <c r="O603" s="1083"/>
      <c r="P603" s="1083"/>
      <c r="Q603" s="1083"/>
      <c r="R603" s="1083"/>
      <c r="S603" s="1083"/>
      <c r="T603" s="1083"/>
      <c r="U603" s="1083"/>
      <c r="V603" s="1083"/>
      <c r="W603" s="1083"/>
      <c r="X603" s="1083"/>
      <c r="Y603" s="1083"/>
      <c r="Z603" s="1083"/>
      <c r="AA603" s="1083"/>
      <c r="AB603" s="1083"/>
      <c r="AC603" s="1083"/>
      <c r="AD603" s="1083"/>
      <c r="AE603" s="1083"/>
    </row>
    <row r="604" spans="2:31" ht="13.5" thickBot="1">
      <c r="B604" s="3343"/>
      <c r="C604" s="3344"/>
      <c r="D604" s="3345"/>
      <c r="E604" s="3346" t="s">
        <v>1031</v>
      </c>
      <c r="F604" s="3347">
        <f>SUM(F601:F603)</f>
        <v>98.84</v>
      </c>
      <c r="I604" s="1083"/>
      <c r="J604" s="1083"/>
      <c r="K604" s="1083"/>
      <c r="L604" s="1083"/>
      <c r="M604" s="1083"/>
      <c r="N604" s="1083"/>
      <c r="O604" s="1083"/>
      <c r="P604" s="1083"/>
      <c r="Q604" s="1083"/>
      <c r="R604" s="1083"/>
      <c r="S604" s="1083"/>
      <c r="T604" s="1083"/>
      <c r="U604" s="1083"/>
      <c r="V604" s="1083"/>
      <c r="W604" s="1083"/>
      <c r="X604" s="1083"/>
      <c r="Y604" s="1083"/>
      <c r="Z604" s="1083"/>
      <c r="AA604" s="1083"/>
      <c r="AB604" s="1083"/>
      <c r="AC604" s="1083"/>
      <c r="AD604" s="1083"/>
      <c r="AE604" s="1083"/>
    </row>
    <row r="605" spans="2:31" ht="13.5" thickTop="1">
      <c r="B605" s="1087"/>
      <c r="C605" s="1608"/>
      <c r="D605" s="1087"/>
      <c r="E605" s="1094"/>
      <c r="F605" s="1115"/>
      <c r="I605" s="1083"/>
      <c r="J605" s="1083"/>
      <c r="K605" s="1083"/>
      <c r="L605" s="1083"/>
      <c r="M605" s="1083"/>
      <c r="N605" s="1083"/>
      <c r="O605" s="1083"/>
      <c r="P605" s="1083"/>
      <c r="Q605" s="1083"/>
      <c r="R605" s="1083"/>
      <c r="S605" s="1083"/>
      <c r="T605" s="1083"/>
      <c r="U605" s="1083"/>
      <c r="V605" s="1083"/>
      <c r="W605" s="1083"/>
      <c r="X605" s="1083"/>
      <c r="Y605" s="1083"/>
      <c r="Z605" s="1083"/>
      <c r="AA605" s="1083"/>
      <c r="AB605" s="1083"/>
      <c r="AC605" s="1083"/>
      <c r="AD605" s="1083"/>
      <c r="AE605" s="1083"/>
    </row>
    <row r="607" spans="2:31">
      <c r="B607" s="1916" t="s">
        <v>1083</v>
      </c>
      <c r="C607" s="1916"/>
      <c r="D607" s="1916"/>
      <c r="E607" s="1916"/>
      <c r="F607" s="1916"/>
      <c r="I607" s="1083"/>
      <c r="J607" s="1083"/>
      <c r="K607" s="1083"/>
      <c r="L607" s="1083"/>
      <c r="M607" s="1083"/>
      <c r="N607" s="1083"/>
      <c r="O607" s="1083"/>
      <c r="P607" s="1083"/>
      <c r="Q607" s="1083"/>
      <c r="R607" s="1083"/>
      <c r="S607" s="1083"/>
      <c r="T607" s="1083"/>
      <c r="U607" s="1083"/>
      <c r="V607" s="1083"/>
      <c r="W607" s="1083"/>
      <c r="X607" s="1083"/>
      <c r="Y607" s="1083"/>
      <c r="Z607" s="1083"/>
      <c r="AA607" s="1083"/>
      <c r="AB607" s="1083"/>
      <c r="AC607" s="1083"/>
      <c r="AD607" s="1083"/>
      <c r="AE607" s="1083"/>
    </row>
    <row r="608" spans="2:31">
      <c r="B608" s="1916"/>
      <c r="C608" s="1916"/>
      <c r="D608" s="1916"/>
      <c r="E608" s="1916"/>
      <c r="F608" s="1916"/>
      <c r="I608" s="1083"/>
      <c r="J608" s="1083"/>
      <c r="K608" s="1083"/>
      <c r="L608" s="1083"/>
      <c r="M608" s="1083"/>
      <c r="N608" s="1083"/>
      <c r="O608" s="1083"/>
      <c r="P608" s="1083"/>
      <c r="Q608" s="1083"/>
      <c r="R608" s="1083"/>
      <c r="S608" s="1083"/>
      <c r="T608" s="1083"/>
      <c r="U608" s="1083"/>
      <c r="V608" s="1083"/>
      <c r="W608" s="1083"/>
      <c r="X608" s="1083"/>
      <c r="Y608" s="1083"/>
      <c r="Z608" s="1083"/>
      <c r="AA608" s="1083"/>
      <c r="AB608" s="1083"/>
      <c r="AC608" s="1083"/>
      <c r="AD608" s="1083"/>
      <c r="AE608" s="1083"/>
    </row>
    <row r="609" spans="2:31">
      <c r="B609" s="1916" t="s">
        <v>1084</v>
      </c>
      <c r="C609" s="1916"/>
      <c r="D609" s="1916"/>
      <c r="E609" s="1916"/>
      <c r="F609" s="1916"/>
      <c r="I609" s="1083"/>
      <c r="J609" s="1083"/>
      <c r="K609" s="1083"/>
      <c r="L609" s="1083"/>
      <c r="M609" s="1083"/>
      <c r="N609" s="1083"/>
      <c r="O609" s="1083"/>
      <c r="P609" s="1083"/>
      <c r="Q609" s="1083"/>
      <c r="R609" s="1083"/>
      <c r="S609" s="1083"/>
      <c r="T609" s="1083"/>
      <c r="U609" s="1083"/>
      <c r="V609" s="1083"/>
      <c r="W609" s="1083"/>
      <c r="X609" s="1083"/>
      <c r="Y609" s="1083"/>
      <c r="Z609" s="1083"/>
      <c r="AA609" s="1083"/>
      <c r="AB609" s="1083"/>
      <c r="AC609" s="1083"/>
      <c r="AD609" s="1083"/>
      <c r="AE609" s="1083"/>
    </row>
    <row r="610" spans="2:31">
      <c r="B610" s="1916" t="s">
        <v>1085</v>
      </c>
      <c r="C610" s="1916">
        <v>1.05</v>
      </c>
      <c r="D610" s="1916" t="s">
        <v>2</v>
      </c>
      <c r="E610" s="1916">
        <f>F25</f>
        <v>8154.9</v>
      </c>
      <c r="F610" s="1916">
        <f>C610*E610</f>
        <v>8562.6450000000004</v>
      </c>
      <c r="I610" s="1083"/>
      <c r="J610" s="1083"/>
      <c r="K610" s="1083"/>
      <c r="L610" s="1083"/>
      <c r="M610" s="1083"/>
      <c r="N610" s="1083"/>
      <c r="O610" s="1083"/>
      <c r="P610" s="1083"/>
      <c r="Q610" s="1083"/>
      <c r="R610" s="1083"/>
      <c r="S610" s="1083"/>
      <c r="T610" s="1083"/>
      <c r="U610" s="1083"/>
      <c r="V610" s="1083"/>
      <c r="W610" s="1083"/>
      <c r="X610" s="1083"/>
      <c r="Y610" s="1083"/>
      <c r="Z610" s="1083"/>
      <c r="AA610" s="1083"/>
      <c r="AB610" s="1083"/>
      <c r="AC610" s="1083"/>
      <c r="AD610" s="1083"/>
      <c r="AE610" s="1083"/>
    </row>
    <row r="611" spans="2:31">
      <c r="B611" s="1916" t="s">
        <v>1087</v>
      </c>
      <c r="C611" s="1916">
        <v>0.86</v>
      </c>
      <c r="D611" s="1916" t="s">
        <v>126</v>
      </c>
      <c r="E611" s="1916">
        <f>+F62</f>
        <v>2913</v>
      </c>
      <c r="F611" s="1916">
        <f>C611*E611</f>
        <v>2505.1799999999998</v>
      </c>
      <c r="I611" s="1083"/>
      <c r="J611" s="1083"/>
      <c r="K611" s="1083"/>
      <c r="L611" s="1083"/>
      <c r="M611" s="1083"/>
      <c r="N611" s="1083"/>
      <c r="O611" s="1083"/>
      <c r="P611" s="1083"/>
      <c r="Q611" s="1083"/>
      <c r="R611" s="1083"/>
      <c r="S611" s="1083"/>
      <c r="T611" s="1083"/>
      <c r="U611" s="1083"/>
      <c r="V611" s="1083"/>
      <c r="W611" s="1083"/>
      <c r="X611" s="1083"/>
      <c r="Y611" s="1083"/>
      <c r="Z611" s="1083"/>
      <c r="AA611" s="1083"/>
      <c r="AB611" s="1083"/>
      <c r="AC611" s="1083"/>
      <c r="AD611" s="1083"/>
      <c r="AE611" s="1083"/>
    </row>
    <row r="612" spans="2:31">
      <c r="B612" s="1916"/>
      <c r="C612" s="1916"/>
      <c r="D612" s="1916"/>
      <c r="E612" s="1916" t="s">
        <v>1031</v>
      </c>
      <c r="F612" s="1916">
        <f>ROUND(SUM(F610:F611),2)</f>
        <v>11067.83</v>
      </c>
      <c r="I612" s="1083"/>
      <c r="J612" s="1083"/>
      <c r="K612" s="1083"/>
      <c r="L612" s="1083"/>
      <c r="M612" s="1083"/>
      <c r="N612" s="1083"/>
      <c r="O612" s="1083"/>
      <c r="P612" s="1083"/>
      <c r="Q612" s="1083"/>
      <c r="R612" s="1083"/>
      <c r="S612" s="1083"/>
      <c r="T612" s="1083"/>
      <c r="U612" s="1083"/>
      <c r="V612" s="1083"/>
      <c r="W612" s="1083"/>
      <c r="X612" s="1083"/>
      <c r="Y612" s="1083"/>
      <c r="Z612" s="1083"/>
      <c r="AA612" s="1083"/>
      <c r="AB612" s="1083"/>
      <c r="AC612" s="1083"/>
      <c r="AD612" s="1083"/>
      <c r="AE612" s="1083"/>
    </row>
    <row r="613" spans="2:31">
      <c r="B613" s="1916"/>
      <c r="C613" s="1916"/>
      <c r="D613" s="1916"/>
      <c r="E613" s="1916"/>
      <c r="F613" s="1916"/>
      <c r="I613" s="1083"/>
      <c r="J613" s="1083"/>
      <c r="K613" s="1083"/>
      <c r="L613" s="1083"/>
      <c r="M613" s="1083"/>
      <c r="N613" s="1083"/>
      <c r="O613" s="1083"/>
      <c r="P613" s="1083"/>
      <c r="Q613" s="1083"/>
      <c r="R613" s="1083"/>
      <c r="S613" s="1083"/>
      <c r="T613" s="1083"/>
      <c r="U613" s="1083"/>
      <c r="V613" s="1083"/>
      <c r="W613" s="1083"/>
      <c r="X613" s="1083"/>
      <c r="Y613" s="1083"/>
      <c r="Z613" s="1083"/>
      <c r="AA613" s="1083"/>
      <c r="AB613" s="1083"/>
      <c r="AC613" s="1083"/>
      <c r="AD613" s="1083"/>
      <c r="AE613" s="1083"/>
    </row>
    <row r="614" spans="2:31">
      <c r="B614" s="1916" t="s">
        <v>1086</v>
      </c>
      <c r="C614" s="1916"/>
      <c r="D614" s="1916"/>
      <c r="E614" s="1916"/>
      <c r="F614" s="1916"/>
      <c r="I614" s="1083"/>
      <c r="J614" s="1083"/>
      <c r="K614" s="1083"/>
      <c r="L614" s="1083"/>
      <c r="M614" s="1083"/>
      <c r="N614" s="1083"/>
      <c r="O614" s="1083"/>
      <c r="P614" s="1083"/>
      <c r="Q614" s="1083"/>
      <c r="R614" s="1083"/>
      <c r="S614" s="1083"/>
      <c r="T614" s="1083"/>
      <c r="U614" s="1083"/>
      <c r="V614" s="1083"/>
      <c r="W614" s="1083"/>
      <c r="X614" s="1083"/>
      <c r="Y614" s="1083"/>
      <c r="Z614" s="1083"/>
      <c r="AA614" s="1083"/>
      <c r="AB614" s="1083"/>
      <c r="AC614" s="1083"/>
      <c r="AD614" s="1083"/>
      <c r="AE614" s="1083"/>
    </row>
    <row r="615" spans="2:31">
      <c r="B615" s="1916" t="s">
        <v>1085</v>
      </c>
      <c r="C615" s="1916">
        <v>1.05</v>
      </c>
      <c r="D615" s="1916" t="s">
        <v>2</v>
      </c>
      <c r="E615" s="1916">
        <f>+E610</f>
        <v>8154.9</v>
      </c>
      <c r="F615" s="1916">
        <f>C615*E615</f>
        <v>8562.6450000000004</v>
      </c>
      <c r="I615" s="1083"/>
      <c r="J615" s="1083"/>
      <c r="K615" s="1083"/>
      <c r="L615" s="1083"/>
      <c r="M615" s="1083"/>
      <c r="N615" s="1083"/>
      <c r="O615" s="1083"/>
      <c r="P615" s="1083"/>
      <c r="Q615" s="1083"/>
      <c r="R615" s="1083"/>
      <c r="S615" s="1083"/>
      <c r="T615" s="1083"/>
      <c r="U615" s="1083"/>
      <c r="V615" s="1083"/>
      <c r="W615" s="1083"/>
      <c r="X615" s="1083"/>
      <c r="Y615" s="1083"/>
      <c r="Z615" s="1083"/>
      <c r="AA615" s="1083"/>
      <c r="AB615" s="1083"/>
      <c r="AC615" s="1083"/>
      <c r="AD615" s="1083"/>
      <c r="AE615" s="1083"/>
    </row>
    <row r="616" spans="2:31">
      <c r="B616" s="1916" t="s">
        <v>1087</v>
      </c>
      <c r="C616" s="1916">
        <v>1</v>
      </c>
      <c r="D616" s="1916" t="s">
        <v>126</v>
      </c>
      <c r="E616" s="1916">
        <f>+F530</f>
        <v>2590</v>
      </c>
      <c r="F616" s="1916">
        <f>C616*E616</f>
        <v>2590</v>
      </c>
      <c r="I616" s="1083"/>
      <c r="J616" s="1083"/>
      <c r="K616" s="1083"/>
      <c r="L616" s="1083"/>
      <c r="M616" s="1083"/>
      <c r="N616" s="1083"/>
      <c r="O616" s="1083"/>
      <c r="P616" s="1083"/>
      <c r="Q616" s="1083"/>
      <c r="R616" s="1083"/>
      <c r="S616" s="1083"/>
      <c r="T616" s="1083"/>
      <c r="U616" s="1083"/>
      <c r="V616" s="1083"/>
      <c r="W616" s="1083"/>
      <c r="X616" s="1083"/>
      <c r="Y616" s="1083"/>
      <c r="Z616" s="1083"/>
      <c r="AA616" s="1083"/>
      <c r="AB616" s="1083"/>
      <c r="AC616" s="1083"/>
      <c r="AD616" s="1083"/>
      <c r="AE616" s="1083"/>
    </row>
    <row r="617" spans="2:31">
      <c r="B617" s="1916"/>
      <c r="C617" s="1916"/>
      <c r="D617" s="1916"/>
      <c r="E617" s="1916" t="s">
        <v>1031</v>
      </c>
      <c r="F617" s="1916">
        <f>ROUND(SUM(F615:F616),2)</f>
        <v>11152.65</v>
      </c>
      <c r="I617" s="1083"/>
      <c r="J617" s="1083"/>
      <c r="K617" s="1083"/>
      <c r="L617" s="1083"/>
      <c r="M617" s="1083"/>
      <c r="N617" s="1083"/>
      <c r="O617" s="1083"/>
      <c r="P617" s="1083"/>
      <c r="Q617" s="1083"/>
      <c r="R617" s="1083"/>
      <c r="S617" s="1083"/>
      <c r="T617" s="1083"/>
      <c r="U617" s="1083"/>
      <c r="V617" s="1083"/>
      <c r="W617" s="1083"/>
      <c r="X617" s="1083"/>
      <c r="Y617" s="1083"/>
      <c r="Z617" s="1083"/>
      <c r="AA617" s="1083"/>
      <c r="AB617" s="1083"/>
      <c r="AC617" s="1083"/>
      <c r="AD617" s="1083"/>
      <c r="AE617" s="1083"/>
    </row>
    <row r="618" spans="2:31">
      <c r="B618" s="1916"/>
      <c r="C618" s="1916"/>
      <c r="D618" s="1916"/>
      <c r="E618" s="1916"/>
      <c r="F618" s="1916"/>
      <c r="I618" s="1083"/>
      <c r="J618" s="1083"/>
      <c r="K618" s="1083"/>
      <c r="L618" s="1083"/>
      <c r="M618" s="1083"/>
      <c r="N618" s="1083"/>
      <c r="O618" s="1083"/>
      <c r="P618" s="1083"/>
      <c r="Q618" s="1083"/>
      <c r="R618" s="1083"/>
      <c r="S618" s="1083"/>
      <c r="T618" s="1083"/>
      <c r="U618" s="1083"/>
      <c r="V618" s="1083"/>
      <c r="W618" s="1083"/>
      <c r="X618" s="1083"/>
      <c r="Y618" s="1083"/>
      <c r="Z618" s="1083"/>
      <c r="AA618" s="1083"/>
      <c r="AB618" s="1083"/>
      <c r="AC618" s="1083"/>
      <c r="AD618" s="1083"/>
      <c r="AE618" s="1083"/>
    </row>
    <row r="619" spans="2:31">
      <c r="B619" s="1916" t="s">
        <v>1091</v>
      </c>
      <c r="C619" s="1916"/>
      <c r="D619" s="1916"/>
      <c r="E619" s="1916"/>
      <c r="F619" s="1916"/>
      <c r="I619" s="1083"/>
      <c r="J619" s="1083"/>
      <c r="K619" s="1083"/>
      <c r="L619" s="1083"/>
      <c r="M619" s="1083"/>
      <c r="N619" s="1083"/>
      <c r="O619" s="1083"/>
      <c r="P619" s="1083"/>
      <c r="Q619" s="1083"/>
      <c r="R619" s="1083"/>
      <c r="S619" s="1083"/>
      <c r="T619" s="1083"/>
      <c r="U619" s="1083"/>
      <c r="V619" s="1083"/>
      <c r="W619" s="1083"/>
      <c r="X619" s="1083"/>
      <c r="Y619" s="1083"/>
      <c r="Z619" s="1083"/>
      <c r="AA619" s="1083"/>
      <c r="AB619" s="1083"/>
      <c r="AC619" s="1083"/>
      <c r="AD619" s="1083"/>
      <c r="AE619" s="1083"/>
    </row>
    <row r="620" spans="2:31">
      <c r="B620" s="1916" t="s">
        <v>1085</v>
      </c>
      <c r="C620" s="1916">
        <v>1.05</v>
      </c>
      <c r="D620" s="1916" t="s">
        <v>2</v>
      </c>
      <c r="E620" s="1916" t="e">
        <f>+E296</f>
        <v>#REF!</v>
      </c>
      <c r="F620" s="1916" t="e">
        <f>C620*E620</f>
        <v>#REF!</v>
      </c>
      <c r="I620" s="1083"/>
      <c r="J620" s="1083"/>
      <c r="K620" s="1083"/>
      <c r="L620" s="1083"/>
      <c r="M620" s="1083"/>
      <c r="N620" s="1083"/>
      <c r="O620" s="1083"/>
      <c r="P620" s="1083"/>
      <c r="Q620" s="1083"/>
      <c r="R620" s="1083"/>
      <c r="S620" s="1083"/>
      <c r="T620" s="1083"/>
      <c r="U620" s="1083"/>
      <c r="V620" s="1083"/>
      <c r="W620" s="1083"/>
      <c r="X620" s="1083"/>
      <c r="Y620" s="1083"/>
      <c r="Z620" s="1083"/>
      <c r="AA620" s="1083"/>
      <c r="AB620" s="1083"/>
      <c r="AC620" s="1083"/>
      <c r="AD620" s="1083"/>
      <c r="AE620" s="1083"/>
    </row>
    <row r="621" spans="2:31">
      <c r="B621" s="1916" t="s">
        <v>1092</v>
      </c>
      <c r="C621" s="1916">
        <v>5.0199999999999996</v>
      </c>
      <c r="D621" s="1916" t="s">
        <v>126</v>
      </c>
      <c r="E621" s="1916">
        <f>+F530</f>
        <v>2590</v>
      </c>
      <c r="F621" s="1916">
        <f>C621*E621</f>
        <v>13001.8</v>
      </c>
      <c r="I621" s="1083"/>
      <c r="J621" s="1083"/>
      <c r="K621" s="1083"/>
      <c r="L621" s="1083"/>
      <c r="M621" s="1083"/>
      <c r="N621" s="1083"/>
      <c r="O621" s="1083"/>
      <c r="P621" s="1083"/>
      <c r="Q621" s="1083"/>
      <c r="R621" s="1083"/>
      <c r="S621" s="1083"/>
      <c r="T621" s="1083"/>
      <c r="U621" s="1083"/>
      <c r="V621" s="1083"/>
      <c r="W621" s="1083"/>
      <c r="X621" s="1083"/>
      <c r="Y621" s="1083"/>
      <c r="Z621" s="1083"/>
      <c r="AA621" s="1083"/>
      <c r="AB621" s="1083"/>
      <c r="AC621" s="1083"/>
      <c r="AD621" s="1083"/>
      <c r="AE621" s="1083"/>
    </row>
    <row r="622" spans="2:31">
      <c r="B622" s="1916" t="s">
        <v>1089</v>
      </c>
      <c r="C622" s="1916">
        <f>1/(0.4*0.4)</f>
        <v>6.25</v>
      </c>
      <c r="D622" s="1916" t="s">
        <v>1</v>
      </c>
      <c r="E622" s="1916">
        <v>350</v>
      </c>
      <c r="F622" s="1916">
        <f>C622*E622</f>
        <v>2187.5</v>
      </c>
      <c r="I622" s="1083"/>
      <c r="J622" s="1083"/>
      <c r="K622" s="1083"/>
      <c r="L622" s="1083"/>
      <c r="M622" s="1083"/>
      <c r="N622" s="1083"/>
      <c r="O622" s="1083"/>
      <c r="P622" s="1083"/>
      <c r="Q622" s="1083"/>
      <c r="R622" s="1083"/>
      <c r="S622" s="1083"/>
      <c r="T622" s="1083"/>
      <c r="U622" s="1083"/>
      <c r="V622" s="1083"/>
      <c r="W622" s="1083"/>
      <c r="X622" s="1083"/>
      <c r="Y622" s="1083"/>
      <c r="Z622" s="1083"/>
      <c r="AA622" s="1083"/>
      <c r="AB622" s="1083"/>
      <c r="AC622" s="1083"/>
      <c r="AD622" s="1083"/>
      <c r="AE622" s="1083"/>
    </row>
    <row r="623" spans="2:31">
      <c r="B623" s="1916" t="s">
        <v>1093</v>
      </c>
      <c r="C623" s="1916">
        <f>+C622</f>
        <v>6.25</v>
      </c>
      <c r="D623" s="1916" t="s">
        <v>1</v>
      </c>
      <c r="E623" s="1916">
        <v>141.81</v>
      </c>
      <c r="F623" s="1916">
        <f>C623*E623</f>
        <v>886.3125</v>
      </c>
      <c r="I623" s="1083"/>
      <c r="J623" s="1083"/>
      <c r="K623" s="1083"/>
      <c r="L623" s="1083"/>
      <c r="M623" s="1083"/>
      <c r="N623" s="1083"/>
      <c r="O623" s="1083"/>
      <c r="P623" s="1083"/>
      <c r="Q623" s="1083"/>
      <c r="R623" s="1083"/>
      <c r="S623" s="1083"/>
      <c r="T623" s="1083"/>
      <c r="U623" s="1083"/>
      <c r="V623" s="1083"/>
      <c r="W623" s="1083"/>
      <c r="X623" s="1083"/>
      <c r="Y623" s="1083"/>
      <c r="Z623" s="1083"/>
      <c r="AA623" s="1083"/>
      <c r="AB623" s="1083"/>
      <c r="AC623" s="1083"/>
      <c r="AD623" s="1083"/>
      <c r="AE623" s="1083"/>
    </row>
    <row r="624" spans="2:31">
      <c r="B624" s="1916"/>
      <c r="C624" s="1916"/>
      <c r="D624" s="1916"/>
      <c r="E624" s="1916" t="s">
        <v>1031</v>
      </c>
      <c r="F624" s="1916" t="e">
        <f>ROUND(SUM(F620:F623),2)</f>
        <v>#REF!</v>
      </c>
      <c r="I624" s="1083"/>
      <c r="J624" s="1083"/>
      <c r="K624" s="1083"/>
      <c r="L624" s="1083"/>
      <c r="M624" s="1083"/>
      <c r="N624" s="1083"/>
      <c r="O624" s="1083"/>
      <c r="P624" s="1083"/>
      <c r="Q624" s="1083"/>
      <c r="R624" s="1083"/>
      <c r="S624" s="1083"/>
      <c r="T624" s="1083"/>
      <c r="U624" s="1083"/>
      <c r="V624" s="1083"/>
      <c r="W624" s="1083"/>
      <c r="X624" s="1083"/>
      <c r="Y624" s="1083"/>
      <c r="Z624" s="1083"/>
      <c r="AA624" s="1083"/>
      <c r="AB624" s="1083"/>
      <c r="AC624" s="1083"/>
      <c r="AD624" s="1083"/>
      <c r="AE624" s="1083"/>
    </row>
    <row r="625" spans="2:31">
      <c r="B625" s="1916"/>
      <c r="C625" s="1916"/>
      <c r="D625" s="1916"/>
      <c r="E625" s="1916"/>
      <c r="F625" s="1916"/>
      <c r="I625" s="1083"/>
      <c r="J625" s="1083"/>
      <c r="K625" s="1083"/>
      <c r="L625" s="1083"/>
      <c r="M625" s="1083"/>
      <c r="N625" s="1083"/>
      <c r="O625" s="1083"/>
      <c r="P625" s="1083"/>
      <c r="Q625" s="1083"/>
      <c r="R625" s="1083"/>
      <c r="S625" s="1083"/>
      <c r="T625" s="1083"/>
      <c r="U625" s="1083"/>
      <c r="V625" s="1083"/>
      <c r="W625" s="1083"/>
      <c r="X625" s="1083"/>
      <c r="Y625" s="1083"/>
      <c r="Z625" s="1083"/>
      <c r="AA625" s="1083"/>
      <c r="AB625" s="1083"/>
      <c r="AC625" s="1083"/>
      <c r="AD625" s="1083"/>
      <c r="AE625" s="1083"/>
    </row>
    <row r="626" spans="2:31">
      <c r="B626" s="1916" t="s">
        <v>1094</v>
      </c>
      <c r="C626" s="1916"/>
      <c r="D626" s="1916"/>
      <c r="E626" s="1916"/>
      <c r="F626" s="1916"/>
      <c r="I626" s="1083"/>
      <c r="J626" s="1083"/>
      <c r="K626" s="1083"/>
      <c r="L626" s="1083"/>
      <c r="M626" s="1083"/>
      <c r="N626" s="1083"/>
      <c r="O626" s="1083"/>
      <c r="P626" s="1083"/>
      <c r="Q626" s="1083"/>
      <c r="R626" s="1083"/>
      <c r="S626" s="1083"/>
      <c r="T626" s="1083"/>
      <c r="U626" s="1083"/>
      <c r="V626" s="1083"/>
      <c r="W626" s="1083"/>
      <c r="X626" s="1083"/>
      <c r="Y626" s="1083"/>
      <c r="Z626" s="1083"/>
      <c r="AA626" s="1083"/>
      <c r="AB626" s="1083"/>
      <c r="AC626" s="1083"/>
      <c r="AD626" s="1083"/>
      <c r="AE626" s="1083"/>
    </row>
    <row r="627" spans="2:31">
      <c r="B627" s="1916" t="s">
        <v>1085</v>
      </c>
      <c r="C627" s="1916">
        <v>1.05</v>
      </c>
      <c r="D627" s="1916" t="s">
        <v>2</v>
      </c>
      <c r="E627" s="1916" t="e">
        <f>+E296</f>
        <v>#REF!</v>
      </c>
      <c r="F627" s="1916" t="e">
        <f>C627*E627</f>
        <v>#REF!</v>
      </c>
      <c r="I627" s="1083"/>
      <c r="J627" s="1083"/>
      <c r="K627" s="1083"/>
      <c r="L627" s="1083"/>
      <c r="M627" s="1083"/>
      <c r="N627" s="1083"/>
      <c r="O627" s="1083"/>
      <c r="P627" s="1083"/>
      <c r="Q627" s="1083"/>
      <c r="R627" s="1083"/>
      <c r="S627" s="1083"/>
      <c r="T627" s="1083"/>
      <c r="U627" s="1083"/>
      <c r="V627" s="1083"/>
      <c r="W627" s="1083"/>
      <c r="X627" s="1083"/>
      <c r="Y627" s="1083"/>
      <c r="Z627" s="1083"/>
      <c r="AA627" s="1083"/>
      <c r="AB627" s="1083"/>
      <c r="AC627" s="1083"/>
      <c r="AD627" s="1083"/>
      <c r="AE627" s="1083"/>
    </row>
    <row r="628" spans="2:31">
      <c r="B628" s="1916" t="s">
        <v>1092</v>
      </c>
      <c r="C628" s="1916">
        <v>2.71</v>
      </c>
      <c r="D628" s="1916" t="s">
        <v>126</v>
      </c>
      <c r="E628" s="1916">
        <f>+F530</f>
        <v>2590</v>
      </c>
      <c r="F628" s="1916">
        <f>C628*E628</f>
        <v>7018.9</v>
      </c>
      <c r="I628" s="1083"/>
      <c r="J628" s="1083"/>
      <c r="K628" s="1083"/>
      <c r="L628" s="1083"/>
      <c r="M628" s="1083"/>
      <c r="N628" s="1083"/>
      <c r="O628" s="1083"/>
      <c r="P628" s="1083"/>
      <c r="Q628" s="1083"/>
      <c r="R628" s="1083"/>
      <c r="S628" s="1083"/>
      <c r="T628" s="1083"/>
      <c r="U628" s="1083"/>
      <c r="V628" s="1083"/>
      <c r="W628" s="1083"/>
      <c r="X628" s="1083"/>
      <c r="Y628" s="1083"/>
      <c r="Z628" s="1083"/>
      <c r="AA628" s="1083"/>
      <c r="AB628" s="1083"/>
      <c r="AC628" s="1083"/>
      <c r="AD628" s="1083"/>
      <c r="AE628" s="1083"/>
    </row>
    <row r="629" spans="2:31">
      <c r="B629" s="1916" t="s">
        <v>1089</v>
      </c>
      <c r="C629" s="1916">
        <f>1/(0.4*0.2)</f>
        <v>12.5</v>
      </c>
      <c r="D629" s="1916" t="s">
        <v>1</v>
      </c>
      <c r="E629" s="1916">
        <v>350</v>
      </c>
      <c r="F629" s="1916">
        <f>C629*E629</f>
        <v>4375</v>
      </c>
      <c r="I629" s="1083"/>
      <c r="J629" s="1083"/>
      <c r="K629" s="1083"/>
      <c r="L629" s="1083"/>
      <c r="M629" s="1083"/>
      <c r="N629" s="1083"/>
      <c r="O629" s="1083"/>
      <c r="P629" s="1083"/>
      <c r="Q629" s="1083"/>
      <c r="R629" s="1083"/>
      <c r="S629" s="1083"/>
      <c r="T629" s="1083"/>
      <c r="U629" s="1083"/>
      <c r="V629" s="1083"/>
      <c r="W629" s="1083"/>
      <c r="X629" s="1083"/>
      <c r="Y629" s="1083"/>
      <c r="Z629" s="1083"/>
      <c r="AA629" s="1083"/>
      <c r="AB629" s="1083"/>
      <c r="AC629" s="1083"/>
      <c r="AD629" s="1083"/>
      <c r="AE629" s="1083"/>
    </row>
    <row r="630" spans="2:31">
      <c r="B630" s="1916" t="s">
        <v>1093</v>
      </c>
      <c r="C630" s="1916">
        <f>+C629</f>
        <v>12.5</v>
      </c>
      <c r="D630" s="1916" t="s">
        <v>1</v>
      </c>
      <c r="E630" s="1916">
        <v>94.62</v>
      </c>
      <c r="F630" s="1916">
        <f>C630*E630</f>
        <v>1182.75</v>
      </c>
      <c r="I630" s="1083"/>
      <c r="J630" s="1083"/>
      <c r="K630" s="1083"/>
      <c r="L630" s="1083"/>
      <c r="M630" s="1083"/>
      <c r="N630" s="1083"/>
      <c r="O630" s="1083"/>
      <c r="P630" s="1083"/>
      <c r="Q630" s="1083"/>
      <c r="R630" s="1083"/>
      <c r="S630" s="1083"/>
      <c r="T630" s="1083"/>
      <c r="U630" s="1083"/>
      <c r="V630" s="1083"/>
      <c r="W630" s="1083"/>
      <c r="X630" s="1083"/>
      <c r="Y630" s="1083"/>
      <c r="Z630" s="1083"/>
      <c r="AA630" s="1083"/>
      <c r="AB630" s="1083"/>
      <c r="AC630" s="1083"/>
      <c r="AD630" s="1083"/>
      <c r="AE630" s="1083"/>
    </row>
    <row r="631" spans="2:31">
      <c r="B631" s="1916"/>
      <c r="C631" s="1916"/>
      <c r="D631" s="1916"/>
      <c r="E631" s="1916" t="s">
        <v>1031</v>
      </c>
      <c r="F631" s="1916" t="e">
        <f>ROUND(SUM(F627:F630),2)</f>
        <v>#REF!</v>
      </c>
      <c r="I631" s="1083"/>
      <c r="J631" s="1083"/>
      <c r="K631" s="1083"/>
      <c r="L631" s="1083"/>
      <c r="M631" s="1083"/>
      <c r="N631" s="1083"/>
      <c r="O631" s="1083"/>
      <c r="P631" s="1083"/>
      <c r="Q631" s="1083"/>
      <c r="R631" s="1083"/>
      <c r="S631" s="1083"/>
      <c r="T631" s="1083"/>
      <c r="U631" s="1083"/>
      <c r="V631" s="1083"/>
      <c r="W631" s="1083"/>
      <c r="X631" s="1083"/>
      <c r="Y631" s="1083"/>
      <c r="Z631" s="1083"/>
      <c r="AA631" s="1083"/>
      <c r="AB631" s="1083"/>
      <c r="AC631" s="1083"/>
      <c r="AD631" s="1083"/>
      <c r="AE631" s="1083"/>
    </row>
    <row r="632" spans="2:31">
      <c r="B632" s="1916"/>
      <c r="C632" s="1916"/>
      <c r="D632" s="1916"/>
      <c r="E632" s="1916"/>
      <c r="F632" s="1916"/>
      <c r="I632" s="1083"/>
      <c r="J632" s="1083"/>
      <c r="K632" s="1083"/>
      <c r="L632" s="1083"/>
      <c r="M632" s="1083"/>
      <c r="N632" s="1083"/>
      <c r="O632" s="1083"/>
      <c r="P632" s="1083"/>
      <c r="Q632" s="1083"/>
      <c r="R632" s="1083"/>
      <c r="S632" s="1083"/>
      <c r="T632" s="1083"/>
      <c r="U632" s="1083"/>
      <c r="V632" s="1083"/>
      <c r="W632" s="1083"/>
      <c r="X632" s="1083"/>
      <c r="Y632" s="1083"/>
      <c r="Z632" s="1083"/>
      <c r="AA632" s="1083"/>
      <c r="AB632" s="1083"/>
      <c r="AC632" s="1083"/>
      <c r="AD632" s="1083"/>
      <c r="AE632" s="1083"/>
    </row>
    <row r="633" spans="2:31">
      <c r="B633" s="1916" t="s">
        <v>1095</v>
      </c>
      <c r="C633" s="1916"/>
      <c r="D633" s="1916"/>
      <c r="E633" s="1916"/>
      <c r="F633" s="1916"/>
      <c r="I633" s="1083"/>
      <c r="J633" s="1083"/>
      <c r="K633" s="1083"/>
      <c r="L633" s="1083"/>
      <c r="M633" s="1083"/>
      <c r="N633" s="1083"/>
      <c r="O633" s="1083"/>
      <c r="P633" s="1083"/>
      <c r="Q633" s="1083"/>
      <c r="R633" s="1083"/>
      <c r="S633" s="1083"/>
      <c r="T633" s="1083"/>
      <c r="U633" s="1083"/>
      <c r="V633" s="1083"/>
      <c r="W633" s="1083"/>
      <c r="X633" s="1083"/>
      <c r="Y633" s="1083"/>
      <c r="Z633" s="1083"/>
      <c r="AA633" s="1083"/>
      <c r="AB633" s="1083"/>
      <c r="AC633" s="1083"/>
      <c r="AD633" s="1083"/>
      <c r="AE633" s="1083"/>
    </row>
    <row r="634" spans="2:31">
      <c r="B634" s="1916" t="s">
        <v>1085</v>
      </c>
      <c r="C634" s="1916">
        <v>1.05</v>
      </c>
      <c r="D634" s="1916" t="s">
        <v>2</v>
      </c>
      <c r="E634" s="1916" t="e">
        <f>+E627</f>
        <v>#REF!</v>
      </c>
      <c r="F634" s="1916" t="e">
        <f>C634*E634</f>
        <v>#REF!</v>
      </c>
      <c r="I634" s="1083"/>
      <c r="J634" s="1083"/>
      <c r="K634" s="1083"/>
      <c r="L634" s="1083"/>
      <c r="M634" s="1083"/>
      <c r="N634" s="1083"/>
      <c r="O634" s="1083"/>
      <c r="P634" s="1083"/>
      <c r="Q634" s="1083"/>
      <c r="R634" s="1083"/>
      <c r="S634" s="1083"/>
      <c r="T634" s="1083"/>
      <c r="U634" s="1083"/>
      <c r="V634" s="1083"/>
      <c r="W634" s="1083"/>
      <c r="X634" s="1083"/>
      <c r="Y634" s="1083"/>
      <c r="Z634" s="1083"/>
      <c r="AA634" s="1083"/>
      <c r="AB634" s="1083"/>
      <c r="AC634" s="1083"/>
      <c r="AD634" s="1083"/>
      <c r="AE634" s="1083"/>
    </row>
    <row r="635" spans="2:31">
      <c r="B635" s="1916" t="s">
        <v>272</v>
      </c>
      <c r="C635" s="1916">
        <v>1.1499999999999999</v>
      </c>
      <c r="D635" s="1916" t="s">
        <v>126</v>
      </c>
      <c r="E635" s="1916">
        <f>+E611</f>
        <v>2913</v>
      </c>
      <c r="F635" s="1916">
        <f>C635*E635</f>
        <v>3349.95</v>
      </c>
      <c r="I635" s="1083"/>
      <c r="J635" s="1083"/>
      <c r="K635" s="1083"/>
      <c r="L635" s="1083"/>
      <c r="M635" s="1083"/>
      <c r="N635" s="1083"/>
      <c r="O635" s="1083"/>
      <c r="P635" s="1083"/>
      <c r="Q635" s="1083"/>
      <c r="R635" s="1083"/>
      <c r="S635" s="1083"/>
      <c r="T635" s="1083"/>
      <c r="U635" s="1083"/>
      <c r="V635" s="1083"/>
      <c r="W635" s="1083"/>
      <c r="X635" s="1083"/>
      <c r="Y635" s="1083"/>
      <c r="Z635" s="1083"/>
      <c r="AA635" s="1083"/>
      <c r="AB635" s="1083"/>
      <c r="AC635" s="1083"/>
      <c r="AD635" s="1083"/>
      <c r="AE635" s="1083"/>
    </row>
    <row r="636" spans="2:31">
      <c r="B636" s="1916" t="s">
        <v>1089</v>
      </c>
      <c r="C636" s="1916">
        <f>1/0.15</f>
        <v>6.6666666666666696</v>
      </c>
      <c r="D636" s="1916" t="s">
        <v>11</v>
      </c>
      <c r="E636" s="1916">
        <v>225</v>
      </c>
      <c r="F636" s="1916">
        <f>C636*E636</f>
        <v>1500</v>
      </c>
      <c r="I636" s="1083"/>
      <c r="J636" s="1083"/>
      <c r="K636" s="1083"/>
      <c r="L636" s="1083"/>
      <c r="M636" s="1083"/>
      <c r="N636" s="1083"/>
      <c r="O636" s="1083"/>
      <c r="P636" s="1083"/>
      <c r="Q636" s="1083"/>
      <c r="R636" s="1083"/>
      <c r="S636" s="1083"/>
      <c r="T636" s="1083"/>
      <c r="U636" s="1083"/>
      <c r="V636" s="1083"/>
      <c r="W636" s="1083"/>
      <c r="X636" s="1083"/>
      <c r="Y636" s="1083"/>
      <c r="Z636" s="1083"/>
      <c r="AA636" s="1083"/>
      <c r="AB636" s="1083"/>
      <c r="AC636" s="1083"/>
      <c r="AD636" s="1083"/>
      <c r="AE636" s="1083"/>
    </row>
    <row r="637" spans="2:31">
      <c r="B637" s="1916"/>
      <c r="C637" s="1916"/>
      <c r="D637" s="1916"/>
      <c r="E637" s="1916" t="s">
        <v>1031</v>
      </c>
      <c r="F637" s="1916" t="e">
        <f>ROUND(SUM(F634:F636),2)</f>
        <v>#REF!</v>
      </c>
      <c r="I637" s="1083"/>
      <c r="J637" s="1083"/>
      <c r="K637" s="1083"/>
      <c r="L637" s="1083"/>
      <c r="M637" s="1083"/>
      <c r="N637" s="1083"/>
      <c r="O637" s="1083"/>
      <c r="P637" s="1083"/>
      <c r="Q637" s="1083"/>
      <c r="R637" s="1083"/>
      <c r="S637" s="1083"/>
      <c r="T637" s="1083"/>
      <c r="U637" s="1083"/>
      <c r="V637" s="1083"/>
      <c r="W637" s="1083"/>
      <c r="X637" s="1083"/>
      <c r="Y637" s="1083"/>
      <c r="Z637" s="1083"/>
      <c r="AA637" s="1083"/>
      <c r="AB637" s="1083"/>
      <c r="AC637" s="1083"/>
      <c r="AD637" s="1083"/>
      <c r="AE637" s="1083"/>
    </row>
    <row r="638" spans="2:31">
      <c r="B638" s="1130"/>
      <c r="C638" s="1609"/>
      <c r="D638" s="1131"/>
      <c r="E638" s="1132"/>
      <c r="F638" s="1133"/>
      <c r="I638" s="1083"/>
      <c r="J638" s="1083"/>
      <c r="K638" s="1083"/>
      <c r="L638" s="1083"/>
      <c r="M638" s="1083"/>
      <c r="N638" s="1083"/>
      <c r="O638" s="1083"/>
      <c r="P638" s="1083"/>
      <c r="Q638" s="1083"/>
      <c r="R638" s="1083"/>
      <c r="S638" s="1083"/>
      <c r="T638" s="1083"/>
      <c r="U638" s="1083"/>
      <c r="V638" s="1083"/>
      <c r="W638" s="1083"/>
      <c r="X638" s="1083"/>
      <c r="Y638" s="1083"/>
      <c r="Z638" s="1083"/>
      <c r="AA638" s="1083"/>
      <c r="AB638" s="1083"/>
      <c r="AC638" s="1083"/>
      <c r="AD638" s="1083"/>
      <c r="AE638" s="1083"/>
    </row>
    <row r="639" spans="2:31" ht="38.25">
      <c r="B639" s="1153" t="s">
        <v>1010</v>
      </c>
      <c r="C639" s="1609"/>
      <c r="D639" s="1131"/>
      <c r="E639" s="1132"/>
      <c r="F639" s="1133"/>
      <c r="I639" s="1083"/>
      <c r="J639" s="1083"/>
      <c r="K639" s="1083"/>
      <c r="L639" s="1083"/>
      <c r="M639" s="1083"/>
      <c r="N639" s="1083"/>
      <c r="O639" s="1083"/>
      <c r="P639" s="1083"/>
      <c r="Q639" s="1083"/>
      <c r="R639" s="1083"/>
      <c r="S639" s="1083"/>
      <c r="T639" s="1083"/>
      <c r="U639" s="1083"/>
      <c r="V639" s="1083"/>
      <c r="W639" s="1083"/>
      <c r="X639" s="1083"/>
      <c r="Y639" s="1083"/>
      <c r="Z639" s="1083"/>
      <c r="AA639" s="1083"/>
      <c r="AB639" s="1083"/>
      <c r="AC639" s="1083"/>
      <c r="AD639" s="1083"/>
      <c r="AE639" s="1083"/>
    </row>
    <row r="640" spans="2:31">
      <c r="B640" s="1130"/>
      <c r="C640" s="1609"/>
      <c r="D640" s="1131"/>
      <c r="E640" s="1132"/>
      <c r="F640" s="1133"/>
      <c r="I640" s="1083"/>
      <c r="J640" s="1083"/>
      <c r="K640" s="1083"/>
      <c r="L640" s="1083"/>
      <c r="M640" s="1083"/>
      <c r="N640" s="1083"/>
      <c r="O640" s="1083"/>
      <c r="P640" s="1083"/>
      <c r="Q640" s="1083"/>
      <c r="R640" s="1083"/>
      <c r="S640" s="1083"/>
      <c r="T640" s="1083"/>
      <c r="U640" s="1083"/>
      <c r="V640" s="1083"/>
      <c r="W640" s="1083"/>
      <c r="X640" s="1083"/>
      <c r="Y640" s="1083"/>
      <c r="Z640" s="1083"/>
      <c r="AA640" s="1083"/>
      <c r="AB640" s="1083"/>
      <c r="AC640" s="1083"/>
      <c r="AD640" s="1083"/>
      <c r="AE640" s="1083"/>
    </row>
    <row r="641" spans="2:31" ht="13.5" thickBot="1">
      <c r="B641" s="1154" t="s">
        <v>1096</v>
      </c>
      <c r="C641" s="1614"/>
      <c r="D641" s="1136"/>
      <c r="E641" s="1135"/>
      <c r="F641" s="1135"/>
      <c r="I641" s="1083"/>
      <c r="J641" s="1083"/>
      <c r="K641" s="1083"/>
      <c r="L641" s="1083"/>
      <c r="M641" s="1083"/>
      <c r="N641" s="1083"/>
      <c r="O641" s="1083"/>
      <c r="P641" s="1083"/>
      <c r="Q641" s="1083"/>
      <c r="R641" s="1083"/>
      <c r="S641" s="1083"/>
      <c r="T641" s="1083"/>
      <c r="U641" s="1083"/>
      <c r="V641" s="1083"/>
      <c r="W641" s="1083"/>
      <c r="X641" s="1083"/>
      <c r="Y641" s="1083"/>
      <c r="Z641" s="1083"/>
      <c r="AA641" s="1083"/>
      <c r="AB641" s="1083"/>
      <c r="AC641" s="1083"/>
      <c r="AD641" s="1083"/>
      <c r="AE641" s="1083"/>
    </row>
    <row r="642" spans="2:31" ht="13.5" thickTop="1">
      <c r="B642" s="1137" t="s">
        <v>1097</v>
      </c>
      <c r="C642" s="1610">
        <v>1.05</v>
      </c>
      <c r="D642" s="1138" t="s">
        <v>2</v>
      </c>
      <c r="E642" s="1139">
        <f>+E610</f>
        <v>8154.9</v>
      </c>
      <c r="F642" s="1140">
        <f>C642*E642</f>
        <v>8562.65</v>
      </c>
      <c r="I642" s="1083"/>
      <c r="J642" s="1083"/>
      <c r="K642" s="1083"/>
      <c r="L642" s="1083"/>
      <c r="M642" s="1083"/>
      <c r="N642" s="1083"/>
      <c r="O642" s="1083"/>
      <c r="P642" s="1083"/>
      <c r="Q642" s="1083"/>
      <c r="R642" s="1083"/>
      <c r="S642" s="1083"/>
      <c r="T642" s="1083"/>
      <c r="U642" s="1083"/>
      <c r="V642" s="1083"/>
      <c r="W642" s="1083"/>
      <c r="X642" s="1083"/>
      <c r="Y642" s="1083"/>
      <c r="Z642" s="1083"/>
      <c r="AA642" s="1083"/>
      <c r="AB642" s="1083"/>
      <c r="AC642" s="1083"/>
      <c r="AD642" s="1083"/>
      <c r="AE642" s="1083"/>
    </row>
    <row r="643" spans="2:31">
      <c r="B643" s="1141" t="s">
        <v>1087</v>
      </c>
      <c r="C643" s="1611">
        <v>0.46</v>
      </c>
      <c r="D643" s="1142" t="s">
        <v>126</v>
      </c>
      <c r="E643" s="1143">
        <f>+E611</f>
        <v>2913</v>
      </c>
      <c r="F643" s="1144">
        <f>C643*E643</f>
        <v>1339.98</v>
      </c>
      <c r="I643" s="1083"/>
      <c r="J643" s="1083"/>
      <c r="K643" s="1083"/>
      <c r="L643" s="1083"/>
      <c r="M643" s="1083"/>
      <c r="N643" s="1083"/>
      <c r="O643" s="1083"/>
      <c r="P643" s="1083"/>
      <c r="Q643" s="1083"/>
      <c r="R643" s="1083"/>
      <c r="S643" s="1083"/>
      <c r="T643" s="1083"/>
      <c r="U643" s="1083"/>
      <c r="V643" s="1083"/>
      <c r="W643" s="1083"/>
      <c r="X643" s="1083"/>
      <c r="Y643" s="1083"/>
      <c r="Z643" s="1083"/>
      <c r="AA643" s="1083"/>
      <c r="AB643" s="1083"/>
      <c r="AC643" s="1083"/>
      <c r="AD643" s="1083"/>
      <c r="AE643" s="1083"/>
    </row>
    <row r="644" spans="2:31" ht="13.5" thickBot="1">
      <c r="B644" s="1145"/>
      <c r="C644" s="1612"/>
      <c r="D644" s="1146"/>
      <c r="E644" s="1147" t="s">
        <v>1031</v>
      </c>
      <c r="F644" s="1148">
        <f>ROUND(SUM(F642:F643),2)</f>
        <v>9902.6299999999992</v>
      </c>
      <c r="I644" s="1083"/>
      <c r="J644" s="1083"/>
      <c r="K644" s="1083"/>
      <c r="L644" s="1083"/>
      <c r="M644" s="1083"/>
      <c r="N644" s="1083"/>
      <c r="O644" s="1083"/>
      <c r="P644" s="1083"/>
      <c r="Q644" s="1083"/>
      <c r="R644" s="1083"/>
      <c r="S644" s="1083"/>
      <c r="T644" s="1083"/>
      <c r="U644" s="1083"/>
      <c r="V644" s="1083"/>
      <c r="W644" s="1083"/>
      <c r="X644" s="1083"/>
      <c r="Y644" s="1083"/>
      <c r="Z644" s="1083"/>
      <c r="AA644" s="1083"/>
      <c r="AB644" s="1083"/>
      <c r="AC644" s="1083"/>
      <c r="AD644" s="1083"/>
      <c r="AE644" s="1083"/>
    </row>
    <row r="645" spans="2:31" ht="13.5" thickTop="1">
      <c r="B645" s="1130"/>
      <c r="C645" s="1609"/>
      <c r="D645" s="1131"/>
      <c r="E645" s="1132"/>
      <c r="F645" s="1133"/>
      <c r="I645" s="1083"/>
      <c r="J645" s="1083"/>
      <c r="K645" s="1083"/>
      <c r="L645" s="1083"/>
      <c r="M645" s="1083"/>
      <c r="N645" s="1083"/>
      <c r="O645" s="1083"/>
      <c r="P645" s="1083"/>
      <c r="Q645" s="1083"/>
      <c r="R645" s="1083"/>
      <c r="S645" s="1083"/>
      <c r="T645" s="1083"/>
      <c r="U645" s="1083"/>
      <c r="V645" s="1083"/>
      <c r="W645" s="1083"/>
      <c r="X645" s="1083"/>
      <c r="Y645" s="1083"/>
      <c r="Z645" s="1083"/>
      <c r="AA645" s="1083"/>
      <c r="AB645" s="1083"/>
      <c r="AC645" s="1083"/>
      <c r="AD645" s="1083"/>
      <c r="AE645" s="1083"/>
    </row>
    <row r="646" spans="2:31">
      <c r="B646" s="1130"/>
      <c r="C646" s="1609"/>
      <c r="D646" s="1131"/>
      <c r="E646" s="1132"/>
      <c r="F646" s="1133"/>
      <c r="I646" s="1083"/>
      <c r="J646" s="1083"/>
      <c r="K646" s="1083"/>
      <c r="L646" s="1083"/>
      <c r="M646" s="1083"/>
      <c r="N646" s="1083"/>
      <c r="O646" s="1083"/>
      <c r="P646" s="1083"/>
      <c r="Q646" s="1083"/>
      <c r="R646" s="1083"/>
      <c r="S646" s="1083"/>
      <c r="T646" s="1083"/>
      <c r="U646" s="1083"/>
      <c r="V646" s="1083"/>
      <c r="W646" s="1083"/>
      <c r="X646" s="1083"/>
      <c r="Y646" s="1083"/>
      <c r="Z646" s="1083"/>
      <c r="AA646" s="1083"/>
      <c r="AB646" s="1083"/>
      <c r="AC646" s="1083"/>
      <c r="AD646" s="1083"/>
      <c r="AE646" s="1083"/>
    </row>
    <row r="647" spans="2:31" ht="13.5" thickBot="1">
      <c r="B647" s="1154" t="s">
        <v>1011</v>
      </c>
      <c r="C647" s="1609"/>
      <c r="D647" s="1131"/>
      <c r="E647" s="1132"/>
      <c r="F647" s="1133"/>
      <c r="I647" s="1083"/>
      <c r="J647" s="1083"/>
      <c r="K647" s="1083"/>
      <c r="L647" s="1083"/>
      <c r="M647" s="1083"/>
      <c r="N647" s="1083"/>
      <c r="O647" s="1083"/>
      <c r="P647" s="1083"/>
      <c r="Q647" s="1083"/>
      <c r="R647" s="1083"/>
      <c r="S647" s="1083"/>
      <c r="T647" s="1083"/>
      <c r="U647" s="1083"/>
      <c r="V647" s="1083"/>
      <c r="W647" s="1083"/>
      <c r="X647" s="1083"/>
      <c r="Y647" s="1083"/>
      <c r="Z647" s="1083"/>
      <c r="AA647" s="1083"/>
      <c r="AB647" s="1083"/>
      <c r="AC647" s="1083"/>
      <c r="AD647" s="1083"/>
      <c r="AE647" s="1083"/>
    </row>
    <row r="648" spans="2:31" ht="13.5" thickTop="1">
      <c r="B648" s="1137" t="s">
        <v>1097</v>
      </c>
      <c r="C648" s="1610">
        <v>1.05</v>
      </c>
      <c r="D648" s="1138" t="s">
        <v>2</v>
      </c>
      <c r="E648" s="1139">
        <f>E642</f>
        <v>8154.9</v>
      </c>
      <c r="F648" s="1140">
        <f>C648*E648</f>
        <v>8562.65</v>
      </c>
      <c r="I648" s="1083"/>
      <c r="J648" s="1083"/>
      <c r="K648" s="1083"/>
      <c r="L648" s="1083"/>
      <c r="M648" s="1083"/>
      <c r="N648" s="1083"/>
      <c r="O648" s="1083"/>
      <c r="P648" s="1083"/>
      <c r="Q648" s="1083"/>
      <c r="R648" s="1083"/>
      <c r="S648" s="1083"/>
      <c r="T648" s="1083"/>
      <c r="U648" s="1083"/>
      <c r="V648" s="1083"/>
      <c r="W648" s="1083"/>
      <c r="X648" s="1083"/>
      <c r="Y648" s="1083"/>
      <c r="Z648" s="1083"/>
      <c r="AA648" s="1083"/>
      <c r="AB648" s="1083"/>
      <c r="AC648" s="1083"/>
      <c r="AD648" s="1083"/>
      <c r="AE648" s="1083"/>
    </row>
    <row r="649" spans="2:31">
      <c r="B649" s="1141" t="s">
        <v>1087</v>
      </c>
      <c r="C649" s="1611">
        <v>1.28</v>
      </c>
      <c r="D649" s="1142" t="s">
        <v>126</v>
      </c>
      <c r="E649" s="1143">
        <f>E643</f>
        <v>2913</v>
      </c>
      <c r="F649" s="1144">
        <f>C649*E649</f>
        <v>3728.64</v>
      </c>
      <c r="I649" s="1083"/>
      <c r="J649" s="1083"/>
      <c r="K649" s="1083"/>
      <c r="L649" s="1083"/>
      <c r="M649" s="1083"/>
      <c r="N649" s="1083"/>
      <c r="O649" s="1083"/>
      <c r="P649" s="1083"/>
      <c r="Q649" s="1083"/>
      <c r="R649" s="1083"/>
      <c r="S649" s="1083"/>
      <c r="T649" s="1083"/>
      <c r="U649" s="1083"/>
      <c r="V649" s="1083"/>
      <c r="W649" s="1083"/>
      <c r="X649" s="1083"/>
      <c r="Y649" s="1083"/>
      <c r="Z649" s="1083"/>
      <c r="AA649" s="1083"/>
      <c r="AB649" s="1083"/>
      <c r="AC649" s="1083"/>
      <c r="AD649" s="1083"/>
      <c r="AE649" s="1083"/>
    </row>
    <row r="650" spans="2:31" ht="13.5" thickBot="1">
      <c r="B650" s="1145"/>
      <c r="C650" s="1612"/>
      <c r="D650" s="1146"/>
      <c r="E650" s="1147" t="s">
        <v>1031</v>
      </c>
      <c r="F650" s="1148">
        <f>ROUND(SUM(F648:F649),2)</f>
        <v>12291.29</v>
      </c>
      <c r="I650" s="1083"/>
      <c r="J650" s="1083"/>
      <c r="K650" s="1083"/>
      <c r="L650" s="1083"/>
      <c r="M650" s="1083"/>
      <c r="N650" s="1083"/>
      <c r="O650" s="1083"/>
      <c r="P650" s="1083"/>
      <c r="Q650" s="1083"/>
      <c r="R650" s="1083"/>
      <c r="S650" s="1083"/>
      <c r="T650" s="1083"/>
      <c r="U650" s="1083"/>
      <c r="V650" s="1083"/>
      <c r="W650" s="1083"/>
      <c r="X650" s="1083"/>
      <c r="Y650" s="1083"/>
      <c r="Z650" s="1083"/>
      <c r="AA650" s="1083"/>
      <c r="AB650" s="1083"/>
      <c r="AC650" s="1083"/>
      <c r="AD650" s="1083"/>
      <c r="AE650" s="1083"/>
    </row>
    <row r="651" spans="2:31" ht="13.5" thickTop="1">
      <c r="B651" s="1130"/>
      <c r="C651" s="1609"/>
      <c r="D651" s="1131"/>
      <c r="E651" s="1132"/>
      <c r="F651" s="1133"/>
      <c r="I651" s="1083"/>
      <c r="J651" s="1083"/>
      <c r="K651" s="1083"/>
      <c r="L651" s="1083"/>
      <c r="M651" s="1083"/>
      <c r="N651" s="1083"/>
      <c r="O651" s="1083"/>
      <c r="P651" s="1083"/>
      <c r="Q651" s="1083"/>
      <c r="R651" s="1083"/>
      <c r="S651" s="1083"/>
      <c r="T651" s="1083"/>
      <c r="U651" s="1083"/>
      <c r="V651" s="1083"/>
      <c r="W651" s="1083"/>
      <c r="X651" s="1083"/>
      <c r="Y651" s="1083"/>
      <c r="Z651" s="1083"/>
      <c r="AA651" s="1083"/>
      <c r="AB651" s="1083"/>
      <c r="AC651" s="1083"/>
      <c r="AD651" s="1083"/>
      <c r="AE651" s="1083"/>
    </row>
    <row r="652" spans="2:31">
      <c r="B652" s="1130"/>
      <c r="C652" s="1609"/>
      <c r="D652" s="1131"/>
      <c r="E652" s="1132"/>
      <c r="F652" s="1133"/>
      <c r="I652" s="1083"/>
      <c r="J652" s="1083"/>
      <c r="K652" s="1083"/>
      <c r="L652" s="1083"/>
      <c r="M652" s="1083"/>
      <c r="N652" s="1083"/>
      <c r="O652" s="1083"/>
      <c r="P652" s="1083"/>
      <c r="Q652" s="1083"/>
      <c r="R652" s="1083"/>
      <c r="S652" s="1083"/>
      <c r="T652" s="1083"/>
      <c r="U652" s="1083"/>
      <c r="V652" s="1083"/>
      <c r="W652" s="1083"/>
      <c r="X652" s="1083"/>
      <c r="Y652" s="1083"/>
      <c r="Z652" s="1083"/>
      <c r="AA652" s="1083"/>
      <c r="AB652" s="1083"/>
      <c r="AC652" s="1083"/>
      <c r="AD652" s="1083"/>
      <c r="AE652" s="1083"/>
    </row>
    <row r="653" spans="2:31" ht="13.5" thickBot="1">
      <c r="B653" s="1155" t="s">
        <v>1012</v>
      </c>
      <c r="C653" s="1614"/>
      <c r="D653" s="1135"/>
      <c r="E653" s="1135"/>
      <c r="F653" s="1135"/>
      <c r="I653" s="1083"/>
      <c r="J653" s="1083"/>
      <c r="K653" s="1083"/>
      <c r="L653" s="1083"/>
      <c r="M653" s="1083"/>
      <c r="N653" s="1083"/>
      <c r="O653" s="1083"/>
      <c r="P653" s="1083"/>
      <c r="Q653" s="1083"/>
      <c r="R653" s="1083"/>
      <c r="S653" s="1083"/>
      <c r="T653" s="1083"/>
      <c r="U653" s="1083"/>
      <c r="V653" s="1083"/>
      <c r="W653" s="1083"/>
      <c r="X653" s="1083"/>
      <c r="Y653" s="1083"/>
      <c r="Z653" s="1083"/>
      <c r="AA653" s="1083"/>
      <c r="AB653" s="1083"/>
      <c r="AC653" s="1083"/>
      <c r="AD653" s="1083"/>
      <c r="AE653" s="1083"/>
    </row>
    <row r="654" spans="2:31" ht="13.5" thickTop="1">
      <c r="B654" s="1137" t="s">
        <v>1097</v>
      </c>
      <c r="C654" s="1610">
        <v>1.05</v>
      </c>
      <c r="D654" s="1138" t="s">
        <v>2</v>
      </c>
      <c r="E654" s="1139">
        <f>+E87</f>
        <v>8154.9</v>
      </c>
      <c r="F654" s="1140">
        <f>C654*E654</f>
        <v>8562.65</v>
      </c>
      <c r="I654" s="1083"/>
      <c r="J654" s="1083"/>
      <c r="K654" s="1083"/>
      <c r="L654" s="1083"/>
      <c r="M654" s="1083"/>
      <c r="N654" s="1083"/>
      <c r="O654" s="1083"/>
      <c r="P654" s="1083"/>
      <c r="Q654" s="1083"/>
      <c r="R654" s="1083"/>
      <c r="S654" s="1083"/>
      <c r="T654" s="1083"/>
      <c r="U654" s="1083"/>
      <c r="V654" s="1083"/>
      <c r="W654" s="1083"/>
      <c r="X654" s="1083"/>
      <c r="Y654" s="1083"/>
      <c r="Z654" s="1083"/>
      <c r="AA654" s="1083"/>
      <c r="AB654" s="1083"/>
      <c r="AC654" s="1083"/>
      <c r="AD654" s="1083"/>
      <c r="AE654" s="1083"/>
    </row>
    <row r="655" spans="2:31">
      <c r="B655" s="1141" t="s">
        <v>1092</v>
      </c>
      <c r="C655" s="1611">
        <v>6.63</v>
      </c>
      <c r="D655" s="1142" t="s">
        <v>126</v>
      </c>
      <c r="E655" s="1143">
        <f>+E621</f>
        <v>2590</v>
      </c>
      <c r="F655" s="1144">
        <f>C655*E655</f>
        <v>17171.7</v>
      </c>
      <c r="I655" s="1083"/>
      <c r="J655" s="1083"/>
      <c r="K655" s="1083"/>
      <c r="L655" s="1083"/>
      <c r="M655" s="1083"/>
      <c r="N655" s="1083"/>
      <c r="O655" s="1083"/>
      <c r="P655" s="1083"/>
      <c r="Q655" s="1083"/>
      <c r="R655" s="1083"/>
      <c r="S655" s="1083"/>
      <c r="T655" s="1083"/>
      <c r="U655" s="1083"/>
      <c r="V655" s="1083"/>
      <c r="W655" s="1083"/>
      <c r="X655" s="1083"/>
      <c r="Y655" s="1083"/>
      <c r="Z655" s="1083"/>
      <c r="AA655" s="1083"/>
      <c r="AB655" s="1083"/>
      <c r="AC655" s="1083"/>
      <c r="AD655" s="1083"/>
      <c r="AE655" s="1083"/>
    </row>
    <row r="656" spans="2:31">
      <c r="B656" s="1141" t="s">
        <v>1089</v>
      </c>
      <c r="C656" s="1611">
        <f>1/(0.25*0.25)</f>
        <v>16</v>
      </c>
      <c r="D656" s="1152" t="s">
        <v>1</v>
      </c>
      <c r="E656" s="1143">
        <v>400</v>
      </c>
      <c r="F656" s="1144">
        <f>C656*E656</f>
        <v>6400</v>
      </c>
      <c r="I656" s="1083"/>
      <c r="J656" s="1083"/>
      <c r="K656" s="1083"/>
      <c r="L656" s="1083"/>
      <c r="M656" s="1083"/>
      <c r="N656" s="1083"/>
      <c r="O656" s="1083"/>
      <c r="P656" s="1083"/>
      <c r="Q656" s="1083"/>
      <c r="R656" s="1083"/>
      <c r="S656" s="1083"/>
      <c r="T656" s="1083"/>
      <c r="U656" s="1083"/>
      <c r="V656" s="1083"/>
      <c r="W656" s="1083"/>
      <c r="X656" s="1083"/>
      <c r="Y656" s="1083"/>
      <c r="Z656" s="1083"/>
      <c r="AA656" s="1083"/>
      <c r="AB656" s="1083"/>
      <c r="AC656" s="1083"/>
      <c r="AD656" s="1083"/>
      <c r="AE656" s="1083"/>
    </row>
    <row r="657" spans="2:31">
      <c r="B657" s="1141" t="s">
        <v>1093</v>
      </c>
      <c r="C657" s="1611">
        <f>+C656</f>
        <v>16</v>
      </c>
      <c r="D657" s="1152" t="s">
        <v>1</v>
      </c>
      <c r="E657" s="1143">
        <v>110</v>
      </c>
      <c r="F657" s="1144">
        <f>C657*E657</f>
        <v>1760</v>
      </c>
      <c r="I657" s="1083"/>
      <c r="J657" s="1083"/>
      <c r="K657" s="1083"/>
      <c r="L657" s="1083"/>
      <c r="M657" s="1083"/>
      <c r="N657" s="1083"/>
      <c r="O657" s="1083"/>
      <c r="P657" s="1083"/>
      <c r="Q657" s="1083"/>
      <c r="R657" s="1083"/>
      <c r="S657" s="1083"/>
      <c r="T657" s="1083"/>
      <c r="U657" s="1083"/>
      <c r="V657" s="1083"/>
      <c r="W657" s="1083"/>
      <c r="X657" s="1083"/>
      <c r="Y657" s="1083"/>
      <c r="Z657" s="1083"/>
      <c r="AA657" s="1083"/>
      <c r="AB657" s="1083"/>
      <c r="AC657" s="1083"/>
      <c r="AD657" s="1083"/>
      <c r="AE657" s="1083"/>
    </row>
    <row r="658" spans="2:31" ht="13.5" thickBot="1">
      <c r="B658" s="1145"/>
      <c r="C658" s="1612"/>
      <c r="D658" s="1146"/>
      <c r="E658" s="1147" t="s">
        <v>1031</v>
      </c>
      <c r="F658" s="1148">
        <f>ROUND(SUM(F654:F657),2)</f>
        <v>33894.35</v>
      </c>
      <c r="I658" s="1083"/>
      <c r="J658" s="1083"/>
      <c r="K658" s="1083"/>
      <c r="L658" s="1083"/>
      <c r="M658" s="1083"/>
      <c r="N658" s="1083"/>
      <c r="O658" s="1083"/>
      <c r="P658" s="1083"/>
      <c r="Q658" s="1083"/>
      <c r="R658" s="1083"/>
      <c r="S658" s="1083"/>
      <c r="T658" s="1083"/>
      <c r="U658" s="1083"/>
      <c r="V658" s="1083"/>
      <c r="W658" s="1083"/>
      <c r="X658" s="1083"/>
      <c r="Y658" s="1083"/>
      <c r="Z658" s="1083"/>
      <c r="AA658" s="1083"/>
      <c r="AB658" s="1083"/>
      <c r="AC658" s="1083"/>
      <c r="AD658" s="1083"/>
      <c r="AE658" s="1083"/>
    </row>
    <row r="659" spans="2:31" ht="13.5" thickTop="1">
      <c r="B659" s="1130"/>
      <c r="C659" s="1609"/>
      <c r="D659" s="1131"/>
      <c r="E659" s="1132"/>
      <c r="F659" s="1133"/>
      <c r="I659" s="1083"/>
      <c r="J659" s="1083"/>
      <c r="K659" s="1083"/>
      <c r="L659" s="1083"/>
      <c r="M659" s="1083"/>
      <c r="N659" s="1083"/>
      <c r="O659" s="1083"/>
      <c r="P659" s="1083"/>
      <c r="Q659" s="1083"/>
      <c r="R659" s="1083"/>
      <c r="S659" s="1083"/>
      <c r="T659" s="1083"/>
      <c r="U659" s="1083"/>
      <c r="V659" s="1083"/>
      <c r="W659" s="1083"/>
      <c r="X659" s="1083"/>
      <c r="Y659" s="1083"/>
      <c r="Z659" s="1083"/>
      <c r="AA659" s="1083"/>
      <c r="AB659" s="1083"/>
      <c r="AC659" s="1083"/>
      <c r="AD659" s="1083"/>
      <c r="AE659" s="1083"/>
    </row>
    <row r="660" spans="2:31" ht="13.5" thickBot="1">
      <c r="B660" s="1155" t="s">
        <v>1013</v>
      </c>
      <c r="C660" s="1609"/>
      <c r="D660" s="1131"/>
      <c r="E660" s="1132"/>
      <c r="F660" s="1133"/>
      <c r="I660" s="1083"/>
      <c r="J660" s="1083"/>
      <c r="K660" s="1083"/>
      <c r="L660" s="1083"/>
      <c r="M660" s="1083"/>
      <c r="N660" s="1083"/>
      <c r="O660" s="1083"/>
      <c r="P660" s="1083"/>
      <c r="Q660" s="1083"/>
      <c r="R660" s="1083"/>
      <c r="S660" s="1083"/>
      <c r="T660" s="1083"/>
      <c r="U660" s="1083"/>
      <c r="V660" s="1083"/>
      <c r="W660" s="1083"/>
      <c r="X660" s="1083"/>
      <c r="Y660" s="1083"/>
      <c r="Z660" s="1083"/>
      <c r="AA660" s="1083"/>
      <c r="AB660" s="1083"/>
      <c r="AC660" s="1083"/>
      <c r="AD660" s="1083"/>
      <c r="AE660" s="1083"/>
    </row>
    <row r="661" spans="2:31" ht="13.5" thickTop="1">
      <c r="B661" s="1137" t="s">
        <v>1097</v>
      </c>
      <c r="C661" s="1610">
        <v>1.05</v>
      </c>
      <c r="D661" s="1138" t="s">
        <v>2</v>
      </c>
      <c r="E661" s="1139">
        <f>+E654</f>
        <v>8154.9</v>
      </c>
      <c r="F661" s="1140">
        <f>C661*E661</f>
        <v>8562.65</v>
      </c>
      <c r="I661" s="1083"/>
      <c r="J661" s="1083"/>
      <c r="K661" s="1083"/>
      <c r="L661" s="1083"/>
      <c r="M661" s="1083"/>
      <c r="N661" s="1083"/>
      <c r="O661" s="1083"/>
      <c r="P661" s="1083"/>
      <c r="Q661" s="1083"/>
      <c r="R661" s="1083"/>
      <c r="S661" s="1083"/>
      <c r="T661" s="1083"/>
      <c r="U661" s="1083"/>
      <c r="V661" s="1083"/>
      <c r="W661" s="1083"/>
      <c r="X661" s="1083"/>
      <c r="Y661" s="1083"/>
      <c r="Z661" s="1083"/>
      <c r="AA661" s="1083"/>
      <c r="AB661" s="1083"/>
      <c r="AC661" s="1083"/>
      <c r="AD661" s="1083"/>
      <c r="AE661" s="1083"/>
    </row>
    <row r="662" spans="2:31">
      <c r="B662" s="1141" t="s">
        <v>1092</v>
      </c>
      <c r="C662" s="1611">
        <v>4.05</v>
      </c>
      <c r="D662" s="1142" t="s">
        <v>126</v>
      </c>
      <c r="E662" s="1143">
        <f>+E655</f>
        <v>2590</v>
      </c>
      <c r="F662" s="1144">
        <f>C662*E662</f>
        <v>10489.5</v>
      </c>
      <c r="I662" s="1083"/>
      <c r="J662" s="1083"/>
      <c r="K662" s="1083"/>
      <c r="L662" s="1083"/>
      <c r="M662" s="1083"/>
      <c r="N662" s="1083"/>
      <c r="O662" s="1083"/>
      <c r="P662" s="1083"/>
      <c r="Q662" s="1083"/>
      <c r="R662" s="1083"/>
      <c r="S662" s="1083"/>
      <c r="T662" s="1083"/>
      <c r="U662" s="1083"/>
      <c r="V662" s="1083"/>
      <c r="W662" s="1083"/>
      <c r="X662" s="1083"/>
      <c r="Y662" s="1083"/>
      <c r="Z662" s="1083"/>
      <c r="AA662" s="1083"/>
      <c r="AB662" s="1083"/>
      <c r="AC662" s="1083"/>
      <c r="AD662" s="1083"/>
      <c r="AE662" s="1083"/>
    </row>
    <row r="663" spans="2:31">
      <c r="B663" s="1141" t="s">
        <v>1089</v>
      </c>
      <c r="C663" s="1611">
        <f>1/(0.25*0.3)</f>
        <v>13.33</v>
      </c>
      <c r="D663" s="1152" t="s">
        <v>1</v>
      </c>
      <c r="E663" s="1143">
        <v>400</v>
      </c>
      <c r="F663" s="1144">
        <f>C663*E663</f>
        <v>5332</v>
      </c>
      <c r="I663" s="1083"/>
      <c r="J663" s="1083"/>
      <c r="K663" s="1083"/>
      <c r="L663" s="1083"/>
      <c r="M663" s="1083"/>
      <c r="N663" s="1083"/>
      <c r="O663" s="1083"/>
      <c r="P663" s="1083"/>
      <c r="Q663" s="1083"/>
      <c r="R663" s="1083"/>
      <c r="S663" s="1083"/>
      <c r="T663" s="1083"/>
      <c r="U663" s="1083"/>
      <c r="V663" s="1083"/>
      <c r="W663" s="1083"/>
      <c r="X663" s="1083"/>
      <c r="Y663" s="1083"/>
      <c r="Z663" s="1083"/>
      <c r="AA663" s="1083"/>
      <c r="AB663" s="1083"/>
      <c r="AC663" s="1083"/>
      <c r="AD663" s="1083"/>
      <c r="AE663" s="1083"/>
    </row>
    <row r="664" spans="2:31">
      <c r="B664" s="1141" t="s">
        <v>1093</v>
      </c>
      <c r="C664" s="1611">
        <f>+C663</f>
        <v>13.33</v>
      </c>
      <c r="D664" s="1152" t="s">
        <v>1</v>
      </c>
      <c r="E664" s="1143">
        <v>110</v>
      </c>
      <c r="F664" s="1144">
        <f>C664*E664</f>
        <v>1466.3</v>
      </c>
      <c r="I664" s="1083"/>
      <c r="J664" s="1083"/>
      <c r="K664" s="1083"/>
      <c r="L664" s="1083"/>
      <c r="M664" s="1083"/>
      <c r="N664" s="1083"/>
      <c r="O664" s="1083"/>
      <c r="P664" s="1083"/>
      <c r="Q664" s="1083"/>
      <c r="R664" s="1083"/>
      <c r="S664" s="1083"/>
      <c r="T664" s="1083"/>
      <c r="U664" s="1083"/>
      <c r="V664" s="1083"/>
      <c r="W664" s="1083"/>
      <c r="X664" s="1083"/>
      <c r="Y664" s="1083"/>
      <c r="Z664" s="1083"/>
      <c r="AA664" s="1083"/>
      <c r="AB664" s="1083"/>
      <c r="AC664" s="1083"/>
      <c r="AD664" s="1083"/>
      <c r="AE664" s="1083"/>
    </row>
    <row r="665" spans="2:31" ht="13.5" thickBot="1">
      <c r="B665" s="1145"/>
      <c r="C665" s="1612"/>
      <c r="D665" s="1146"/>
      <c r="E665" s="1147" t="s">
        <v>1031</v>
      </c>
      <c r="F665" s="1148">
        <f>ROUND(SUM(F661:F664),2)</f>
        <v>25850.45</v>
      </c>
      <c r="I665" s="1083"/>
      <c r="J665" s="1083"/>
      <c r="K665" s="1083"/>
      <c r="L665" s="1083"/>
      <c r="M665" s="1083"/>
      <c r="N665" s="1083"/>
      <c r="O665" s="1083"/>
      <c r="P665" s="1083"/>
      <c r="Q665" s="1083"/>
      <c r="R665" s="1083"/>
      <c r="S665" s="1083"/>
      <c r="T665" s="1083"/>
      <c r="U665" s="1083"/>
      <c r="V665" s="1083"/>
      <c r="W665" s="1083"/>
      <c r="X665" s="1083"/>
      <c r="Y665" s="1083"/>
      <c r="Z665" s="1083"/>
      <c r="AA665" s="1083"/>
      <c r="AB665" s="1083"/>
      <c r="AC665" s="1083"/>
      <c r="AD665" s="1083"/>
      <c r="AE665" s="1083"/>
    </row>
    <row r="666" spans="2:31" ht="13.5" thickTop="1">
      <c r="B666" s="1130"/>
      <c r="C666" s="1609"/>
      <c r="D666" s="1131"/>
      <c r="E666" s="1132"/>
      <c r="F666" s="1133"/>
      <c r="I666" s="1083"/>
      <c r="J666" s="1083"/>
      <c r="K666" s="1083"/>
      <c r="L666" s="1083"/>
      <c r="M666" s="1083"/>
      <c r="N666" s="1083"/>
      <c r="O666" s="1083"/>
      <c r="P666" s="1083"/>
      <c r="Q666" s="1083"/>
      <c r="R666" s="1083"/>
      <c r="S666" s="1083"/>
      <c r="T666" s="1083"/>
      <c r="U666" s="1083"/>
      <c r="V666" s="1083"/>
      <c r="W666" s="1083"/>
      <c r="X666" s="1083"/>
      <c r="Y666" s="1083"/>
      <c r="Z666" s="1083"/>
      <c r="AA666" s="1083"/>
      <c r="AB666" s="1083"/>
      <c r="AC666" s="1083"/>
      <c r="AD666" s="1083"/>
      <c r="AE666" s="1083"/>
    </row>
    <row r="667" spans="2:31" ht="13.5" thickBot="1">
      <c r="B667" s="1154" t="s">
        <v>1015</v>
      </c>
      <c r="C667" s="1609"/>
      <c r="D667" s="1131"/>
      <c r="E667" s="1132"/>
      <c r="F667" s="1133"/>
      <c r="I667" s="1083"/>
      <c r="J667" s="1083"/>
      <c r="K667" s="1083"/>
      <c r="L667" s="1083"/>
      <c r="M667" s="1083"/>
      <c r="N667" s="1083"/>
      <c r="O667" s="1083"/>
      <c r="P667" s="1083"/>
      <c r="Q667" s="1083"/>
      <c r="R667" s="1083"/>
      <c r="S667" s="1083"/>
      <c r="T667" s="1083"/>
      <c r="U667" s="1083"/>
      <c r="V667" s="1083"/>
      <c r="W667" s="1083"/>
      <c r="X667" s="1083"/>
      <c r="Y667" s="1083"/>
      <c r="Z667" s="1083"/>
      <c r="AA667" s="1083"/>
      <c r="AB667" s="1083"/>
      <c r="AC667" s="1083"/>
      <c r="AD667" s="1083"/>
      <c r="AE667" s="1083"/>
    </row>
    <row r="668" spans="2:31" ht="13.5" thickTop="1">
      <c r="B668" s="1137" t="s">
        <v>1097</v>
      </c>
      <c r="C668" s="1610">
        <v>1.05</v>
      </c>
      <c r="D668" s="1138" t="s">
        <v>2</v>
      </c>
      <c r="E668" s="1139">
        <f>+E661</f>
        <v>8154.9</v>
      </c>
      <c r="F668" s="1140">
        <f>C668*E668</f>
        <v>8562.65</v>
      </c>
      <c r="I668" s="1083"/>
      <c r="J668" s="1083"/>
      <c r="K668" s="1083"/>
      <c r="L668" s="1083"/>
      <c r="M668" s="1083"/>
      <c r="N668" s="1083"/>
      <c r="O668" s="1083"/>
      <c r="P668" s="1083"/>
      <c r="Q668" s="1083"/>
      <c r="R668" s="1083"/>
      <c r="S668" s="1083"/>
      <c r="T668" s="1083"/>
      <c r="U668" s="1083"/>
      <c r="V668" s="1083"/>
      <c r="W668" s="1083"/>
      <c r="X668" s="1083"/>
      <c r="Y668" s="1083"/>
      <c r="Z668" s="1083"/>
      <c r="AA668" s="1083"/>
      <c r="AB668" s="1083"/>
      <c r="AC668" s="1083"/>
      <c r="AD668" s="1083"/>
      <c r="AE668" s="1083"/>
    </row>
    <row r="669" spans="2:31">
      <c r="B669" s="1141" t="s">
        <v>1087</v>
      </c>
      <c r="C669" s="1611">
        <v>3.2</v>
      </c>
      <c r="D669" s="1142" t="s">
        <v>126</v>
      </c>
      <c r="E669" s="1143">
        <f>+E297</f>
        <v>2913</v>
      </c>
      <c r="F669" s="1144">
        <f>C669*E669</f>
        <v>9321.6</v>
      </c>
      <c r="I669" s="1083"/>
      <c r="J669" s="1083"/>
      <c r="K669" s="1083"/>
      <c r="L669" s="1083"/>
      <c r="M669" s="1083"/>
      <c r="N669" s="1083"/>
      <c r="O669" s="1083"/>
      <c r="P669" s="1083"/>
      <c r="Q669" s="1083"/>
      <c r="R669" s="1083"/>
      <c r="S669" s="1083"/>
      <c r="T669" s="1083"/>
      <c r="U669" s="1083"/>
      <c r="V669" s="1083"/>
      <c r="W669" s="1083"/>
      <c r="X669" s="1083"/>
      <c r="Y669" s="1083"/>
      <c r="Z669" s="1083"/>
      <c r="AA669" s="1083"/>
      <c r="AB669" s="1083"/>
      <c r="AC669" s="1083"/>
      <c r="AD669" s="1083"/>
      <c r="AE669" s="1083"/>
    </row>
    <row r="670" spans="2:31">
      <c r="B670" s="1141" t="s">
        <v>1089</v>
      </c>
      <c r="C670" s="1611">
        <f>1/0.25</f>
        <v>4</v>
      </c>
      <c r="D670" s="1152" t="s">
        <v>11</v>
      </c>
      <c r="E670" s="1143">
        <v>1200</v>
      </c>
      <c r="F670" s="1144">
        <f>C670*E670</f>
        <v>4800</v>
      </c>
      <c r="I670" s="1083"/>
      <c r="J670" s="1083"/>
      <c r="K670" s="1083"/>
      <c r="L670" s="1083"/>
      <c r="M670" s="1083"/>
      <c r="N670" s="1083"/>
      <c r="O670" s="1083"/>
      <c r="P670" s="1083"/>
      <c r="Q670" s="1083"/>
      <c r="R670" s="1083"/>
      <c r="S670" s="1083"/>
      <c r="T670" s="1083"/>
      <c r="U670" s="1083"/>
      <c r="V670" s="1083"/>
      <c r="W670" s="1083"/>
      <c r="X670" s="1083"/>
      <c r="Y670" s="1083"/>
      <c r="Z670" s="1083"/>
      <c r="AA670" s="1083"/>
      <c r="AB670" s="1083"/>
      <c r="AC670" s="1083"/>
      <c r="AD670" s="1083"/>
      <c r="AE670" s="1083"/>
    </row>
    <row r="671" spans="2:31" ht="13.5" thickBot="1">
      <c r="B671" s="1145"/>
      <c r="C671" s="1612"/>
      <c r="D671" s="1146"/>
      <c r="E671" s="1147" t="s">
        <v>1031</v>
      </c>
      <c r="F671" s="1148">
        <f>ROUND(SUM(F668:F670),2)</f>
        <v>22684.25</v>
      </c>
      <c r="I671" s="1083"/>
      <c r="J671" s="1083"/>
      <c r="K671" s="1083"/>
      <c r="L671" s="1083"/>
      <c r="M671" s="1083"/>
      <c r="N671" s="1083"/>
      <c r="O671" s="1083"/>
      <c r="P671" s="1083"/>
      <c r="Q671" s="1083"/>
      <c r="R671" s="1083"/>
      <c r="S671" s="1083"/>
      <c r="T671" s="1083"/>
      <c r="U671" s="1083"/>
      <c r="V671" s="1083"/>
      <c r="W671" s="1083"/>
      <c r="X671" s="1083"/>
      <c r="Y671" s="1083"/>
      <c r="Z671" s="1083"/>
      <c r="AA671" s="1083"/>
      <c r="AB671" s="1083"/>
      <c r="AC671" s="1083"/>
      <c r="AD671" s="1083"/>
      <c r="AE671" s="1083"/>
    </row>
    <row r="672" spans="2:31" ht="13.5" thickTop="1">
      <c r="B672" s="1130"/>
      <c r="C672" s="1609"/>
      <c r="D672" s="1131"/>
      <c r="E672" s="1132"/>
      <c r="F672" s="1133"/>
      <c r="I672" s="1083"/>
      <c r="J672" s="1083"/>
      <c r="K672" s="1083"/>
      <c r="L672" s="1083"/>
      <c r="M672" s="1083"/>
      <c r="N672" s="1083"/>
      <c r="O672" s="1083"/>
      <c r="P672" s="1083"/>
      <c r="Q672" s="1083"/>
      <c r="R672" s="1083"/>
      <c r="S672" s="1083"/>
      <c r="T672" s="1083"/>
      <c r="U672" s="1083"/>
      <c r="V672" s="1083"/>
      <c r="W672" s="1083"/>
      <c r="X672" s="1083"/>
      <c r="Y672" s="1083"/>
      <c r="Z672" s="1083"/>
      <c r="AA672" s="1083"/>
      <c r="AB672" s="1083"/>
      <c r="AC672" s="1083"/>
      <c r="AD672" s="1083"/>
      <c r="AE672" s="1083"/>
    </row>
    <row r="673" spans="2:31" ht="13.5" thickBot="1">
      <c r="B673" s="1154" t="s">
        <v>1016</v>
      </c>
      <c r="C673" s="1609"/>
      <c r="D673" s="1131"/>
      <c r="E673" s="1132"/>
      <c r="F673" s="113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1083"/>
      <c r="AE673" s="1083"/>
    </row>
    <row r="674" spans="2:31" ht="13.5" thickTop="1">
      <c r="B674" s="1137" t="s">
        <v>1097</v>
      </c>
      <c r="C674" s="1610">
        <v>1.05</v>
      </c>
      <c r="D674" s="1138" t="s">
        <v>2</v>
      </c>
      <c r="E674" s="1139">
        <f>+E668</f>
        <v>8154.9</v>
      </c>
      <c r="F674" s="1140">
        <f>C674*E674</f>
        <v>8562.65</v>
      </c>
      <c r="I674" s="1083"/>
      <c r="J674" s="1083"/>
      <c r="K674" s="1083"/>
      <c r="L674" s="1083"/>
      <c r="M674" s="1083"/>
      <c r="N674" s="1083"/>
      <c r="O674" s="1083"/>
      <c r="P674" s="1083"/>
      <c r="Q674" s="1083"/>
      <c r="R674" s="1083"/>
      <c r="S674" s="1083"/>
      <c r="T674" s="1083"/>
      <c r="U674" s="1083"/>
      <c r="V674" s="1083"/>
      <c r="W674" s="1083"/>
      <c r="X674" s="1083"/>
      <c r="Y674" s="1083"/>
      <c r="Z674" s="1083"/>
      <c r="AA674" s="1083"/>
      <c r="AB674" s="1083"/>
      <c r="AC674" s="1083"/>
      <c r="AD674" s="1083"/>
      <c r="AE674" s="1083"/>
    </row>
    <row r="675" spans="2:31">
      <c r="B675" s="1141" t="s">
        <v>272</v>
      </c>
      <c r="C675" s="1611">
        <v>1.76</v>
      </c>
      <c r="D675" s="1142" t="s">
        <v>126</v>
      </c>
      <c r="E675" s="1143">
        <f>+E635</f>
        <v>2913</v>
      </c>
      <c r="F675" s="1144">
        <f>C675*E675</f>
        <v>5126.88</v>
      </c>
      <c r="I675" s="1083"/>
      <c r="J675" s="1083"/>
      <c r="K675" s="1083"/>
      <c r="L675" s="1083"/>
      <c r="M675" s="1083"/>
      <c r="N675" s="1083"/>
      <c r="O675" s="1083"/>
      <c r="P675" s="1083"/>
      <c r="Q675" s="1083"/>
      <c r="R675" s="1083"/>
      <c r="S675" s="1083"/>
      <c r="T675" s="1083"/>
      <c r="U675" s="1083"/>
      <c r="V675" s="1083"/>
      <c r="W675" s="1083"/>
      <c r="X675" s="1083"/>
      <c r="Y675" s="1083"/>
      <c r="Z675" s="1083"/>
      <c r="AA675" s="1083"/>
      <c r="AB675" s="1083"/>
      <c r="AC675" s="1083"/>
      <c r="AD675" s="1083"/>
      <c r="AE675" s="1083"/>
    </row>
    <row r="676" spans="2:31">
      <c r="B676" s="1141" t="s">
        <v>1089</v>
      </c>
      <c r="C676" s="1611">
        <f>1/0.15</f>
        <v>6.67</v>
      </c>
      <c r="D676" s="1152" t="s">
        <v>11</v>
      </c>
      <c r="E676" s="1143">
        <v>350</v>
      </c>
      <c r="F676" s="1144">
        <f>C676*E676</f>
        <v>2334.5</v>
      </c>
      <c r="I676" s="1083"/>
      <c r="J676" s="1083"/>
      <c r="K676" s="1083"/>
      <c r="L676" s="1083"/>
      <c r="M676" s="1083"/>
      <c r="N676" s="1083"/>
      <c r="O676" s="1083"/>
      <c r="P676" s="1083"/>
      <c r="Q676" s="1083"/>
      <c r="R676" s="1083"/>
      <c r="S676" s="1083"/>
      <c r="T676" s="1083"/>
      <c r="U676" s="1083"/>
      <c r="V676" s="1083"/>
      <c r="W676" s="1083"/>
      <c r="X676" s="1083"/>
      <c r="Y676" s="1083"/>
      <c r="Z676" s="1083"/>
      <c r="AA676" s="1083"/>
      <c r="AB676" s="1083"/>
      <c r="AC676" s="1083"/>
      <c r="AD676" s="1083"/>
      <c r="AE676" s="1083"/>
    </row>
    <row r="677" spans="2:31" ht="13.5" thickBot="1">
      <c r="B677" s="1145"/>
      <c r="C677" s="1612"/>
      <c r="D677" s="1146"/>
      <c r="E677" s="1147" t="s">
        <v>1031</v>
      </c>
      <c r="F677" s="1148">
        <f>ROUND(SUM(F674:F676),2)</f>
        <v>16024.03</v>
      </c>
      <c r="I677" s="1083"/>
      <c r="J677" s="1083"/>
      <c r="K677" s="1083"/>
      <c r="L677" s="1083"/>
      <c r="M677" s="1083"/>
      <c r="N677" s="1083"/>
      <c r="O677" s="1083"/>
      <c r="P677" s="1083"/>
      <c r="Q677" s="1083"/>
      <c r="R677" s="1083"/>
      <c r="S677" s="1083"/>
      <c r="T677" s="1083"/>
      <c r="U677" s="1083"/>
      <c r="V677" s="1083"/>
      <c r="W677" s="1083"/>
      <c r="X677" s="1083"/>
      <c r="Y677" s="1083"/>
      <c r="Z677" s="1083"/>
      <c r="AA677" s="1083"/>
      <c r="AB677" s="1083"/>
      <c r="AC677" s="1083"/>
      <c r="AD677" s="1083"/>
      <c r="AE677" s="1083"/>
    </row>
    <row r="678" spans="2:31" ht="13.5" thickTop="1">
      <c r="B678" s="1130"/>
      <c r="C678" s="1609"/>
      <c r="D678" s="1131"/>
      <c r="E678" s="1132"/>
      <c r="F678" s="1133"/>
      <c r="I678" s="1083"/>
      <c r="J678" s="1083"/>
      <c r="K678" s="1083"/>
      <c r="L678" s="1083"/>
      <c r="M678" s="1083"/>
      <c r="N678" s="1083"/>
      <c r="O678" s="1083"/>
      <c r="P678" s="1083"/>
      <c r="Q678" s="1083"/>
      <c r="R678" s="1083"/>
      <c r="S678" s="1083"/>
      <c r="T678" s="1083"/>
      <c r="U678" s="1083"/>
      <c r="V678" s="1083"/>
      <c r="W678" s="1083"/>
      <c r="X678" s="1083"/>
      <c r="Y678" s="1083"/>
      <c r="Z678" s="1083"/>
      <c r="AA678" s="1083"/>
      <c r="AB678" s="1083"/>
      <c r="AC678" s="1083"/>
      <c r="AD678" s="1083"/>
      <c r="AE678" s="1083"/>
    </row>
    <row r="679" spans="2:31" ht="13.5" thickBot="1">
      <c r="B679" s="1154" t="s">
        <v>1014</v>
      </c>
      <c r="C679" s="1614"/>
      <c r="D679" s="1135"/>
      <c r="E679" s="1135"/>
      <c r="F679" s="1135"/>
      <c r="I679" s="1083"/>
      <c r="J679" s="1083"/>
      <c r="K679" s="1083"/>
      <c r="L679" s="1083"/>
      <c r="M679" s="1083"/>
      <c r="N679" s="1083"/>
      <c r="O679" s="1083"/>
      <c r="P679" s="1083"/>
      <c r="Q679" s="1083"/>
      <c r="R679" s="1083"/>
      <c r="S679" s="1083"/>
      <c r="T679" s="1083"/>
      <c r="U679" s="1083"/>
      <c r="V679" s="1083"/>
      <c r="W679" s="1083"/>
      <c r="X679" s="1083"/>
      <c r="Y679" s="1083"/>
      <c r="Z679" s="1083"/>
      <c r="AA679" s="1083"/>
      <c r="AB679" s="1083"/>
      <c r="AC679" s="1083"/>
      <c r="AD679" s="1083"/>
      <c r="AE679" s="1083"/>
    </row>
    <row r="680" spans="2:31" ht="13.5" thickTop="1">
      <c r="B680" s="1137" t="s">
        <v>271</v>
      </c>
      <c r="C680" s="1610">
        <v>1.05</v>
      </c>
      <c r="D680" s="1138" t="s">
        <v>2</v>
      </c>
      <c r="E680" s="1139">
        <f>+E674</f>
        <v>8154.9</v>
      </c>
      <c r="F680" s="1140">
        <f>C680*E680</f>
        <v>8562.65</v>
      </c>
      <c r="I680" s="1083"/>
      <c r="J680" s="1083"/>
      <c r="K680" s="1083"/>
      <c r="L680" s="1083"/>
      <c r="M680" s="1083"/>
      <c r="N680" s="1083"/>
      <c r="O680" s="1083"/>
      <c r="P680" s="1083"/>
      <c r="Q680" s="1083"/>
      <c r="R680" s="1083"/>
      <c r="S680" s="1083"/>
      <c r="T680" s="1083"/>
      <c r="U680" s="1083"/>
      <c r="V680" s="1083"/>
      <c r="W680" s="1083"/>
      <c r="X680" s="1083"/>
      <c r="Y680" s="1083"/>
      <c r="Z680" s="1083"/>
      <c r="AA680" s="1083"/>
      <c r="AB680" s="1083"/>
      <c r="AC680" s="1083"/>
      <c r="AD680" s="1083"/>
      <c r="AE680" s="1083"/>
    </row>
    <row r="681" spans="2:31">
      <c r="B681" s="1141" t="s">
        <v>1092</v>
      </c>
      <c r="C681" s="1611">
        <v>3.06</v>
      </c>
      <c r="D681" s="1142" t="s">
        <v>126</v>
      </c>
      <c r="E681" s="1143">
        <f>+E628</f>
        <v>2590</v>
      </c>
      <c r="F681" s="1144">
        <f>C681*E681</f>
        <v>7925.4</v>
      </c>
      <c r="I681" s="1083"/>
      <c r="J681" s="1083"/>
      <c r="K681" s="1083"/>
      <c r="L681" s="1083"/>
      <c r="M681" s="1083"/>
      <c r="N681" s="1083"/>
      <c r="O681" s="1083"/>
      <c r="P681" s="1083"/>
      <c r="Q681" s="1083"/>
      <c r="R681" s="1083"/>
      <c r="S681" s="1083"/>
      <c r="T681" s="1083"/>
      <c r="U681" s="1083"/>
      <c r="V681" s="1083"/>
      <c r="W681" s="1083"/>
      <c r="X681" s="1083"/>
      <c r="Y681" s="1083"/>
      <c r="Z681" s="1083"/>
      <c r="AA681" s="1083"/>
      <c r="AB681" s="1083"/>
      <c r="AC681" s="1083"/>
      <c r="AD681" s="1083"/>
      <c r="AE681" s="1083"/>
    </row>
    <row r="682" spans="2:31">
      <c r="B682" s="1141" t="s">
        <v>1089</v>
      </c>
      <c r="C682" s="1611">
        <f>1/(0.4*0.25)</f>
        <v>10</v>
      </c>
      <c r="D682" s="1152" t="s">
        <v>1</v>
      </c>
      <c r="E682" s="1143">
        <v>350</v>
      </c>
      <c r="F682" s="1144">
        <f>C682*E682</f>
        <v>3500</v>
      </c>
      <c r="I682" s="1083"/>
      <c r="J682" s="1083"/>
      <c r="K682" s="1083"/>
      <c r="L682" s="1083"/>
      <c r="M682" s="1083"/>
      <c r="N682" s="1083"/>
      <c r="O682" s="1083"/>
      <c r="P682" s="1083"/>
      <c r="Q682" s="1083"/>
      <c r="R682" s="1083"/>
      <c r="S682" s="1083"/>
      <c r="T682" s="1083"/>
      <c r="U682" s="1083"/>
      <c r="V682" s="1083"/>
      <c r="W682" s="1083"/>
      <c r="X682" s="1083"/>
      <c r="Y682" s="1083"/>
      <c r="Z682" s="1083"/>
      <c r="AA682" s="1083"/>
      <c r="AB682" s="1083"/>
      <c r="AC682" s="1083"/>
      <c r="AD682" s="1083"/>
      <c r="AE682" s="1083"/>
    </row>
    <row r="683" spans="2:31">
      <c r="B683" s="1141" t="s">
        <v>1093</v>
      </c>
      <c r="C683" s="1611">
        <f>+C682</f>
        <v>10</v>
      </c>
      <c r="D683" s="1152" t="s">
        <v>1</v>
      </c>
      <c r="E683" s="1143">
        <v>110</v>
      </c>
      <c r="F683" s="1144">
        <f>C683*E683</f>
        <v>1100</v>
      </c>
      <c r="I683" s="1083"/>
      <c r="J683" s="1083"/>
      <c r="K683" s="1083"/>
      <c r="L683" s="1083"/>
      <c r="M683" s="1083"/>
      <c r="N683" s="1083"/>
      <c r="O683" s="1083"/>
      <c r="P683" s="1083"/>
      <c r="Q683" s="1083"/>
      <c r="R683" s="1083"/>
      <c r="S683" s="1083"/>
      <c r="T683" s="1083"/>
      <c r="U683" s="1083"/>
      <c r="V683" s="1083"/>
      <c r="W683" s="1083"/>
      <c r="X683" s="1083"/>
      <c r="Y683" s="1083"/>
      <c r="Z683" s="1083"/>
      <c r="AA683" s="1083"/>
      <c r="AB683" s="1083"/>
      <c r="AC683" s="1083"/>
      <c r="AD683" s="1083"/>
      <c r="AE683" s="1083"/>
    </row>
    <row r="684" spans="2:31" ht="13.5" thickBot="1">
      <c r="B684" s="1145"/>
      <c r="C684" s="1612"/>
      <c r="D684" s="1146"/>
      <c r="E684" s="1147" t="s">
        <v>1031</v>
      </c>
      <c r="F684" s="1148">
        <f>ROUND(SUM(F680:F683),2)</f>
        <v>21088.05</v>
      </c>
      <c r="I684" s="1083"/>
      <c r="J684" s="1083"/>
      <c r="K684" s="1083"/>
      <c r="L684" s="1083"/>
      <c r="M684" s="1083"/>
      <c r="N684" s="1083"/>
      <c r="O684" s="1083"/>
      <c r="P684" s="1083"/>
      <c r="Q684" s="1083"/>
      <c r="R684" s="1083"/>
      <c r="S684" s="1083"/>
      <c r="T684" s="1083"/>
      <c r="U684" s="1083"/>
      <c r="V684" s="1083"/>
      <c r="W684" s="1083"/>
      <c r="X684" s="1083"/>
      <c r="Y684" s="1083"/>
      <c r="Z684" s="1083"/>
      <c r="AA684" s="1083"/>
      <c r="AB684" s="1083"/>
      <c r="AC684" s="1083"/>
      <c r="AD684" s="1083"/>
      <c r="AE684" s="1083"/>
    </row>
    <row r="685" spans="2:31" ht="13.5" thickTop="1">
      <c r="B685" s="1130"/>
      <c r="C685" s="1609"/>
      <c r="D685" s="1131"/>
      <c r="E685" s="1132"/>
      <c r="F685" s="1133"/>
      <c r="I685" s="1083"/>
      <c r="J685" s="1083"/>
      <c r="K685" s="1083"/>
      <c r="L685" s="1083"/>
      <c r="M685" s="1083"/>
      <c r="N685" s="1083"/>
      <c r="O685" s="1083"/>
      <c r="P685" s="1083"/>
      <c r="Q685" s="1083"/>
      <c r="R685" s="1083"/>
      <c r="S685" s="1083"/>
      <c r="T685" s="1083"/>
      <c r="U685" s="1083"/>
      <c r="V685" s="1083"/>
      <c r="W685" s="1083"/>
      <c r="X685" s="1083"/>
      <c r="Y685" s="1083"/>
      <c r="Z685" s="1083"/>
      <c r="AA685" s="1083"/>
      <c r="AB685" s="1083"/>
      <c r="AC685" s="1083"/>
      <c r="AD685" s="1083"/>
      <c r="AE685" s="1083"/>
    </row>
    <row r="686" spans="2:31">
      <c r="B686" s="1916" t="s">
        <v>1098</v>
      </c>
      <c r="C686" s="1916"/>
      <c r="D686" s="1916"/>
      <c r="E686" s="1916"/>
      <c r="F686" s="1916"/>
      <c r="G686" s="1916"/>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row>
    <row r="687" spans="2:31">
      <c r="B687" s="1916" t="s">
        <v>1099</v>
      </c>
      <c r="C687" s="1916"/>
      <c r="D687" s="1916"/>
      <c r="E687" s="1916"/>
      <c r="F687" s="1916"/>
      <c r="G687" s="1916"/>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row>
    <row r="688" spans="2:31">
      <c r="B688" s="1916" t="s">
        <v>1060</v>
      </c>
      <c r="C688" s="1916">
        <v>1.05</v>
      </c>
      <c r="D688" s="1916" t="s">
        <v>2</v>
      </c>
      <c r="E688" s="1916">
        <v>6925</v>
      </c>
      <c r="F688" s="1916">
        <f>ROUND(C688*E688,2)</f>
        <v>7271.25</v>
      </c>
      <c r="G688" s="1916"/>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row>
    <row r="689" spans="2:31">
      <c r="B689" s="1916" t="s">
        <v>272</v>
      </c>
      <c r="C689" s="1916">
        <v>0.6</v>
      </c>
      <c r="D689" s="1916" t="s">
        <v>126</v>
      </c>
      <c r="E689" s="1916">
        <f>+E675</f>
        <v>2913</v>
      </c>
      <c r="F689" s="1916">
        <f>ROUND(C689*E689,2)</f>
        <v>1747.8</v>
      </c>
      <c r="G689" s="1916"/>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1083"/>
      <c r="AD689" s="1083"/>
      <c r="AE689" s="1083"/>
    </row>
    <row r="690" spans="2:31">
      <c r="B690" s="1916"/>
      <c r="C690" s="1916"/>
      <c r="D690" s="1916"/>
      <c r="E690" s="1916"/>
      <c r="F690" s="1916">
        <f>SUM(F688:F689)</f>
        <v>9019.0499999999993</v>
      </c>
      <c r="G690" s="1916"/>
      <c r="I690" s="1083"/>
      <c r="J690" s="1083"/>
      <c r="K690" s="1083"/>
      <c r="L690" s="1083"/>
      <c r="M690" s="1083"/>
      <c r="N690" s="1083"/>
      <c r="O690" s="1083"/>
      <c r="P690" s="1083"/>
      <c r="Q690" s="1083"/>
      <c r="R690" s="1083"/>
      <c r="S690" s="1083"/>
      <c r="T690" s="1083"/>
      <c r="U690" s="1083"/>
      <c r="V690" s="1083"/>
      <c r="W690" s="1083"/>
      <c r="X690" s="1083"/>
      <c r="Y690" s="1083"/>
      <c r="Z690" s="1083"/>
      <c r="AA690" s="1083"/>
      <c r="AB690" s="1083"/>
      <c r="AC690" s="1083"/>
      <c r="AD690" s="1083"/>
      <c r="AE690" s="1083"/>
    </row>
    <row r="691" spans="2:31">
      <c r="B691" s="1916"/>
      <c r="C691" s="1916"/>
      <c r="D691" s="1916"/>
      <c r="E691" s="1916"/>
      <c r="F691" s="1916"/>
      <c r="G691" s="1916"/>
      <c r="I691" s="1083"/>
      <c r="J691" s="1083"/>
      <c r="K691" s="1083"/>
      <c r="L691" s="1083"/>
      <c r="M691" s="1083"/>
      <c r="N691" s="1083"/>
      <c r="O691" s="1083"/>
      <c r="P691" s="1083"/>
      <c r="Q691" s="1083"/>
      <c r="R691" s="1083"/>
      <c r="S691" s="1083"/>
      <c r="T691" s="1083"/>
      <c r="U691" s="1083"/>
      <c r="V691" s="1083"/>
      <c r="W691" s="1083"/>
      <c r="X691" s="1083"/>
      <c r="Y691" s="1083"/>
      <c r="Z691" s="1083"/>
      <c r="AA691" s="1083"/>
      <c r="AB691" s="1083"/>
      <c r="AC691" s="1083"/>
      <c r="AD691" s="1083"/>
      <c r="AE691" s="1083"/>
    </row>
    <row r="692" spans="2:31">
      <c r="B692" s="1916" t="s">
        <v>37</v>
      </c>
      <c r="C692" s="1916">
        <v>1</v>
      </c>
      <c r="D692" s="1916" t="s">
        <v>1100</v>
      </c>
      <c r="E692" s="1916">
        <v>500</v>
      </c>
      <c r="F692" s="1916">
        <f>ROUND(C692*E692,2)</f>
        <v>500</v>
      </c>
      <c r="G692" s="1916"/>
      <c r="I692" s="1083"/>
      <c r="J692" s="1083"/>
      <c r="K692" s="1083"/>
      <c r="L692" s="1083"/>
      <c r="M692" s="1083"/>
      <c r="N692" s="1083"/>
      <c r="O692" s="1083"/>
      <c r="P692" s="1083"/>
      <c r="Q692" s="1083"/>
      <c r="R692" s="1083"/>
      <c r="S692" s="1083"/>
      <c r="T692" s="1083"/>
      <c r="U692" s="1083"/>
      <c r="V692" s="1083"/>
      <c r="W692" s="1083"/>
      <c r="X692" s="1083"/>
      <c r="Y692" s="1083"/>
      <c r="Z692" s="1083"/>
      <c r="AA692" s="1083"/>
      <c r="AB692" s="1083"/>
      <c r="AC692" s="1083"/>
      <c r="AD692" s="1083"/>
      <c r="AE692" s="1083"/>
    </row>
    <row r="693" spans="2:31">
      <c r="B693" s="1916" t="s">
        <v>1101</v>
      </c>
      <c r="C693" s="1916">
        <v>2.7</v>
      </c>
      <c r="D693" s="1916" t="s">
        <v>2</v>
      </c>
      <c r="E693" s="1916">
        <v>297.56</v>
      </c>
      <c r="F693" s="1916">
        <f t="shared" ref="F693:F712" si="5">ROUND(C693*E693,2)</f>
        <v>803.41</v>
      </c>
      <c r="G693" s="1916"/>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1083"/>
      <c r="AD693" s="1083"/>
      <c r="AE693" s="1083"/>
    </row>
    <row r="694" spans="2:31">
      <c r="B694" s="1916" t="s">
        <v>96</v>
      </c>
      <c r="C694" s="1916">
        <v>0.86</v>
      </c>
      <c r="D694" s="1916" t="s">
        <v>2</v>
      </c>
      <c r="E694" s="1916">
        <v>70.16</v>
      </c>
      <c r="F694" s="1916">
        <f t="shared" si="5"/>
        <v>60.34</v>
      </c>
      <c r="G694" s="1916"/>
      <c r="I694" s="1083"/>
      <c r="J694" s="1083"/>
      <c r="K694" s="1083"/>
      <c r="L694" s="1083"/>
      <c r="M694" s="1083"/>
      <c r="N694" s="1083"/>
      <c r="O694" s="1083"/>
      <c r="P694" s="1083"/>
      <c r="Q694" s="1083"/>
      <c r="R694" s="1083"/>
      <c r="S694" s="1083"/>
      <c r="T694" s="1083"/>
      <c r="U694" s="1083"/>
      <c r="V694" s="1083"/>
      <c r="W694" s="1083"/>
      <c r="X694" s="1083"/>
      <c r="Y694" s="1083"/>
      <c r="Z694" s="1083"/>
      <c r="AA694" s="1083"/>
      <c r="AB694" s="1083"/>
      <c r="AC694" s="1083"/>
      <c r="AD694" s="1083"/>
      <c r="AE694" s="1083"/>
    </row>
    <row r="695" spans="2:31">
      <c r="B695" s="1916" t="s">
        <v>1102</v>
      </c>
      <c r="C695" s="1916">
        <v>2.21</v>
      </c>
      <c r="D695" s="1916" t="s">
        <v>2</v>
      </c>
      <c r="E695" s="1916">
        <v>150</v>
      </c>
      <c r="F695" s="1916">
        <f t="shared" si="5"/>
        <v>331.5</v>
      </c>
      <c r="G695" s="1916"/>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1083"/>
      <c r="AD695" s="1083"/>
      <c r="AE695" s="1083"/>
    </row>
    <row r="696" spans="2:31">
      <c r="B696" s="1916" t="s">
        <v>1103</v>
      </c>
      <c r="C696" s="1916">
        <v>1.35</v>
      </c>
      <c r="D696" s="1916" t="s">
        <v>2</v>
      </c>
      <c r="E696" s="1916">
        <f>+F690</f>
        <v>9019.0499999999993</v>
      </c>
      <c r="F696" s="1916">
        <f t="shared" si="5"/>
        <v>12175.72</v>
      </c>
      <c r="G696" s="1916"/>
      <c r="I696" s="1083"/>
      <c r="J696" s="1083"/>
      <c r="K696" s="1083"/>
      <c r="L696" s="1083"/>
      <c r="M696" s="1083"/>
      <c r="N696" s="1083"/>
      <c r="O696" s="1083"/>
      <c r="P696" s="1083"/>
      <c r="Q696" s="1083"/>
      <c r="R696" s="1083"/>
      <c r="S696" s="1083"/>
      <c r="T696" s="1083"/>
      <c r="U696" s="1083"/>
      <c r="V696" s="1083"/>
      <c r="W696" s="1083"/>
      <c r="X696" s="1083"/>
      <c r="Y696" s="1083"/>
      <c r="Z696" s="1083"/>
      <c r="AA696" s="1083"/>
      <c r="AB696" s="1083"/>
      <c r="AC696" s="1083"/>
      <c r="AD696" s="1083"/>
      <c r="AE696" s="1083"/>
    </row>
    <row r="697" spans="2:31">
      <c r="B697" s="1916" t="s">
        <v>1104</v>
      </c>
      <c r="C697" s="1916">
        <v>7.2</v>
      </c>
      <c r="D697" s="1916" t="s">
        <v>11</v>
      </c>
      <c r="E697" s="1916">
        <f>+F551</f>
        <v>935.32</v>
      </c>
      <c r="F697" s="1916">
        <f t="shared" si="5"/>
        <v>6734.3</v>
      </c>
      <c r="G697" s="1916"/>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083"/>
      <c r="AE697" s="1083"/>
    </row>
    <row r="698" spans="2:31">
      <c r="B698" s="1916" t="s">
        <v>1105</v>
      </c>
      <c r="C698" s="1916">
        <v>12</v>
      </c>
      <c r="D698" s="1916" t="s">
        <v>13</v>
      </c>
      <c r="E698" s="1916">
        <v>52</v>
      </c>
      <c r="F698" s="1916">
        <f t="shared" si="5"/>
        <v>624</v>
      </c>
      <c r="G698" s="1916"/>
      <c r="I698" s="1083"/>
      <c r="J698" s="1083"/>
      <c r="K698" s="1083"/>
      <c r="L698" s="1083"/>
      <c r="M698" s="1083"/>
      <c r="N698" s="1083"/>
      <c r="O698" s="1083"/>
      <c r="P698" s="1083"/>
      <c r="Q698" s="1083"/>
      <c r="R698" s="1083"/>
      <c r="S698" s="1083"/>
      <c r="T698" s="1083"/>
      <c r="U698" s="1083"/>
      <c r="V698" s="1083"/>
      <c r="W698" s="1083"/>
      <c r="X698" s="1083"/>
      <c r="Y698" s="1083"/>
      <c r="Z698" s="1083"/>
      <c r="AA698" s="1083"/>
      <c r="AB698" s="1083"/>
      <c r="AC698" s="1083"/>
      <c r="AD698" s="1083"/>
      <c r="AE698" s="1083"/>
    </row>
    <row r="699" spans="2:31">
      <c r="B699" s="1916" t="s">
        <v>1237</v>
      </c>
      <c r="C699" s="1916">
        <v>4</v>
      </c>
      <c r="D699" s="1916" t="s">
        <v>3</v>
      </c>
      <c r="E699" s="1916">
        <f>480.43*1.18</f>
        <v>566.90740000000005</v>
      </c>
      <c r="F699" s="1916">
        <f t="shared" si="5"/>
        <v>2267.63</v>
      </c>
      <c r="G699" s="1916"/>
      <c r="I699" s="1083"/>
      <c r="J699" s="1083"/>
      <c r="K699" s="1083"/>
      <c r="L699" s="1083"/>
      <c r="M699" s="1083"/>
      <c r="N699" s="1083"/>
      <c r="O699" s="1083"/>
      <c r="P699" s="1083"/>
      <c r="Q699" s="1083"/>
      <c r="R699" s="1083"/>
      <c r="S699" s="1083"/>
      <c r="T699" s="1083"/>
      <c r="U699" s="1083"/>
      <c r="V699" s="1083"/>
      <c r="W699" s="1083"/>
      <c r="X699" s="1083"/>
      <c r="Y699" s="1083"/>
      <c r="Z699" s="1083"/>
      <c r="AA699" s="1083"/>
      <c r="AB699" s="1083"/>
      <c r="AC699" s="1083"/>
      <c r="AD699" s="1083"/>
      <c r="AE699" s="1083"/>
    </row>
    <row r="700" spans="2:31">
      <c r="B700" s="1916" t="s">
        <v>1106</v>
      </c>
      <c r="C700" s="1916">
        <v>2</v>
      </c>
      <c r="D700" s="1916" t="s">
        <v>3</v>
      </c>
      <c r="E700" s="1916">
        <f>546.71*1.18</f>
        <v>645.11779999999999</v>
      </c>
      <c r="F700" s="1916">
        <f t="shared" si="5"/>
        <v>1290.24</v>
      </c>
      <c r="G700" s="1916"/>
      <c r="I700" s="1083"/>
      <c r="J700" s="1083"/>
      <c r="K700" s="1083"/>
      <c r="L700" s="1083"/>
      <c r="M700" s="1083"/>
      <c r="N700" s="1083"/>
      <c r="O700" s="1083"/>
      <c r="P700" s="1083"/>
      <c r="Q700" s="1083"/>
      <c r="R700" s="1083"/>
      <c r="S700" s="1083"/>
      <c r="T700" s="1083"/>
      <c r="U700" s="1083"/>
      <c r="V700" s="1083"/>
      <c r="W700" s="1083"/>
      <c r="X700" s="1083"/>
      <c r="Y700" s="1083"/>
      <c r="Z700" s="1083"/>
      <c r="AA700" s="1083"/>
      <c r="AB700" s="1083"/>
      <c r="AC700" s="1083"/>
      <c r="AD700" s="1083"/>
      <c r="AE700" s="1083"/>
    </row>
    <row r="701" spans="2:31">
      <c r="B701" s="1916" t="s">
        <v>1107</v>
      </c>
      <c r="C701" s="1916">
        <v>21.6</v>
      </c>
      <c r="D701" s="1916" t="s">
        <v>11</v>
      </c>
      <c r="E701" s="1916">
        <v>191.27</v>
      </c>
      <c r="F701" s="1916">
        <f t="shared" si="5"/>
        <v>4131.43</v>
      </c>
      <c r="G701" s="1916">
        <f>6/3.28</f>
        <v>1.82926829268293</v>
      </c>
      <c r="I701" s="1083"/>
      <c r="J701" s="1083"/>
      <c r="K701" s="1083"/>
      <c r="L701" s="1083"/>
      <c r="M701" s="1083"/>
      <c r="N701" s="1083"/>
      <c r="O701" s="1083"/>
      <c r="P701" s="1083"/>
      <c r="Q701" s="1083"/>
      <c r="R701" s="1083"/>
      <c r="S701" s="1083"/>
      <c r="T701" s="1083"/>
      <c r="U701" s="1083"/>
      <c r="V701" s="1083"/>
      <c r="W701" s="1083"/>
      <c r="X701" s="1083"/>
      <c r="Y701" s="1083"/>
      <c r="Z701" s="1083"/>
      <c r="AA701" s="1083"/>
      <c r="AB701" s="1083"/>
      <c r="AC701" s="1083"/>
      <c r="AD701" s="1083"/>
      <c r="AE701" s="1083"/>
    </row>
    <row r="702" spans="2:31">
      <c r="B702" s="1916" t="s">
        <v>1108</v>
      </c>
      <c r="C702" s="1916">
        <v>2</v>
      </c>
      <c r="D702" s="1916" t="s">
        <v>3</v>
      </c>
      <c r="E702" s="1916">
        <v>47.2</v>
      </c>
      <c r="F702" s="1916">
        <f t="shared" si="5"/>
        <v>94.4</v>
      </c>
      <c r="G702" s="1916">
        <f>50/3.28</f>
        <v>15.243902439024399</v>
      </c>
      <c r="H702" s="1083">
        <f>G702*G701</f>
        <v>27.8851873884593</v>
      </c>
      <c r="I702" s="1083"/>
      <c r="J702" s="1083"/>
      <c r="K702" s="1083"/>
      <c r="L702" s="1083"/>
      <c r="M702" s="1083"/>
      <c r="N702" s="1083"/>
      <c r="O702" s="1083"/>
      <c r="P702" s="1083"/>
      <c r="Q702" s="1083"/>
      <c r="R702" s="1083"/>
      <c r="S702" s="1083"/>
      <c r="T702" s="1083"/>
      <c r="U702" s="1083"/>
      <c r="V702" s="1083"/>
      <c r="W702" s="1083"/>
      <c r="X702" s="1083"/>
      <c r="Y702" s="1083"/>
      <c r="Z702" s="1083"/>
      <c r="AA702" s="1083"/>
      <c r="AB702" s="1083"/>
      <c r="AC702" s="1083"/>
      <c r="AD702" s="1083"/>
      <c r="AE702" s="1083"/>
    </row>
    <row r="703" spans="2:31">
      <c r="B703" s="1916" t="s">
        <v>1109</v>
      </c>
      <c r="C703" s="1916">
        <v>3</v>
      </c>
      <c r="D703" s="1916" t="s">
        <v>3</v>
      </c>
      <c r="E703" s="1916">
        <v>32.42</v>
      </c>
      <c r="F703" s="1916">
        <f t="shared" si="5"/>
        <v>97.26</v>
      </c>
      <c r="G703" s="1916"/>
      <c r="I703" s="1083"/>
      <c r="J703" s="1083"/>
      <c r="K703" s="1083"/>
      <c r="L703" s="1083"/>
      <c r="M703" s="1083"/>
      <c r="N703" s="1083"/>
      <c r="O703" s="1083"/>
      <c r="P703" s="1083"/>
      <c r="Q703" s="1083"/>
      <c r="R703" s="1083"/>
      <c r="S703" s="1083"/>
      <c r="T703" s="1083"/>
      <c r="U703" s="1083"/>
      <c r="V703" s="1083"/>
      <c r="W703" s="1083"/>
      <c r="X703" s="1083"/>
      <c r="Y703" s="1083"/>
      <c r="Z703" s="1083"/>
      <c r="AA703" s="1083"/>
      <c r="AB703" s="1083"/>
      <c r="AC703" s="1083"/>
      <c r="AD703" s="1083"/>
      <c r="AE703" s="1083"/>
    </row>
    <row r="704" spans="2:31">
      <c r="B704" s="1916" t="s">
        <v>1110</v>
      </c>
      <c r="C704" s="1916">
        <v>4</v>
      </c>
      <c r="D704" s="1916" t="s">
        <v>3</v>
      </c>
      <c r="E704" s="1916">
        <v>236</v>
      </c>
      <c r="F704" s="1916">
        <f t="shared" si="5"/>
        <v>944</v>
      </c>
      <c r="G704" s="1916"/>
      <c r="I704" s="1083"/>
      <c r="J704" s="1083"/>
      <c r="K704" s="1083"/>
      <c r="L704" s="1083"/>
      <c r="M704" s="1083"/>
      <c r="N704" s="1083"/>
      <c r="O704" s="1083"/>
      <c r="P704" s="1083"/>
      <c r="Q704" s="1083"/>
      <c r="R704" s="1083"/>
      <c r="S704" s="1083"/>
      <c r="T704" s="1083"/>
      <c r="U704" s="1083"/>
      <c r="V704" s="1083"/>
      <c r="W704" s="1083"/>
      <c r="X704" s="1083"/>
      <c r="Y704" s="1083"/>
      <c r="Z704" s="1083"/>
      <c r="AA704" s="1083"/>
      <c r="AB704" s="1083"/>
      <c r="AC704" s="1083"/>
      <c r="AD704" s="1083"/>
      <c r="AE704" s="1083"/>
    </row>
    <row r="705" spans="2:31">
      <c r="B705" s="1916" t="s">
        <v>1111</v>
      </c>
      <c r="C705" s="1916">
        <v>72</v>
      </c>
      <c r="D705" s="1916" t="s">
        <v>13</v>
      </c>
      <c r="E705" s="1916">
        <v>5.2</v>
      </c>
      <c r="F705" s="1916">
        <f t="shared" si="5"/>
        <v>374.4</v>
      </c>
      <c r="G705" s="1916">
        <f>485/110</f>
        <v>4.4090909090909101</v>
      </c>
      <c r="H705" s="1083">
        <f>G705*1.18</f>
        <v>5.2027272727272704</v>
      </c>
      <c r="I705" s="1083"/>
      <c r="J705" s="1083"/>
      <c r="K705" s="1083"/>
      <c r="L705" s="1083"/>
      <c r="M705" s="1083"/>
      <c r="N705" s="1083"/>
      <c r="O705" s="1083"/>
      <c r="P705" s="1083"/>
      <c r="Q705" s="1083"/>
      <c r="R705" s="1083"/>
      <c r="S705" s="1083"/>
      <c r="T705" s="1083"/>
      <c r="U705" s="1083"/>
      <c r="V705" s="1083"/>
      <c r="W705" s="1083"/>
      <c r="X705" s="1083"/>
      <c r="Y705" s="1083"/>
      <c r="Z705" s="1083"/>
      <c r="AA705" s="1083"/>
      <c r="AB705" s="1083"/>
      <c r="AC705" s="1083"/>
      <c r="AD705" s="1083"/>
      <c r="AE705" s="1083"/>
    </row>
    <row r="706" spans="2:31">
      <c r="B706" s="1916" t="s">
        <v>1112</v>
      </c>
      <c r="C706" s="1916">
        <v>1</v>
      </c>
      <c r="D706" s="1916" t="s">
        <v>183</v>
      </c>
      <c r="E706" s="1916">
        <v>32.5</v>
      </c>
      <c r="F706" s="1916">
        <f t="shared" si="5"/>
        <v>32.5</v>
      </c>
      <c r="G706" s="1916"/>
      <c r="I706" s="1083"/>
      <c r="J706" s="1083"/>
      <c r="K706" s="1083"/>
      <c r="L706" s="1083"/>
      <c r="M706" s="1083"/>
      <c r="N706" s="1083"/>
      <c r="O706" s="1083"/>
      <c r="P706" s="1083"/>
      <c r="Q706" s="1083"/>
      <c r="R706" s="1083"/>
      <c r="S706" s="1083"/>
      <c r="T706" s="1083"/>
      <c r="U706" s="1083"/>
      <c r="V706" s="1083"/>
      <c r="W706" s="1083"/>
      <c r="X706" s="1083"/>
      <c r="Y706" s="1083"/>
      <c r="Z706" s="1083"/>
      <c r="AA706" s="1083"/>
      <c r="AB706" s="1083"/>
      <c r="AC706" s="1083"/>
      <c r="AD706" s="1083"/>
      <c r="AE706" s="1083"/>
    </row>
    <row r="707" spans="2:31">
      <c r="B707" s="1916" t="s">
        <v>1113</v>
      </c>
      <c r="C707" s="1916">
        <v>10.08</v>
      </c>
      <c r="D707" s="1916" t="s">
        <v>11</v>
      </c>
      <c r="E707" s="1916">
        <f>+F261</f>
        <v>331.48</v>
      </c>
      <c r="F707" s="1916">
        <f t="shared" si="5"/>
        <v>3341.32</v>
      </c>
      <c r="G707" s="1916"/>
      <c r="I707" s="1083"/>
      <c r="J707" s="1083"/>
      <c r="K707" s="1083"/>
      <c r="L707" s="1083"/>
      <c r="M707" s="1083"/>
      <c r="N707" s="1083"/>
      <c r="O707" s="1083"/>
      <c r="P707" s="1083"/>
      <c r="Q707" s="1083"/>
      <c r="R707" s="1083"/>
      <c r="S707" s="1083"/>
      <c r="T707" s="1083"/>
      <c r="U707" s="1083"/>
      <c r="V707" s="1083"/>
      <c r="W707" s="1083"/>
      <c r="X707" s="1083"/>
      <c r="Y707" s="1083"/>
      <c r="Z707" s="1083"/>
      <c r="AA707" s="1083"/>
      <c r="AB707" s="1083"/>
      <c r="AC707" s="1083"/>
      <c r="AD707" s="1083"/>
      <c r="AE707" s="1083"/>
    </row>
    <row r="708" spans="2:31">
      <c r="B708" s="1916" t="s">
        <v>1114</v>
      </c>
      <c r="C708" s="1916">
        <v>34.200000000000003</v>
      </c>
      <c r="D708" s="1916" t="s">
        <v>11</v>
      </c>
      <c r="E708" s="1916">
        <v>130.5</v>
      </c>
      <c r="F708" s="1916">
        <f t="shared" si="5"/>
        <v>4463.1000000000004</v>
      </c>
      <c r="G708" s="1916"/>
      <c r="I708" s="1083"/>
      <c r="J708" s="1083"/>
      <c r="K708" s="1083"/>
      <c r="L708" s="1083"/>
      <c r="M708" s="1083"/>
      <c r="N708" s="1083"/>
      <c r="O708" s="1083"/>
      <c r="P708" s="1083"/>
      <c r="Q708" s="1083"/>
      <c r="R708" s="1083"/>
      <c r="S708" s="1083"/>
      <c r="T708" s="1083"/>
      <c r="U708" s="1083"/>
      <c r="V708" s="1083"/>
      <c r="W708" s="1083"/>
      <c r="X708" s="1083"/>
      <c r="Y708" s="1083"/>
      <c r="Z708" s="1083"/>
      <c r="AA708" s="1083"/>
      <c r="AB708" s="1083"/>
      <c r="AC708" s="1083"/>
      <c r="AD708" s="1083"/>
      <c r="AE708" s="1083"/>
    </row>
    <row r="709" spans="2:31">
      <c r="B709" s="1916" t="s">
        <v>1115</v>
      </c>
      <c r="C709" s="1916">
        <v>2</v>
      </c>
      <c r="D709" s="1916" t="s">
        <v>3</v>
      </c>
      <c r="E709" s="1916">
        <v>180</v>
      </c>
      <c r="F709" s="1916">
        <f t="shared" si="5"/>
        <v>360</v>
      </c>
      <c r="G709" s="1916"/>
      <c r="I709" s="1083"/>
      <c r="J709" s="1083"/>
      <c r="K709" s="1083"/>
      <c r="L709" s="1083"/>
      <c r="M709" s="1083"/>
      <c r="N709" s="1083"/>
      <c r="O709" s="1083"/>
      <c r="P709" s="1083"/>
      <c r="Q709" s="1083"/>
      <c r="R709" s="1083"/>
      <c r="S709" s="1083"/>
      <c r="T709" s="1083"/>
      <c r="U709" s="1083"/>
      <c r="V709" s="1083"/>
      <c r="W709" s="1083"/>
      <c r="X709" s="1083"/>
      <c r="Y709" s="1083"/>
      <c r="Z709" s="1083"/>
      <c r="AA709" s="1083"/>
      <c r="AB709" s="1083"/>
      <c r="AC709" s="1083"/>
      <c r="AD709" s="1083"/>
      <c r="AE709" s="1083"/>
    </row>
    <row r="710" spans="2:31">
      <c r="B710" s="1916" t="s">
        <v>1116</v>
      </c>
      <c r="C710" s="1916">
        <v>6</v>
      </c>
      <c r="D710" s="1916" t="s">
        <v>3</v>
      </c>
      <c r="E710" s="1916">
        <v>24.54</v>
      </c>
      <c r="F710" s="1916">
        <f t="shared" si="5"/>
        <v>147.24</v>
      </c>
      <c r="G710" s="1916"/>
      <c r="I710" s="1083"/>
      <c r="J710" s="1083"/>
      <c r="K710" s="1083"/>
      <c r="L710" s="1083"/>
      <c r="M710" s="1083"/>
      <c r="N710" s="1083"/>
      <c r="O710" s="1083"/>
      <c r="P710" s="1083"/>
      <c r="Q710" s="1083"/>
      <c r="R710" s="1083"/>
      <c r="S710" s="1083"/>
      <c r="T710" s="1083"/>
      <c r="U710" s="1083"/>
      <c r="V710" s="1083"/>
      <c r="W710" s="1083"/>
      <c r="X710" s="1083"/>
      <c r="Y710" s="1083"/>
      <c r="Z710" s="1083"/>
      <c r="AA710" s="1083"/>
      <c r="AB710" s="1083"/>
      <c r="AC710" s="1083"/>
      <c r="AD710" s="1083"/>
      <c r="AE710" s="1083"/>
    </row>
    <row r="711" spans="2:31">
      <c r="B711" s="1916" t="s">
        <v>41</v>
      </c>
      <c r="C711" s="1916">
        <v>12</v>
      </c>
      <c r="D711" s="1916" t="s">
        <v>13</v>
      </c>
      <c r="E711" s="1916">
        <v>418.06</v>
      </c>
      <c r="F711" s="1916">
        <f t="shared" si="5"/>
        <v>5016.72</v>
      </c>
      <c r="G711" s="1916"/>
      <c r="I711" s="1083"/>
      <c r="J711" s="1083"/>
      <c r="K711" s="1083"/>
      <c r="L711" s="1083"/>
      <c r="M711" s="1083"/>
      <c r="N711" s="1083"/>
      <c r="O711" s="1083"/>
      <c r="P711" s="1083"/>
      <c r="Q711" s="1083"/>
      <c r="R711" s="1083"/>
      <c r="S711" s="1083"/>
      <c r="T711" s="1083"/>
      <c r="U711" s="1083"/>
      <c r="V711" s="1083"/>
      <c r="W711" s="1083"/>
      <c r="X711" s="1083"/>
      <c r="Y711" s="1083"/>
      <c r="Z711" s="1083"/>
      <c r="AA711" s="1083"/>
      <c r="AB711" s="1083"/>
      <c r="AC711" s="1083"/>
      <c r="AD711" s="1083"/>
      <c r="AE711" s="1083"/>
    </row>
    <row r="712" spans="2:31">
      <c r="B712" s="1916" t="s">
        <v>1117</v>
      </c>
      <c r="C712" s="1916">
        <v>12.6</v>
      </c>
      <c r="D712" s="1916" t="s">
        <v>11</v>
      </c>
      <c r="E712" s="1916">
        <v>144</v>
      </c>
      <c r="F712" s="1916">
        <f t="shared" si="5"/>
        <v>1814.4</v>
      </c>
      <c r="G712" s="1916"/>
      <c r="I712" s="1083"/>
      <c r="J712" s="1083"/>
      <c r="K712" s="1083"/>
      <c r="L712" s="1083"/>
      <c r="M712" s="1083"/>
      <c r="N712" s="1083"/>
      <c r="O712" s="1083"/>
      <c r="P712" s="1083"/>
      <c r="Q712" s="1083"/>
      <c r="R712" s="1083"/>
      <c r="S712" s="1083"/>
      <c r="T712" s="1083"/>
      <c r="U712" s="1083"/>
      <c r="V712" s="1083"/>
      <c r="W712" s="1083"/>
      <c r="X712" s="1083"/>
      <c r="Y712" s="1083"/>
      <c r="Z712" s="1083"/>
      <c r="AA712" s="1083"/>
      <c r="AB712" s="1083"/>
      <c r="AC712" s="1083"/>
      <c r="AD712" s="1083"/>
      <c r="AE712" s="1083"/>
    </row>
    <row r="713" spans="2:31">
      <c r="B713" s="1916" t="s">
        <v>1118</v>
      </c>
      <c r="C713" s="1916"/>
      <c r="D713" s="1916"/>
      <c r="E713" s="1916"/>
      <c r="F713" s="1916">
        <f>SUM(F692:F712)</f>
        <v>45603.91</v>
      </c>
      <c r="G713" s="1916"/>
      <c r="I713" s="1083"/>
      <c r="J713" s="1083"/>
      <c r="K713" s="1083"/>
      <c r="L713" s="1083"/>
      <c r="M713" s="1083"/>
      <c r="N713" s="1083"/>
      <c r="O713" s="1083"/>
      <c r="P713" s="1083"/>
      <c r="Q713" s="1083"/>
      <c r="R713" s="1083"/>
      <c r="S713" s="1083"/>
      <c r="T713" s="1083"/>
      <c r="U713" s="1083"/>
      <c r="V713" s="1083"/>
      <c r="W713" s="1083"/>
      <c r="X713" s="1083"/>
      <c r="Y713" s="1083"/>
      <c r="Z713" s="1083"/>
      <c r="AA713" s="1083"/>
      <c r="AB713" s="1083"/>
      <c r="AC713" s="1083"/>
      <c r="AD713" s="1083"/>
      <c r="AE713" s="1083"/>
    </row>
    <row r="714" spans="2:31">
      <c r="B714" s="1916" t="s">
        <v>1119</v>
      </c>
      <c r="C714" s="1916"/>
      <c r="D714" s="1916"/>
      <c r="E714" s="1916" t="s">
        <v>1120</v>
      </c>
      <c r="F714" s="1916">
        <f>ROUND(F713/12,2)</f>
        <v>3800.33</v>
      </c>
      <c r="G714" s="1916"/>
      <c r="I714" s="1083"/>
      <c r="J714" s="1083"/>
      <c r="K714" s="1083"/>
      <c r="L714" s="1083"/>
      <c r="M714" s="1083"/>
      <c r="N714" s="1083"/>
      <c r="O714" s="1083"/>
      <c r="P714" s="1083"/>
      <c r="Q714" s="1083"/>
      <c r="R714" s="1083"/>
      <c r="S714" s="1083"/>
      <c r="T714" s="1083"/>
      <c r="U714" s="1083"/>
      <c r="V714" s="1083"/>
      <c r="W714" s="1083"/>
      <c r="X714" s="1083"/>
      <c r="Y714" s="1083"/>
      <c r="Z714" s="1083"/>
      <c r="AA714" s="1083"/>
      <c r="AB714" s="1083"/>
      <c r="AC714" s="1083"/>
      <c r="AD714" s="1083"/>
      <c r="AE714" s="1083"/>
    </row>
    <row r="715" spans="2:31">
      <c r="B715" s="1916"/>
      <c r="C715" s="1916"/>
      <c r="D715" s="1916"/>
      <c r="E715" s="1916"/>
      <c r="F715" s="1916"/>
      <c r="G715" s="1916"/>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row>
    <row r="716" spans="2:31">
      <c r="B716" s="4896" t="s">
        <v>1121</v>
      </c>
      <c r="C716" s="4896"/>
      <c r="D716" s="4896"/>
      <c r="E716" s="4896"/>
      <c r="F716" s="4896"/>
      <c r="G716" s="1916"/>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row>
    <row r="717" spans="2:31">
      <c r="B717" s="1916" t="s">
        <v>285</v>
      </c>
      <c r="C717" s="1916" t="s">
        <v>286</v>
      </c>
      <c r="D717" s="1916" t="s">
        <v>340</v>
      </c>
      <c r="E717" s="1916" t="s">
        <v>288</v>
      </c>
      <c r="F717" s="1916" t="s">
        <v>289</v>
      </c>
      <c r="G717" s="1916"/>
      <c r="I717" s="1083"/>
      <c r="J717" s="1083"/>
      <c r="K717" s="1083"/>
      <c r="L717" s="1083"/>
      <c r="M717" s="1083"/>
      <c r="N717" s="1083"/>
      <c r="O717" s="1083"/>
      <c r="P717" s="1083"/>
      <c r="Q717" s="1083"/>
      <c r="R717" s="1083"/>
      <c r="S717" s="1083"/>
      <c r="T717" s="1083"/>
      <c r="U717" s="1083"/>
      <c r="V717" s="1083"/>
      <c r="W717" s="1083"/>
      <c r="X717" s="1083"/>
      <c r="Y717" s="1083"/>
      <c r="Z717" s="1083"/>
      <c r="AA717" s="1083"/>
      <c r="AB717" s="1083"/>
      <c r="AC717" s="1083"/>
      <c r="AD717" s="1083"/>
      <c r="AE717" s="1083"/>
    </row>
    <row r="718" spans="2:31">
      <c r="B718" s="1916" t="s">
        <v>1122</v>
      </c>
      <c r="C718" s="1916">
        <v>4</v>
      </c>
      <c r="D718" s="1916" t="s">
        <v>3</v>
      </c>
      <c r="E718" s="1916">
        <f>E699</f>
        <v>566.90740000000005</v>
      </c>
      <c r="F718" s="1916">
        <f t="shared" ref="F718:F735" si="6">C718*E718</f>
        <v>2267.6296000000002</v>
      </c>
      <c r="G718" s="1916"/>
      <c r="I718" s="1083"/>
      <c r="J718" s="1083"/>
      <c r="K718" s="1083"/>
      <c r="L718" s="1083"/>
      <c r="M718" s="1083"/>
      <c r="N718" s="1083"/>
      <c r="O718" s="1083"/>
      <c r="P718" s="1083"/>
      <c r="Q718" s="1083"/>
      <c r="R718" s="1083"/>
      <c r="S718" s="1083"/>
      <c r="T718" s="1083"/>
      <c r="U718" s="1083"/>
      <c r="V718" s="1083"/>
      <c r="W718" s="1083"/>
      <c r="X718" s="1083"/>
      <c r="Y718" s="1083"/>
      <c r="Z718" s="1083"/>
      <c r="AA718" s="1083"/>
      <c r="AB718" s="1083"/>
      <c r="AC718" s="1083"/>
      <c r="AD718" s="1083"/>
      <c r="AE718" s="1083"/>
    </row>
    <row r="719" spans="2:31">
      <c r="B719" s="1916" t="s">
        <v>1123</v>
      </c>
      <c r="C719" s="1916">
        <v>8</v>
      </c>
      <c r="D719" s="1916" t="s">
        <v>3</v>
      </c>
      <c r="E719" s="1916">
        <f>+E700</f>
        <v>645.11779999999999</v>
      </c>
      <c r="F719" s="1916">
        <f t="shared" si="6"/>
        <v>5160.9423999999999</v>
      </c>
      <c r="G719" s="1916"/>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1083"/>
      <c r="AD719" s="1083"/>
      <c r="AE719" s="1083"/>
    </row>
    <row r="720" spans="2:31">
      <c r="B720" s="1916" t="s">
        <v>1124</v>
      </c>
      <c r="C720" s="1916">
        <v>2</v>
      </c>
      <c r="D720" s="1916" t="s">
        <v>3</v>
      </c>
      <c r="E720" s="1916">
        <f>+E702</f>
        <v>47.2</v>
      </c>
      <c r="F720" s="1916">
        <f t="shared" si="6"/>
        <v>94.4</v>
      </c>
      <c r="G720" s="1916"/>
      <c r="I720" s="1083"/>
      <c r="J720" s="1083"/>
      <c r="K720" s="1083"/>
      <c r="L720" s="1083"/>
      <c r="M720" s="1083"/>
      <c r="N720" s="1083"/>
      <c r="O720" s="1083"/>
      <c r="P720" s="1083"/>
      <c r="Q720" s="1083"/>
      <c r="R720" s="1083"/>
      <c r="S720" s="1083"/>
      <c r="T720" s="1083"/>
      <c r="U720" s="1083"/>
      <c r="V720" s="1083"/>
      <c r="W720" s="1083"/>
      <c r="X720" s="1083"/>
      <c r="Y720" s="1083"/>
      <c r="Z720" s="1083"/>
      <c r="AA720" s="1083"/>
      <c r="AB720" s="1083"/>
      <c r="AC720" s="1083"/>
      <c r="AD720" s="1083"/>
      <c r="AE720" s="1083"/>
    </row>
    <row r="721" spans="2:31">
      <c r="B721" s="1916" t="s">
        <v>1125</v>
      </c>
      <c r="C721" s="1916">
        <v>4</v>
      </c>
      <c r="D721" s="1916" t="s">
        <v>3</v>
      </c>
      <c r="E721" s="1916">
        <f>+E703</f>
        <v>32.42</v>
      </c>
      <c r="F721" s="1916">
        <f t="shared" si="6"/>
        <v>129.68</v>
      </c>
      <c r="G721" s="1916"/>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1083"/>
      <c r="AD721" s="1083"/>
      <c r="AE721" s="1083"/>
    </row>
    <row r="722" spans="2:31">
      <c r="B722" s="1916" t="s">
        <v>977</v>
      </c>
      <c r="C722" s="1916">
        <v>8.25</v>
      </c>
      <c r="D722" s="1916" t="s">
        <v>11</v>
      </c>
      <c r="E722" s="1916">
        <f>+E701</f>
        <v>191.27</v>
      </c>
      <c r="F722" s="1916">
        <f t="shared" si="6"/>
        <v>1577.9775</v>
      </c>
      <c r="G722" s="1916"/>
      <c r="I722" s="1083"/>
      <c r="J722" s="1083"/>
      <c r="K722" s="1083"/>
      <c r="L722" s="1083"/>
      <c r="M722" s="1083"/>
      <c r="N722" s="1083"/>
      <c r="O722" s="1083"/>
      <c r="P722" s="1083"/>
      <c r="Q722" s="1083"/>
      <c r="R722" s="1083"/>
      <c r="S722" s="1083"/>
      <c r="T722" s="1083"/>
      <c r="U722" s="1083"/>
      <c r="V722" s="1083"/>
      <c r="W722" s="1083"/>
      <c r="X722" s="1083"/>
      <c r="Y722" s="1083"/>
      <c r="Z722" s="1083"/>
      <c r="AA722" s="1083"/>
      <c r="AB722" s="1083"/>
      <c r="AC722" s="1083"/>
      <c r="AD722" s="1083"/>
      <c r="AE722" s="1083"/>
    </row>
    <row r="723" spans="2:31">
      <c r="B723" s="1916" t="s">
        <v>1126</v>
      </c>
      <c r="C723" s="1916">
        <v>2</v>
      </c>
      <c r="D723" s="1916" t="s">
        <v>3</v>
      </c>
      <c r="E723" s="1916">
        <f>+E709</f>
        <v>180</v>
      </c>
      <c r="F723" s="1916">
        <f t="shared" si="6"/>
        <v>360</v>
      </c>
      <c r="G723" s="1916"/>
      <c r="I723" s="1083"/>
      <c r="J723" s="1083"/>
      <c r="K723" s="1083"/>
      <c r="L723" s="1083"/>
      <c r="M723" s="1083"/>
      <c r="N723" s="1083"/>
      <c r="O723" s="1083"/>
      <c r="P723" s="1083"/>
      <c r="Q723" s="1083"/>
      <c r="R723" s="1083"/>
      <c r="S723" s="1083"/>
      <c r="T723" s="1083"/>
      <c r="U723" s="1083"/>
      <c r="V723" s="1083"/>
      <c r="W723" s="1083"/>
      <c r="X723" s="1083"/>
      <c r="Y723" s="1083"/>
      <c r="Z723" s="1083"/>
      <c r="AA723" s="1083"/>
      <c r="AB723" s="1083"/>
      <c r="AC723" s="1083"/>
      <c r="AD723" s="1083"/>
      <c r="AE723" s="1083"/>
    </row>
    <row r="724" spans="2:31">
      <c r="B724" s="1916" t="s">
        <v>1116</v>
      </c>
      <c r="C724" s="1916">
        <v>6</v>
      </c>
      <c r="D724" s="1916" t="s">
        <v>3</v>
      </c>
      <c r="E724" s="1916">
        <f>+E710</f>
        <v>24.54</v>
      </c>
      <c r="F724" s="1916">
        <f t="shared" si="6"/>
        <v>147.24</v>
      </c>
      <c r="G724" s="1916"/>
      <c r="I724" s="1083"/>
      <c r="J724" s="1083"/>
      <c r="K724" s="1083"/>
      <c r="L724" s="1083"/>
      <c r="M724" s="1083"/>
      <c r="N724" s="1083"/>
      <c r="O724" s="1083"/>
      <c r="P724" s="1083"/>
      <c r="Q724" s="1083"/>
      <c r="R724" s="1083"/>
      <c r="S724" s="1083"/>
      <c r="T724" s="1083"/>
      <c r="U724" s="1083"/>
      <c r="V724" s="1083"/>
      <c r="W724" s="1083"/>
      <c r="X724" s="1083"/>
      <c r="Y724" s="1083"/>
      <c r="Z724" s="1083"/>
      <c r="AA724" s="1083"/>
      <c r="AB724" s="1083"/>
      <c r="AC724" s="1083"/>
      <c r="AD724" s="1083"/>
      <c r="AE724" s="1083"/>
    </row>
    <row r="725" spans="2:31">
      <c r="B725" s="1916" t="s">
        <v>1127</v>
      </c>
      <c r="C725" s="1916">
        <v>2</v>
      </c>
      <c r="D725" s="1916" t="s">
        <v>1128</v>
      </c>
      <c r="E725" s="1916">
        <f>+E706</f>
        <v>32.5</v>
      </c>
      <c r="F725" s="1916">
        <f t="shared" si="6"/>
        <v>65</v>
      </c>
      <c r="G725" s="1916"/>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083"/>
      <c r="AD725" s="1083"/>
      <c r="AE725" s="1083"/>
    </row>
    <row r="726" spans="2:31">
      <c r="B726" s="1916" t="s">
        <v>1129</v>
      </c>
      <c r="C726" s="1916">
        <v>1</v>
      </c>
      <c r="D726" s="1916" t="s">
        <v>148</v>
      </c>
      <c r="E726" s="1916">
        <v>2500</v>
      </c>
      <c r="F726" s="1916">
        <f t="shared" si="6"/>
        <v>2500</v>
      </c>
      <c r="G726" s="1916"/>
      <c r="I726" s="1083"/>
      <c r="J726" s="1083"/>
      <c r="K726" s="1083"/>
      <c r="L726" s="1083"/>
      <c r="M726" s="1083"/>
      <c r="N726" s="1083"/>
      <c r="O726" s="1083"/>
      <c r="P726" s="1083"/>
      <c r="Q726" s="1083"/>
      <c r="R726" s="1083"/>
      <c r="S726" s="1083"/>
      <c r="T726" s="1083"/>
      <c r="U726" s="1083"/>
      <c r="V726" s="1083"/>
      <c r="W726" s="1083"/>
      <c r="X726" s="1083"/>
      <c r="Y726" s="1083"/>
      <c r="Z726" s="1083"/>
      <c r="AA726" s="1083"/>
      <c r="AB726" s="1083"/>
      <c r="AC726" s="1083"/>
      <c r="AD726" s="1083"/>
      <c r="AE726" s="1083"/>
    </row>
    <row r="727" spans="2:31">
      <c r="B727" s="1916" t="s">
        <v>1130</v>
      </c>
      <c r="C727" s="1916"/>
      <c r="D727" s="1916"/>
      <c r="E727" s="1916"/>
      <c r="F727" s="1916">
        <f t="shared" si="6"/>
        <v>0</v>
      </c>
      <c r="G727" s="1916"/>
      <c r="I727" s="1083"/>
      <c r="J727" s="1083"/>
      <c r="K727" s="1083"/>
      <c r="L727" s="1083"/>
      <c r="M727" s="1083"/>
      <c r="N727" s="1083"/>
      <c r="O727" s="1083"/>
      <c r="P727" s="1083"/>
      <c r="Q727" s="1083"/>
      <c r="R727" s="1083"/>
      <c r="S727" s="1083"/>
      <c r="T727" s="1083"/>
      <c r="U727" s="1083"/>
      <c r="V727" s="1083"/>
      <c r="W727" s="1083"/>
      <c r="X727" s="1083"/>
      <c r="Y727" s="1083"/>
      <c r="Z727" s="1083"/>
      <c r="AA727" s="1083"/>
      <c r="AB727" s="1083"/>
      <c r="AC727" s="1083"/>
      <c r="AD727" s="1083"/>
      <c r="AE727" s="1083"/>
    </row>
    <row r="728" spans="2:31">
      <c r="B728" s="1916" t="s">
        <v>1131</v>
      </c>
      <c r="C728" s="1916">
        <v>1</v>
      </c>
      <c r="D728" s="1916" t="s">
        <v>148</v>
      </c>
      <c r="E728" s="1916">
        <v>1500</v>
      </c>
      <c r="F728" s="1916">
        <f t="shared" si="6"/>
        <v>1500</v>
      </c>
      <c r="G728" s="1916"/>
      <c r="I728" s="1083"/>
      <c r="J728" s="1083"/>
      <c r="K728" s="1083"/>
      <c r="L728" s="1083"/>
      <c r="M728" s="1083"/>
      <c r="N728" s="1083"/>
      <c r="O728" s="1083"/>
      <c r="P728" s="1083"/>
      <c r="Q728" s="1083"/>
      <c r="R728" s="1083"/>
      <c r="S728" s="1083"/>
      <c r="T728" s="1083"/>
      <c r="U728" s="1083"/>
      <c r="V728" s="1083"/>
      <c r="W728" s="1083"/>
      <c r="X728" s="1083"/>
      <c r="Y728" s="1083"/>
      <c r="Z728" s="1083"/>
      <c r="AA728" s="1083"/>
      <c r="AB728" s="1083"/>
      <c r="AC728" s="1083"/>
      <c r="AD728" s="1083"/>
      <c r="AE728" s="1083"/>
    </row>
    <row r="729" spans="2:31">
      <c r="B729" s="1916" t="s">
        <v>1132</v>
      </c>
      <c r="C729" s="1916">
        <v>1</v>
      </c>
      <c r="D729" s="1916" t="s">
        <v>148</v>
      </c>
      <c r="E729" s="1916">
        <v>850</v>
      </c>
      <c r="F729" s="1916">
        <f t="shared" si="6"/>
        <v>850</v>
      </c>
      <c r="G729" s="1916"/>
      <c r="I729" s="1083"/>
      <c r="J729" s="1083"/>
      <c r="K729" s="1083"/>
      <c r="L729" s="1083"/>
      <c r="M729" s="1083"/>
      <c r="N729" s="1083"/>
      <c r="O729" s="1083"/>
      <c r="P729" s="1083"/>
      <c r="Q729" s="1083"/>
      <c r="R729" s="1083"/>
      <c r="S729" s="1083"/>
      <c r="T729" s="1083"/>
      <c r="U729" s="1083"/>
      <c r="V729" s="1083"/>
      <c r="W729" s="1083"/>
      <c r="X729" s="1083"/>
      <c r="Y729" s="1083"/>
      <c r="Z729" s="1083"/>
      <c r="AA729" s="1083"/>
      <c r="AB729" s="1083"/>
      <c r="AC729" s="1083"/>
      <c r="AD729" s="1083"/>
      <c r="AE729" s="1083"/>
    </row>
    <row r="730" spans="2:31">
      <c r="B730" s="1916" t="s">
        <v>1133</v>
      </c>
      <c r="C730" s="1916">
        <v>1</v>
      </c>
      <c r="D730" s="1916" t="s">
        <v>148</v>
      </c>
      <c r="E730" s="1916">
        <v>750</v>
      </c>
      <c r="F730" s="1916">
        <f t="shared" si="6"/>
        <v>750</v>
      </c>
      <c r="G730" s="1916"/>
      <c r="I730" s="1083"/>
      <c r="J730" s="1083"/>
      <c r="K730" s="1083"/>
      <c r="L730" s="1083"/>
      <c r="M730" s="1083"/>
      <c r="N730" s="1083"/>
      <c r="O730" s="1083"/>
      <c r="P730" s="1083"/>
      <c r="Q730" s="1083"/>
      <c r="R730" s="1083"/>
      <c r="S730" s="1083"/>
      <c r="T730" s="1083"/>
      <c r="U730" s="1083"/>
      <c r="V730" s="1083"/>
      <c r="W730" s="1083"/>
      <c r="X730" s="1083"/>
      <c r="Y730" s="1083"/>
      <c r="Z730" s="1083"/>
      <c r="AA730" s="1083"/>
      <c r="AB730" s="1083"/>
      <c r="AC730" s="1083"/>
      <c r="AD730" s="1083"/>
      <c r="AE730" s="1083"/>
    </row>
    <row r="731" spans="2:31">
      <c r="B731" s="1916" t="s">
        <v>1134</v>
      </c>
      <c r="C731" s="1916">
        <v>1</v>
      </c>
      <c r="D731" s="1916" t="s">
        <v>3</v>
      </c>
      <c r="E731" s="1916">
        <v>450</v>
      </c>
      <c r="F731" s="1916">
        <f t="shared" si="6"/>
        <v>450</v>
      </c>
      <c r="G731" s="1916"/>
      <c r="I731" s="1083"/>
      <c r="J731" s="1083"/>
      <c r="K731" s="1083"/>
      <c r="L731" s="1083"/>
      <c r="M731" s="1083"/>
      <c r="N731" s="1083"/>
      <c r="O731" s="1083"/>
      <c r="P731" s="1083"/>
      <c r="Q731" s="1083"/>
      <c r="R731" s="1083"/>
      <c r="S731" s="1083"/>
      <c r="T731" s="1083"/>
      <c r="U731" s="1083"/>
      <c r="V731" s="1083"/>
      <c r="W731" s="1083"/>
      <c r="X731" s="1083"/>
      <c r="Y731" s="1083"/>
      <c r="Z731" s="1083"/>
      <c r="AA731" s="1083"/>
      <c r="AB731" s="1083"/>
      <c r="AC731" s="1083"/>
      <c r="AD731" s="1083"/>
      <c r="AE731" s="1083"/>
    </row>
    <row r="732" spans="2:31">
      <c r="B732" s="1916" t="s">
        <v>1135</v>
      </c>
      <c r="C732" s="1916">
        <v>1</v>
      </c>
      <c r="D732" s="1916" t="s">
        <v>3</v>
      </c>
      <c r="E732" s="1916">
        <v>145</v>
      </c>
      <c r="F732" s="1916">
        <f t="shared" si="6"/>
        <v>145</v>
      </c>
      <c r="G732" s="1916"/>
      <c r="I732" s="1083"/>
      <c r="J732" s="1083"/>
      <c r="K732" s="1083"/>
      <c r="L732" s="1083"/>
      <c r="M732" s="1083"/>
      <c r="N732" s="1083"/>
      <c r="O732" s="1083"/>
      <c r="P732" s="1083"/>
      <c r="Q732" s="1083"/>
      <c r="R732" s="1083"/>
      <c r="S732" s="1083"/>
      <c r="T732" s="1083"/>
      <c r="U732" s="1083"/>
      <c r="V732" s="1083"/>
      <c r="W732" s="1083"/>
      <c r="X732" s="1083"/>
      <c r="Y732" s="1083"/>
      <c r="Z732" s="1083"/>
      <c r="AA732" s="1083"/>
      <c r="AB732" s="1083"/>
      <c r="AC732" s="1083"/>
      <c r="AD732" s="1083"/>
      <c r="AE732" s="1083"/>
    </row>
    <row r="733" spans="2:31">
      <c r="B733" s="1916" t="s">
        <v>1136</v>
      </c>
      <c r="C733" s="1916">
        <v>6</v>
      </c>
      <c r="D733" s="1916" t="s">
        <v>3</v>
      </c>
      <c r="E733" s="1916">
        <v>87.65</v>
      </c>
      <c r="F733" s="1916">
        <f t="shared" si="6"/>
        <v>525.9</v>
      </c>
      <c r="G733" s="1916"/>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row>
    <row r="734" spans="2:31">
      <c r="B734" s="1916" t="s">
        <v>1137</v>
      </c>
      <c r="C734" s="1916">
        <v>12</v>
      </c>
      <c r="D734" s="1916" t="s">
        <v>13</v>
      </c>
      <c r="E734" s="1916">
        <f>+E705</f>
        <v>5.2</v>
      </c>
      <c r="F734" s="1916">
        <f t="shared" si="6"/>
        <v>62.4</v>
      </c>
      <c r="G734" s="1916"/>
      <c r="I734" s="1083"/>
      <c r="J734" s="1083"/>
      <c r="K734" s="1083"/>
      <c r="L734" s="1083"/>
      <c r="M734" s="1083"/>
      <c r="N734" s="1083"/>
      <c r="O734" s="1083"/>
      <c r="P734" s="1083"/>
      <c r="Q734" s="1083"/>
      <c r="R734" s="1083"/>
      <c r="S734" s="1083"/>
      <c r="T734" s="1083"/>
      <c r="U734" s="1083"/>
      <c r="V734" s="1083"/>
      <c r="W734" s="1083"/>
      <c r="X734" s="1083"/>
      <c r="Y734" s="1083"/>
      <c r="Z734" s="1083"/>
      <c r="AA734" s="1083"/>
      <c r="AB734" s="1083"/>
      <c r="AC734" s="1083"/>
      <c r="AD734" s="1083"/>
      <c r="AE734" s="1083"/>
    </row>
    <row r="735" spans="2:31">
      <c r="B735" s="1916" t="s">
        <v>536</v>
      </c>
      <c r="C735" s="1916">
        <v>16.34</v>
      </c>
      <c r="D735" s="1916" t="s">
        <v>11</v>
      </c>
      <c r="E735" s="1916">
        <f>+E712</f>
        <v>144</v>
      </c>
      <c r="F735" s="1916">
        <f t="shared" si="6"/>
        <v>2352.96</v>
      </c>
      <c r="G735" s="1916"/>
      <c r="I735" s="1083"/>
      <c r="J735" s="1083"/>
      <c r="K735" s="1083"/>
      <c r="L735" s="1083"/>
      <c r="M735" s="1083"/>
      <c r="N735" s="1083"/>
      <c r="O735" s="1083"/>
      <c r="P735" s="1083"/>
      <c r="Q735" s="1083"/>
      <c r="R735" s="1083"/>
      <c r="S735" s="1083"/>
      <c r="T735" s="1083"/>
      <c r="U735" s="1083"/>
      <c r="V735" s="1083"/>
      <c r="W735" s="1083"/>
      <c r="X735" s="1083"/>
      <c r="Y735" s="1083"/>
      <c r="Z735" s="1083"/>
      <c r="AA735" s="1083"/>
      <c r="AB735" s="1083"/>
      <c r="AC735" s="1083"/>
      <c r="AD735" s="1083"/>
      <c r="AE735" s="1083"/>
    </row>
    <row r="736" spans="2:31">
      <c r="B736" s="1916" t="s">
        <v>1138</v>
      </c>
      <c r="C736" s="1916"/>
      <c r="D736" s="1916"/>
      <c r="E736" s="1916" t="s">
        <v>42</v>
      </c>
      <c r="F736" s="1916">
        <v>2500</v>
      </c>
      <c r="G736" s="1916"/>
      <c r="I736" s="1083"/>
      <c r="J736" s="1083"/>
      <c r="K736" s="1083"/>
      <c r="L736" s="1083"/>
      <c r="M736" s="1083"/>
      <c r="N736" s="1083"/>
      <c r="O736" s="1083"/>
      <c r="P736" s="1083"/>
      <c r="Q736" s="1083"/>
      <c r="R736" s="1083"/>
      <c r="S736" s="1083"/>
      <c r="T736" s="1083"/>
      <c r="U736" s="1083"/>
      <c r="V736" s="1083"/>
      <c r="W736" s="1083"/>
      <c r="X736" s="1083"/>
      <c r="Y736" s="1083"/>
      <c r="Z736" s="1083"/>
      <c r="AA736" s="1083"/>
      <c r="AB736" s="1083"/>
      <c r="AC736" s="1083"/>
      <c r="AD736" s="1083"/>
      <c r="AE736" s="1083"/>
    </row>
    <row r="737" spans="2:31">
      <c r="B737" s="1916" t="s">
        <v>8</v>
      </c>
      <c r="C737" s="1916"/>
      <c r="D737" s="1916"/>
      <c r="E737" s="1916" t="s">
        <v>42</v>
      </c>
      <c r="F737" s="1916">
        <v>1500</v>
      </c>
      <c r="G737" s="1916"/>
      <c r="I737" s="1083"/>
      <c r="J737" s="1083"/>
      <c r="K737" s="1083"/>
      <c r="L737" s="1083"/>
      <c r="M737" s="1083"/>
      <c r="N737" s="1083"/>
      <c r="O737" s="1083"/>
      <c r="P737" s="1083"/>
      <c r="Q737" s="1083"/>
      <c r="R737" s="1083"/>
      <c r="S737" s="1083"/>
      <c r="T737" s="1083"/>
      <c r="U737" s="1083"/>
      <c r="V737" s="1083"/>
      <c r="W737" s="1083"/>
      <c r="X737" s="1083"/>
      <c r="Y737" s="1083"/>
      <c r="Z737" s="1083"/>
      <c r="AA737" s="1083"/>
      <c r="AB737" s="1083"/>
      <c r="AC737" s="1083"/>
      <c r="AD737" s="1083"/>
      <c r="AE737" s="1083"/>
    </row>
    <row r="738" spans="2:31">
      <c r="B738" s="1916" t="s">
        <v>1139</v>
      </c>
      <c r="C738" s="1916"/>
      <c r="D738" s="1916"/>
      <c r="E738" s="1916" t="s">
        <v>1039</v>
      </c>
      <c r="F738" s="1916">
        <f>ROUND(SUM(F718:F737),2)</f>
        <v>22939.13</v>
      </c>
      <c r="G738" s="1916"/>
      <c r="I738" s="1083"/>
      <c r="J738" s="1083"/>
      <c r="K738" s="1083"/>
      <c r="L738" s="1083"/>
      <c r="M738" s="1083"/>
      <c r="N738" s="1083"/>
      <c r="O738" s="1083"/>
      <c r="P738" s="1083"/>
      <c r="Q738" s="1083"/>
      <c r="R738" s="1083"/>
      <c r="S738" s="1083"/>
      <c r="T738" s="1083"/>
      <c r="U738" s="1083"/>
      <c r="V738" s="1083"/>
      <c r="W738" s="1083"/>
      <c r="X738" s="1083"/>
      <c r="Y738" s="1083"/>
      <c r="Z738" s="1083"/>
      <c r="AA738" s="1083"/>
      <c r="AB738" s="1083"/>
      <c r="AC738" s="1083"/>
      <c r="AD738" s="1083"/>
      <c r="AE738" s="1083"/>
    </row>
    <row r="739" spans="2:31">
      <c r="B739" s="1916"/>
      <c r="C739" s="1916"/>
      <c r="D739" s="1916"/>
      <c r="E739" s="1916"/>
      <c r="F739" s="1916"/>
      <c r="G739" s="1916"/>
      <c r="I739" s="1083"/>
      <c r="J739" s="1083"/>
      <c r="K739" s="1083"/>
      <c r="L739" s="1083"/>
      <c r="M739" s="1083"/>
      <c r="N739" s="1083"/>
      <c r="O739" s="1083"/>
      <c r="P739" s="1083"/>
      <c r="Q739" s="1083"/>
      <c r="R739" s="1083"/>
      <c r="S739" s="1083"/>
      <c r="T739" s="1083"/>
      <c r="U739" s="1083"/>
      <c r="V739" s="1083"/>
      <c r="W739" s="1083"/>
      <c r="X739" s="1083"/>
      <c r="Y739" s="1083"/>
      <c r="Z739" s="1083"/>
      <c r="AA739" s="1083"/>
      <c r="AB739" s="1083"/>
      <c r="AC739" s="1083"/>
      <c r="AD739" s="1083"/>
      <c r="AE739" s="1083"/>
    </row>
    <row r="740" spans="2:31">
      <c r="B740" s="1916" t="s">
        <v>1140</v>
      </c>
      <c r="C740" s="1916"/>
      <c r="D740" s="1916"/>
      <c r="E740" s="1916"/>
      <c r="F740" s="1916"/>
      <c r="G740" s="1916"/>
      <c r="I740" s="1083"/>
      <c r="J740" s="1083"/>
      <c r="K740" s="1083"/>
      <c r="L740" s="1083"/>
      <c r="M740" s="1083"/>
      <c r="N740" s="1083"/>
      <c r="O740" s="1083"/>
      <c r="P740" s="1083"/>
      <c r="Q740" s="1083"/>
      <c r="R740" s="1083"/>
      <c r="S740" s="1083"/>
      <c r="T740" s="1083"/>
      <c r="U740" s="1083"/>
      <c r="V740" s="1083"/>
      <c r="W740" s="1083"/>
      <c r="X740" s="1083"/>
      <c r="Y740" s="1083"/>
      <c r="Z740" s="1083"/>
      <c r="AA740" s="1083"/>
      <c r="AB740" s="1083"/>
      <c r="AC740" s="1083"/>
      <c r="AD740" s="1083"/>
      <c r="AE740" s="1083"/>
    </row>
    <row r="741" spans="2:31">
      <c r="B741" s="1916" t="s">
        <v>1141</v>
      </c>
      <c r="C741" s="1916"/>
      <c r="D741" s="1916"/>
      <c r="E741" s="1916"/>
      <c r="F741" s="1916"/>
      <c r="G741" s="1916"/>
      <c r="I741" s="1083"/>
      <c r="J741" s="1083"/>
      <c r="K741" s="1083"/>
      <c r="L741" s="1083"/>
      <c r="M741" s="1083"/>
      <c r="N741" s="1083"/>
      <c r="O741" s="1083"/>
      <c r="P741" s="1083"/>
      <c r="Q741" s="1083"/>
      <c r="R741" s="1083"/>
      <c r="S741" s="1083"/>
      <c r="T741" s="1083"/>
      <c r="U741" s="1083"/>
      <c r="V741" s="1083"/>
      <c r="W741" s="1083"/>
      <c r="X741" s="1083"/>
      <c r="Y741" s="1083"/>
      <c r="Z741" s="1083"/>
      <c r="AA741" s="1083"/>
      <c r="AB741" s="1083"/>
      <c r="AC741" s="1083"/>
      <c r="AD741" s="1083"/>
      <c r="AE741" s="1083"/>
    </row>
    <row r="742" spans="2:31">
      <c r="B742" s="1916" t="s">
        <v>1060</v>
      </c>
      <c r="C742" s="1916">
        <v>1.05</v>
      </c>
      <c r="D742" s="1916" t="s">
        <v>2</v>
      </c>
      <c r="E742" s="1916">
        <f>+E688</f>
        <v>6925</v>
      </c>
      <c r="F742" s="1916">
        <f>C742*E742</f>
        <v>7271.25</v>
      </c>
      <c r="G742" s="1916"/>
      <c r="I742" s="1083"/>
      <c r="J742" s="1083"/>
      <c r="K742" s="1083"/>
      <c r="L742" s="1083"/>
      <c r="M742" s="1083"/>
      <c r="N742" s="1083"/>
      <c r="O742" s="1083"/>
      <c r="P742" s="1083"/>
      <c r="Q742" s="1083"/>
      <c r="R742" s="1083"/>
      <c r="S742" s="1083"/>
      <c r="T742" s="1083"/>
      <c r="U742" s="1083"/>
      <c r="V742" s="1083"/>
      <c r="W742" s="1083"/>
      <c r="X742" s="1083"/>
      <c r="Y742" s="1083"/>
      <c r="Z742" s="1083"/>
      <c r="AA742" s="1083"/>
      <c r="AB742" s="1083"/>
      <c r="AC742" s="1083"/>
      <c r="AD742" s="1083"/>
      <c r="AE742" s="1083"/>
    </row>
    <row r="743" spans="2:31">
      <c r="B743" s="1916" t="s">
        <v>272</v>
      </c>
      <c r="C743" s="1916">
        <v>8.15</v>
      </c>
      <c r="D743" s="1916" t="s">
        <v>126</v>
      </c>
      <c r="E743" s="1916">
        <f>+E689</f>
        <v>2913</v>
      </c>
      <c r="F743" s="1916">
        <f>C743*E743</f>
        <v>23740.95</v>
      </c>
      <c r="G743" s="1916"/>
      <c r="I743" s="1083"/>
      <c r="J743" s="1083"/>
      <c r="K743" s="1083"/>
      <c r="L743" s="1083"/>
      <c r="M743" s="1083"/>
      <c r="N743" s="1083"/>
      <c r="O743" s="1083"/>
      <c r="P743" s="1083"/>
      <c r="Q743" s="1083"/>
      <c r="R743" s="1083"/>
      <c r="S743" s="1083"/>
      <c r="T743" s="1083"/>
      <c r="U743" s="1083"/>
      <c r="V743" s="1083"/>
      <c r="W743" s="1083"/>
      <c r="X743" s="1083"/>
      <c r="Y743" s="1083"/>
      <c r="Z743" s="1083"/>
      <c r="AA743" s="1083"/>
      <c r="AB743" s="1083"/>
      <c r="AC743" s="1083"/>
      <c r="AD743" s="1083"/>
      <c r="AE743" s="1083"/>
    </row>
    <row r="744" spans="2:31">
      <c r="B744" s="1916" t="s">
        <v>1089</v>
      </c>
      <c r="C744" s="1916">
        <f>1/(0.15*0.15)</f>
        <v>44.4444444444444</v>
      </c>
      <c r="D744" s="1916" t="s">
        <v>13</v>
      </c>
      <c r="E744" s="1916">
        <v>250</v>
      </c>
      <c r="F744" s="1916">
        <f>C744*E744</f>
        <v>11111.1111111111</v>
      </c>
      <c r="G744" s="1916"/>
      <c r="I744" s="1083"/>
      <c r="J744" s="1083"/>
      <c r="K744" s="1083"/>
      <c r="L744" s="1083"/>
      <c r="M744" s="1083"/>
      <c r="N744" s="1083"/>
      <c r="O744" s="1083"/>
      <c r="P744" s="1083"/>
      <c r="Q744" s="1083"/>
      <c r="R744" s="1083"/>
      <c r="S744" s="1083"/>
      <c r="T744" s="1083"/>
      <c r="U744" s="1083"/>
      <c r="V744" s="1083"/>
      <c r="W744" s="1083"/>
      <c r="X744" s="1083"/>
      <c r="Y744" s="1083"/>
      <c r="Z744" s="1083"/>
      <c r="AA744" s="1083"/>
      <c r="AB744" s="1083"/>
      <c r="AC744" s="1083"/>
      <c r="AD744" s="1083"/>
      <c r="AE744" s="1083"/>
    </row>
    <row r="745" spans="2:31">
      <c r="B745" s="1916"/>
      <c r="C745" s="1916"/>
      <c r="D745" s="1916"/>
      <c r="E745" s="1916"/>
      <c r="F745" s="1916">
        <f>ROUND((SUM(F742:F744)),2)</f>
        <v>42123.31</v>
      </c>
      <c r="G745" s="1916"/>
      <c r="I745" s="1083"/>
      <c r="J745" s="1083"/>
      <c r="K745" s="1083"/>
      <c r="L745" s="1083"/>
      <c r="M745" s="1083"/>
      <c r="N745" s="1083"/>
      <c r="O745" s="1083"/>
      <c r="P745" s="1083"/>
      <c r="Q745" s="1083"/>
      <c r="R745" s="1083"/>
      <c r="S745" s="1083"/>
      <c r="T745" s="1083"/>
      <c r="U745" s="1083"/>
      <c r="V745" s="1083"/>
      <c r="W745" s="1083"/>
      <c r="X745" s="1083"/>
      <c r="Y745" s="1083"/>
      <c r="Z745" s="1083"/>
      <c r="AA745" s="1083"/>
      <c r="AB745" s="1083"/>
      <c r="AC745" s="1083"/>
      <c r="AD745" s="1083"/>
      <c r="AE745" s="1083"/>
    </row>
    <row r="746" spans="2:31">
      <c r="B746" s="1916" t="s">
        <v>1142</v>
      </c>
      <c r="C746" s="1916">
        <v>1.2999999999999999E-2</v>
      </c>
      <c r="D746" s="1916" t="s">
        <v>2</v>
      </c>
      <c r="E746" s="1916"/>
      <c r="F746" s="1916"/>
      <c r="G746" s="1916"/>
      <c r="I746" s="1083"/>
      <c r="J746" s="1083"/>
      <c r="K746" s="1083"/>
      <c r="L746" s="1083"/>
      <c r="M746" s="1083"/>
      <c r="N746" s="1083"/>
      <c r="O746" s="1083"/>
      <c r="P746" s="1083"/>
      <c r="Q746" s="1083"/>
      <c r="R746" s="1083"/>
      <c r="S746" s="1083"/>
      <c r="T746" s="1083"/>
      <c r="U746" s="1083"/>
      <c r="V746" s="1083"/>
      <c r="W746" s="1083"/>
      <c r="X746" s="1083"/>
      <c r="Y746" s="1083"/>
      <c r="Z746" s="1083"/>
      <c r="AA746" s="1083"/>
      <c r="AB746" s="1083"/>
      <c r="AC746" s="1083"/>
      <c r="AD746" s="1083"/>
      <c r="AE746" s="1083"/>
    </row>
    <row r="747" spans="2:31">
      <c r="B747" s="1916" t="s">
        <v>1143</v>
      </c>
      <c r="C747" s="1916">
        <v>1</v>
      </c>
      <c r="D747" s="1916" t="s">
        <v>3</v>
      </c>
      <c r="E747" s="1916">
        <f>C746*F745</f>
        <v>547.60302999999999</v>
      </c>
      <c r="F747" s="1916">
        <f>E747*C747</f>
        <v>547.60302999999999</v>
      </c>
      <c r="G747" s="1916"/>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1083"/>
      <c r="AD747" s="1083"/>
      <c r="AE747" s="1083"/>
    </row>
    <row r="748" spans="2:31">
      <c r="B748" s="1916" t="s">
        <v>978</v>
      </c>
      <c r="C748" s="1916" t="s">
        <v>1144</v>
      </c>
      <c r="D748" s="1916"/>
      <c r="E748" s="1916"/>
      <c r="F748" s="1916">
        <f>ROUND((SUM(F747:F747)),2)</f>
        <v>547.6</v>
      </c>
      <c r="G748" s="1916"/>
      <c r="I748" s="1083"/>
      <c r="J748" s="1083"/>
      <c r="K748" s="1083"/>
      <c r="L748" s="1083"/>
      <c r="M748" s="1083"/>
      <c r="N748" s="1083"/>
      <c r="O748" s="1083"/>
      <c r="P748" s="1083"/>
      <c r="Q748" s="1083"/>
      <c r="R748" s="1083"/>
      <c r="S748" s="1083"/>
      <c r="T748" s="1083"/>
      <c r="U748" s="1083"/>
      <c r="V748" s="1083"/>
      <c r="W748" s="1083"/>
      <c r="X748" s="1083"/>
      <c r="Y748" s="1083"/>
      <c r="Z748" s="1083"/>
      <c r="AA748" s="1083"/>
      <c r="AB748" s="1083"/>
      <c r="AC748" s="1083"/>
      <c r="AD748" s="1083"/>
      <c r="AE748" s="1083"/>
    </row>
    <row r="749" spans="2:31">
      <c r="B749" s="1916"/>
      <c r="C749" s="1916"/>
      <c r="D749" s="1916"/>
      <c r="E749" s="1916"/>
      <c r="F749" s="1916"/>
      <c r="G749" s="1916"/>
      <c r="I749" s="1083"/>
      <c r="J749" s="1083"/>
      <c r="K749" s="1083"/>
      <c r="L749" s="1083"/>
      <c r="M749" s="1083"/>
      <c r="N749" s="1083"/>
      <c r="O749" s="1083"/>
      <c r="P749" s="1083"/>
      <c r="Q749" s="1083"/>
      <c r="R749" s="1083"/>
      <c r="S749" s="1083"/>
      <c r="T749" s="1083"/>
      <c r="U749" s="1083"/>
      <c r="V749" s="1083"/>
      <c r="W749" s="1083"/>
      <c r="X749" s="1083"/>
      <c r="Y749" s="1083"/>
      <c r="Z749" s="1083"/>
      <c r="AA749" s="1083"/>
      <c r="AB749" s="1083"/>
      <c r="AC749" s="1083"/>
      <c r="AD749" s="1083"/>
      <c r="AE749" s="1083"/>
    </row>
    <row r="750" spans="2:31">
      <c r="B750" s="1916" t="s">
        <v>1145</v>
      </c>
      <c r="C750" s="1916"/>
      <c r="D750" s="1916"/>
      <c r="E750" s="1916"/>
      <c r="F750" s="1916"/>
      <c r="G750" s="1916"/>
      <c r="I750" s="1083"/>
      <c r="J750" s="1083"/>
      <c r="K750" s="1083"/>
      <c r="L750" s="1083"/>
      <c r="M750" s="1083"/>
      <c r="N750" s="1083"/>
      <c r="O750" s="1083"/>
      <c r="P750" s="1083"/>
      <c r="Q750" s="1083"/>
      <c r="R750" s="1083"/>
      <c r="S750" s="1083"/>
      <c r="T750" s="1083"/>
      <c r="U750" s="1083"/>
      <c r="V750" s="1083"/>
      <c r="W750" s="1083"/>
      <c r="X750" s="1083"/>
      <c r="Y750" s="1083"/>
      <c r="Z750" s="1083"/>
      <c r="AA750" s="1083"/>
      <c r="AB750" s="1083"/>
      <c r="AC750" s="1083"/>
      <c r="AD750" s="1083"/>
      <c r="AE750" s="1083"/>
    </row>
    <row r="751" spans="2:31">
      <c r="B751" s="1916" t="s">
        <v>1146</v>
      </c>
      <c r="C751" s="1916"/>
      <c r="D751" s="1916"/>
      <c r="E751" s="1916"/>
      <c r="F751" s="1916"/>
      <c r="G751" s="1916"/>
      <c r="I751" s="1083"/>
      <c r="J751" s="1083"/>
      <c r="K751" s="1083"/>
      <c r="L751" s="1083"/>
      <c r="M751" s="1083"/>
      <c r="N751" s="1083"/>
      <c r="O751" s="1083"/>
      <c r="P751" s="1083"/>
      <c r="Q751" s="1083"/>
      <c r="R751" s="1083"/>
      <c r="S751" s="1083"/>
      <c r="T751" s="1083"/>
      <c r="U751" s="1083"/>
      <c r="V751" s="1083"/>
      <c r="W751" s="1083"/>
      <c r="X751" s="1083"/>
      <c r="Y751" s="1083"/>
      <c r="Z751" s="1083"/>
      <c r="AA751" s="1083"/>
      <c r="AB751" s="1083"/>
      <c r="AC751" s="1083"/>
      <c r="AD751" s="1083"/>
      <c r="AE751" s="1083"/>
    </row>
    <row r="752" spans="2:31">
      <c r="B752" s="1916" t="s">
        <v>1060</v>
      </c>
      <c r="C752" s="1916">
        <v>1.05</v>
      </c>
      <c r="D752" s="1916" t="s">
        <v>2</v>
      </c>
      <c r="E752" s="1916">
        <f>E742</f>
        <v>6925</v>
      </c>
      <c r="F752" s="1916">
        <f>C752*E752</f>
        <v>7271.25</v>
      </c>
      <c r="G752" s="1916"/>
      <c r="I752" s="1083"/>
      <c r="J752" s="1083"/>
      <c r="K752" s="1083"/>
      <c r="L752" s="1083"/>
      <c r="M752" s="1083"/>
      <c r="N752" s="1083"/>
      <c r="O752" s="1083"/>
      <c r="P752" s="1083"/>
      <c r="Q752" s="1083"/>
      <c r="R752" s="1083"/>
      <c r="S752" s="1083"/>
      <c r="T752" s="1083"/>
      <c r="U752" s="1083"/>
      <c r="V752" s="1083"/>
      <c r="W752" s="1083"/>
      <c r="X752" s="1083"/>
      <c r="Y752" s="1083"/>
      <c r="Z752" s="1083"/>
      <c r="AA752" s="1083"/>
      <c r="AB752" s="1083"/>
      <c r="AC752" s="1083"/>
      <c r="AD752" s="1083"/>
      <c r="AE752" s="1083"/>
    </row>
    <row r="753" spans="2:31">
      <c r="B753" s="1916" t="s">
        <v>272</v>
      </c>
      <c r="C753" s="1916">
        <v>4.79</v>
      </c>
      <c r="D753" s="1916" t="s">
        <v>126</v>
      </c>
      <c r="E753" s="1916">
        <f>E743</f>
        <v>2913</v>
      </c>
      <c r="F753" s="1916">
        <f>C753*E753</f>
        <v>13953.27</v>
      </c>
      <c r="G753" s="1916"/>
      <c r="I753" s="1083"/>
      <c r="J753" s="1083"/>
      <c r="K753" s="1083"/>
      <c r="L753" s="1083"/>
      <c r="M753" s="1083"/>
      <c r="N753" s="1083"/>
      <c r="O753" s="1083"/>
      <c r="P753" s="1083"/>
      <c r="Q753" s="1083"/>
      <c r="R753" s="1083"/>
      <c r="S753" s="1083"/>
      <c r="T753" s="1083"/>
      <c r="U753" s="1083"/>
      <c r="V753" s="1083"/>
      <c r="W753" s="1083"/>
      <c r="X753" s="1083"/>
      <c r="Y753" s="1083"/>
      <c r="Z753" s="1083"/>
      <c r="AA753" s="1083"/>
      <c r="AB753" s="1083"/>
      <c r="AC753" s="1083"/>
      <c r="AD753" s="1083"/>
      <c r="AE753" s="1083"/>
    </row>
    <row r="754" spans="2:31">
      <c r="B754" s="1916" t="s">
        <v>1089</v>
      </c>
      <c r="C754" s="1916">
        <f>1/(0.25*0.25)</f>
        <v>16</v>
      </c>
      <c r="D754" s="1916" t="s">
        <v>13</v>
      </c>
      <c r="E754" s="1916">
        <v>250</v>
      </c>
      <c r="F754" s="1916">
        <f>C754*E754</f>
        <v>4000</v>
      </c>
      <c r="G754" s="1916"/>
      <c r="I754" s="1083"/>
      <c r="J754" s="1083"/>
      <c r="K754" s="1083"/>
      <c r="L754" s="1083"/>
      <c r="M754" s="1083"/>
      <c r="N754" s="1083"/>
      <c r="O754" s="1083"/>
      <c r="P754" s="1083"/>
      <c r="Q754" s="1083"/>
      <c r="R754" s="1083"/>
      <c r="S754" s="1083"/>
      <c r="T754" s="1083"/>
      <c r="U754" s="1083"/>
      <c r="V754" s="1083"/>
      <c r="W754" s="1083"/>
      <c r="X754" s="1083"/>
      <c r="Y754" s="1083"/>
      <c r="Z754" s="1083"/>
      <c r="AA754" s="1083"/>
      <c r="AB754" s="1083"/>
      <c r="AC754" s="1083"/>
      <c r="AD754" s="1083"/>
      <c r="AE754" s="1083"/>
    </row>
    <row r="755" spans="2:31">
      <c r="B755" s="1916"/>
      <c r="C755" s="1916"/>
      <c r="D755" s="1916"/>
      <c r="E755" s="1916"/>
      <c r="F755" s="1916">
        <f>ROUND((SUM(F752:F754)),2)</f>
        <v>25224.52</v>
      </c>
      <c r="G755" s="1916"/>
      <c r="I755" s="1083"/>
      <c r="J755" s="1083"/>
      <c r="K755" s="1083"/>
      <c r="L755" s="1083"/>
      <c r="M755" s="1083"/>
      <c r="N755" s="1083"/>
      <c r="O755" s="1083"/>
      <c r="P755" s="1083"/>
      <c r="Q755" s="1083"/>
      <c r="R755" s="1083"/>
      <c r="S755" s="1083"/>
      <c r="T755" s="1083"/>
      <c r="U755" s="1083"/>
      <c r="V755" s="1083"/>
      <c r="W755" s="1083"/>
      <c r="X755" s="1083"/>
      <c r="Y755" s="1083"/>
      <c r="Z755" s="1083"/>
      <c r="AA755" s="1083"/>
      <c r="AB755" s="1083"/>
      <c r="AC755" s="1083"/>
      <c r="AD755" s="1083"/>
      <c r="AE755" s="1083"/>
    </row>
    <row r="756" spans="2:31">
      <c r="B756" s="1916" t="s">
        <v>1147</v>
      </c>
      <c r="C756" s="1916">
        <v>0.17499999999999999</v>
      </c>
      <c r="D756" s="1916" t="s">
        <v>2</v>
      </c>
      <c r="E756" s="1916"/>
      <c r="F756" s="1916"/>
      <c r="G756" s="1916"/>
      <c r="I756" s="1083"/>
      <c r="J756" s="1083"/>
      <c r="K756" s="1083"/>
      <c r="L756" s="1083"/>
      <c r="M756" s="1083"/>
      <c r="N756" s="1083"/>
      <c r="O756" s="1083"/>
      <c r="P756" s="1083"/>
      <c r="Q756" s="1083"/>
      <c r="R756" s="1083"/>
      <c r="S756" s="1083"/>
      <c r="T756" s="1083"/>
      <c r="U756" s="1083"/>
      <c r="V756" s="1083"/>
      <c r="W756" s="1083"/>
      <c r="X756" s="1083"/>
      <c r="Y756" s="1083"/>
      <c r="Z756" s="1083"/>
      <c r="AA756" s="1083"/>
      <c r="AB756" s="1083"/>
      <c r="AC756" s="1083"/>
      <c r="AD756" s="1083"/>
      <c r="AE756" s="1083"/>
    </row>
    <row r="757" spans="2:31">
      <c r="B757" s="1916" t="s">
        <v>1148</v>
      </c>
      <c r="C757" s="1916">
        <f>F755*C756</f>
        <v>4414.2910000000002</v>
      </c>
      <c r="D757" s="1916" t="s">
        <v>1149</v>
      </c>
      <c r="E757" s="1916"/>
      <c r="F757" s="1916"/>
      <c r="G757" s="1916"/>
      <c r="I757" s="1083"/>
      <c r="J757" s="1083"/>
      <c r="K757" s="1083"/>
      <c r="L757" s="1083"/>
      <c r="M757" s="1083"/>
      <c r="N757" s="1083"/>
      <c r="O757" s="1083"/>
      <c r="P757" s="1083"/>
      <c r="Q757" s="1083"/>
      <c r="R757" s="1083"/>
      <c r="S757" s="1083"/>
      <c r="T757" s="1083"/>
      <c r="U757" s="1083"/>
      <c r="V757" s="1083"/>
      <c r="W757" s="1083"/>
      <c r="X757" s="1083"/>
      <c r="Y757" s="1083"/>
      <c r="Z757" s="1083"/>
      <c r="AA757" s="1083"/>
      <c r="AB757" s="1083"/>
      <c r="AC757" s="1083"/>
      <c r="AD757" s="1083"/>
      <c r="AE757" s="1083"/>
    </row>
    <row r="758" spans="2:31">
      <c r="B758" s="1916"/>
      <c r="C758" s="1916"/>
      <c r="D758" s="1916"/>
      <c r="E758" s="1916"/>
      <c r="F758" s="1916"/>
      <c r="G758" s="1916"/>
      <c r="I758" s="1083"/>
      <c r="J758" s="1083"/>
      <c r="K758" s="1083"/>
      <c r="L758" s="1083"/>
      <c r="M758" s="1083"/>
      <c r="N758" s="1083"/>
      <c r="O758" s="1083"/>
      <c r="P758" s="1083"/>
      <c r="Q758" s="1083"/>
      <c r="R758" s="1083"/>
      <c r="S758" s="1083"/>
      <c r="T758" s="1083"/>
      <c r="U758" s="1083"/>
      <c r="V758" s="1083"/>
      <c r="W758" s="1083"/>
      <c r="X758" s="1083"/>
      <c r="Y758" s="1083"/>
      <c r="Z758" s="1083"/>
      <c r="AA758" s="1083"/>
      <c r="AB758" s="1083"/>
      <c r="AC758" s="1083"/>
      <c r="AD758" s="1083"/>
      <c r="AE758" s="1083"/>
    </row>
    <row r="759" spans="2:31">
      <c r="B759" s="1916" t="s">
        <v>1150</v>
      </c>
      <c r="C759" s="1916"/>
      <c r="D759" s="1916"/>
      <c r="E759" s="1916"/>
      <c r="F759" s="1916"/>
      <c r="G759" s="1916"/>
      <c r="I759" s="1083"/>
      <c r="J759" s="1083"/>
      <c r="K759" s="1083"/>
      <c r="L759" s="1083"/>
      <c r="M759" s="1083"/>
      <c r="N759" s="1083"/>
      <c r="O759" s="1083"/>
      <c r="P759" s="1083"/>
      <c r="Q759" s="1083"/>
      <c r="R759" s="1083"/>
      <c r="S759" s="1083"/>
      <c r="T759" s="1083"/>
      <c r="U759" s="1083"/>
      <c r="V759" s="1083"/>
      <c r="W759" s="1083"/>
      <c r="X759" s="1083"/>
      <c r="Y759" s="1083"/>
      <c r="Z759" s="1083"/>
      <c r="AA759" s="1083"/>
      <c r="AB759" s="1083"/>
      <c r="AC759" s="1083"/>
      <c r="AD759" s="1083"/>
      <c r="AE759" s="1083"/>
    </row>
    <row r="760" spans="2:31">
      <c r="B760" s="1916" t="s">
        <v>1060</v>
      </c>
      <c r="C760" s="1916">
        <v>1.05</v>
      </c>
      <c r="D760" s="1916" t="s">
        <v>2</v>
      </c>
      <c r="E760" s="1916">
        <f>E752</f>
        <v>6925</v>
      </c>
      <c r="F760" s="1916">
        <f>C760*E760</f>
        <v>7271.25</v>
      </c>
      <c r="G760" s="1916"/>
      <c r="I760" s="1083"/>
      <c r="J760" s="1083"/>
      <c r="K760" s="1083"/>
      <c r="L760" s="1083"/>
      <c r="M760" s="1083"/>
      <c r="N760" s="1083"/>
      <c r="O760" s="1083"/>
      <c r="P760" s="1083"/>
      <c r="Q760" s="1083"/>
      <c r="R760" s="1083"/>
      <c r="S760" s="1083"/>
      <c r="T760" s="1083"/>
      <c r="U760" s="1083"/>
      <c r="V760" s="1083"/>
      <c r="W760" s="1083"/>
      <c r="X760" s="1083"/>
      <c r="Y760" s="1083"/>
      <c r="Z760" s="1083"/>
      <c r="AA760" s="1083"/>
      <c r="AB760" s="1083"/>
      <c r="AC760" s="1083"/>
      <c r="AD760" s="1083"/>
      <c r="AE760" s="1083"/>
    </row>
    <row r="761" spans="2:31">
      <c r="B761" s="1916" t="s">
        <v>272</v>
      </c>
      <c r="C761" s="1916">
        <v>1.43</v>
      </c>
      <c r="D761" s="1916" t="s">
        <v>126</v>
      </c>
      <c r="E761" s="1916">
        <f>E753</f>
        <v>2913</v>
      </c>
      <c r="F761" s="1916">
        <f>C761*E761</f>
        <v>4165.59</v>
      </c>
      <c r="G761" s="1916"/>
      <c r="I761" s="1083"/>
      <c r="J761" s="1083"/>
      <c r="K761" s="1083"/>
      <c r="L761" s="1083"/>
      <c r="M761" s="1083"/>
      <c r="N761" s="1083"/>
      <c r="O761" s="1083"/>
      <c r="P761" s="1083"/>
      <c r="Q761" s="1083"/>
      <c r="R761" s="1083"/>
      <c r="S761" s="1083"/>
      <c r="T761" s="1083"/>
      <c r="U761" s="1083"/>
      <c r="V761" s="1083"/>
      <c r="W761" s="1083"/>
      <c r="X761" s="1083"/>
      <c r="Y761" s="1083"/>
      <c r="Z761" s="1083"/>
      <c r="AA761" s="1083"/>
      <c r="AB761" s="1083"/>
      <c r="AC761" s="1083"/>
      <c r="AD761" s="1083"/>
      <c r="AE761" s="1083"/>
    </row>
    <row r="762" spans="2:31">
      <c r="B762" s="1916"/>
      <c r="C762" s="1916"/>
      <c r="D762" s="1916"/>
      <c r="E762" s="1916"/>
      <c r="F762" s="1916">
        <f>ROUND((SUM(F760:F761)),2)</f>
        <v>11436.84</v>
      </c>
      <c r="G762" s="1916"/>
      <c r="I762" s="1083"/>
      <c r="J762" s="1083"/>
      <c r="K762" s="1083"/>
      <c r="L762" s="1083"/>
      <c r="M762" s="1083"/>
      <c r="N762" s="1083"/>
      <c r="O762" s="1083"/>
      <c r="P762" s="1083"/>
      <c r="Q762" s="1083"/>
      <c r="R762" s="1083"/>
      <c r="S762" s="1083"/>
      <c r="T762" s="1083"/>
      <c r="U762" s="1083"/>
      <c r="V762" s="1083"/>
      <c r="W762" s="1083"/>
      <c r="X762" s="1083"/>
      <c r="Y762" s="1083"/>
      <c r="Z762" s="1083"/>
      <c r="AA762" s="1083"/>
      <c r="AB762" s="1083"/>
      <c r="AC762" s="1083"/>
      <c r="AD762" s="1083"/>
      <c r="AE762" s="1083"/>
    </row>
    <row r="763" spans="2:31">
      <c r="B763" s="1916" t="s">
        <v>1151</v>
      </c>
      <c r="C763" s="1916">
        <v>0.14000000000000001</v>
      </c>
      <c r="D763" s="1916" t="s">
        <v>2</v>
      </c>
      <c r="E763" s="1916"/>
      <c r="F763" s="1916"/>
      <c r="G763" s="1916"/>
      <c r="I763" s="1083"/>
      <c r="J763" s="1083"/>
      <c r="K763" s="1083"/>
      <c r="L763" s="1083"/>
      <c r="M763" s="1083"/>
      <c r="N763" s="1083"/>
      <c r="O763" s="1083"/>
      <c r="P763" s="1083"/>
      <c r="Q763" s="1083"/>
      <c r="R763" s="1083"/>
      <c r="S763" s="1083"/>
      <c r="T763" s="1083"/>
      <c r="U763" s="1083"/>
      <c r="V763" s="1083"/>
      <c r="W763" s="1083"/>
      <c r="X763" s="1083"/>
      <c r="Y763" s="1083"/>
      <c r="Z763" s="1083"/>
      <c r="AA763" s="1083"/>
      <c r="AB763" s="1083"/>
      <c r="AC763" s="1083"/>
      <c r="AD763" s="1083"/>
      <c r="AE763" s="1083"/>
    </row>
    <row r="764" spans="2:31">
      <c r="B764" s="1916" t="s">
        <v>1148</v>
      </c>
      <c r="C764" s="1916">
        <f>F762*C763</f>
        <v>1601.1576</v>
      </c>
      <c r="D764" s="1916" t="s">
        <v>1149</v>
      </c>
      <c r="E764" s="1916"/>
      <c r="F764" s="1916"/>
      <c r="G764" s="1916"/>
      <c r="I764" s="1083"/>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row>
    <row r="765" spans="2:31">
      <c r="B765" s="1916" t="s">
        <v>1152</v>
      </c>
      <c r="C765" s="1916">
        <v>1</v>
      </c>
      <c r="D765" s="1916" t="s">
        <v>3</v>
      </c>
      <c r="E765" s="1916">
        <f>C764+C757</f>
        <v>6015.4485999999997</v>
      </c>
      <c r="F765" s="1916">
        <f>E765*C765</f>
        <v>6015.4485999999997</v>
      </c>
      <c r="G765" s="1916"/>
      <c r="I765" s="1083"/>
      <c r="J765" s="1083"/>
      <c r="K765" s="1083"/>
      <c r="L765" s="1083"/>
      <c r="M765" s="1083"/>
      <c r="N765" s="1083"/>
      <c r="O765" s="1083"/>
      <c r="P765" s="1083"/>
      <c r="Q765" s="1083"/>
      <c r="R765" s="1083"/>
      <c r="S765" s="1083"/>
      <c r="T765" s="1083"/>
      <c r="U765" s="1083"/>
      <c r="V765" s="1083"/>
      <c r="W765" s="1083"/>
      <c r="X765" s="1083"/>
      <c r="Y765" s="1083"/>
      <c r="Z765" s="1083"/>
      <c r="AA765" s="1083"/>
      <c r="AB765" s="1083"/>
      <c r="AC765" s="1083"/>
      <c r="AD765" s="1083"/>
      <c r="AE765" s="1083"/>
    </row>
    <row r="766" spans="2:31">
      <c r="B766" s="1916" t="s">
        <v>1153</v>
      </c>
      <c r="C766" s="1916">
        <v>2.86</v>
      </c>
      <c r="D766" s="1916" t="s">
        <v>11</v>
      </c>
      <c r="E766" s="1916">
        <f>E707</f>
        <v>331.48</v>
      </c>
      <c r="F766" s="1916">
        <f>E766*C766</f>
        <v>948.03279999999995</v>
      </c>
      <c r="G766" s="1916"/>
      <c r="I766" s="1083"/>
      <c r="J766" s="1083"/>
      <c r="K766" s="1083"/>
      <c r="L766" s="1083"/>
      <c r="M766" s="1083"/>
      <c r="N766" s="1083"/>
      <c r="O766" s="1083"/>
      <c r="P766" s="1083"/>
      <c r="Q766" s="1083"/>
      <c r="R766" s="1083"/>
      <c r="S766" s="1083"/>
      <c r="T766" s="1083"/>
      <c r="U766" s="1083"/>
      <c r="V766" s="1083"/>
      <c r="W766" s="1083"/>
      <c r="X766" s="1083"/>
      <c r="Y766" s="1083"/>
      <c r="Z766" s="1083"/>
      <c r="AA766" s="1083"/>
      <c r="AB766" s="1083"/>
      <c r="AC766" s="1083"/>
      <c r="AD766" s="1083"/>
      <c r="AE766" s="1083"/>
    </row>
    <row r="767" spans="2:31">
      <c r="B767" s="1916" t="s">
        <v>177</v>
      </c>
      <c r="C767" s="1916">
        <v>12.2</v>
      </c>
      <c r="D767" s="1916" t="s">
        <v>13</v>
      </c>
      <c r="E767" s="1916">
        <f>+F267</f>
        <v>82.22</v>
      </c>
      <c r="F767" s="1916">
        <f>E767*C767</f>
        <v>1003.0839999999999</v>
      </c>
      <c r="G767" s="1916"/>
      <c r="I767" s="1083"/>
      <c r="J767" s="1083"/>
      <c r="K767" s="1083"/>
      <c r="L767" s="1083"/>
      <c r="M767" s="1083"/>
      <c r="N767" s="1083"/>
      <c r="O767" s="1083"/>
      <c r="P767" s="1083"/>
      <c r="Q767" s="1083"/>
      <c r="R767" s="1083"/>
      <c r="S767" s="1083"/>
      <c r="T767" s="1083"/>
      <c r="U767" s="1083"/>
      <c r="V767" s="1083"/>
      <c r="W767" s="1083"/>
      <c r="X767" s="1083"/>
      <c r="Y767" s="1083"/>
      <c r="Z767" s="1083"/>
      <c r="AA767" s="1083"/>
      <c r="AB767" s="1083"/>
      <c r="AC767" s="1083"/>
      <c r="AD767" s="1083"/>
      <c r="AE767" s="1083"/>
    </row>
    <row r="768" spans="2:31">
      <c r="B768" s="1916" t="s">
        <v>536</v>
      </c>
      <c r="C768" s="1916">
        <v>1.76</v>
      </c>
      <c r="D768" s="1916" t="s">
        <v>11</v>
      </c>
      <c r="E768" s="1916">
        <f>+E735</f>
        <v>144</v>
      </c>
      <c r="F768" s="1916">
        <f>E768*C768</f>
        <v>253.44</v>
      </c>
      <c r="G768" s="1916"/>
      <c r="I768" s="1083"/>
      <c r="J768" s="1083"/>
      <c r="K768" s="1083"/>
      <c r="L768" s="1083"/>
      <c r="M768" s="1083"/>
      <c r="N768" s="1083"/>
      <c r="O768" s="1083"/>
      <c r="P768" s="1083"/>
      <c r="Q768" s="1083"/>
      <c r="R768" s="1083"/>
      <c r="S768" s="1083"/>
      <c r="T768" s="1083"/>
      <c r="U768" s="1083"/>
      <c r="V768" s="1083"/>
      <c r="W768" s="1083"/>
      <c r="X768" s="1083"/>
      <c r="Y768" s="1083"/>
      <c r="Z768" s="1083"/>
      <c r="AA768" s="1083"/>
      <c r="AB768" s="1083"/>
      <c r="AC768" s="1083"/>
      <c r="AD768" s="1083"/>
      <c r="AE768" s="1083"/>
    </row>
    <row r="769" spans="2:31">
      <c r="B769" s="1916" t="s">
        <v>1154</v>
      </c>
      <c r="C769" s="1916" t="s">
        <v>1144</v>
      </c>
      <c r="D769" s="1916"/>
      <c r="E769" s="1916"/>
      <c r="F769" s="1916">
        <f>ROUND((SUM(F765:F768)),2)</f>
        <v>8220.01</v>
      </c>
      <c r="G769" s="1916"/>
      <c r="I769" s="1083"/>
      <c r="J769" s="1083"/>
      <c r="K769" s="1083"/>
      <c r="L769" s="1083"/>
      <c r="M769" s="1083"/>
      <c r="N769" s="1083"/>
      <c r="O769" s="1083"/>
      <c r="P769" s="1083"/>
      <c r="Q769" s="1083"/>
      <c r="R769" s="1083"/>
      <c r="S769" s="1083"/>
      <c r="T769" s="1083"/>
      <c r="U769" s="1083"/>
      <c r="V769" s="1083"/>
      <c r="W769" s="1083"/>
      <c r="X769" s="1083"/>
      <c r="Y769" s="1083"/>
      <c r="Z769" s="1083"/>
      <c r="AA769" s="1083"/>
      <c r="AB769" s="1083"/>
      <c r="AC769" s="1083"/>
      <c r="AD769" s="1083"/>
      <c r="AE769" s="1083"/>
    </row>
    <row r="770" spans="2:31">
      <c r="B770" s="1916" t="s">
        <v>1145</v>
      </c>
      <c r="C770" s="1916" t="s">
        <v>1148</v>
      </c>
      <c r="D770" s="1916"/>
      <c r="E770" s="1916">
        <f>F769</f>
        <v>8220.01</v>
      </c>
      <c r="F770" s="1916"/>
      <c r="G770" s="1916"/>
      <c r="I770" s="1083"/>
      <c r="J770" s="1083"/>
      <c r="K770" s="1083"/>
      <c r="L770" s="1083"/>
      <c r="M770" s="1083"/>
      <c r="N770" s="1083"/>
      <c r="O770" s="1083"/>
      <c r="P770" s="1083"/>
      <c r="Q770" s="1083"/>
      <c r="R770" s="1083"/>
      <c r="S770" s="1083"/>
      <c r="T770" s="1083"/>
      <c r="U770" s="1083"/>
      <c r="V770" s="1083"/>
      <c r="W770" s="1083"/>
      <c r="X770" s="1083"/>
      <c r="Y770" s="1083"/>
      <c r="Z770" s="1083"/>
      <c r="AA770" s="1083"/>
      <c r="AB770" s="1083"/>
      <c r="AC770" s="1083"/>
      <c r="AD770" s="1083"/>
      <c r="AE770" s="1083"/>
    </row>
    <row r="771" spans="2:31">
      <c r="B771" s="1916"/>
      <c r="C771" s="1916"/>
      <c r="D771" s="1916"/>
      <c r="E771" s="1916"/>
      <c r="F771" s="1916"/>
      <c r="G771" s="1916"/>
      <c r="I771" s="1083"/>
      <c r="J771" s="1083"/>
      <c r="K771" s="1083"/>
      <c r="L771" s="1083"/>
      <c r="M771" s="1083"/>
      <c r="N771" s="1083"/>
      <c r="O771" s="1083"/>
      <c r="P771" s="1083"/>
      <c r="Q771" s="1083"/>
      <c r="R771" s="1083"/>
      <c r="S771" s="1083"/>
      <c r="T771" s="1083"/>
      <c r="U771" s="1083"/>
      <c r="V771" s="1083"/>
      <c r="W771" s="1083"/>
      <c r="X771" s="1083"/>
      <c r="Y771" s="1083"/>
      <c r="Z771" s="1083"/>
      <c r="AA771" s="1083"/>
      <c r="AB771" s="1083"/>
      <c r="AC771" s="1083"/>
      <c r="AD771" s="1083"/>
      <c r="AE771" s="1083"/>
    </row>
    <row r="772" spans="2:31" ht="13.5" hidden="1" thickBot="1">
      <c r="B772" s="1145"/>
      <c r="C772" s="1612"/>
      <c r="D772" s="1146"/>
      <c r="E772" s="1147"/>
      <c r="F772" s="1148"/>
      <c r="I772" s="1083"/>
      <c r="J772" s="1083"/>
      <c r="K772" s="1083"/>
      <c r="L772" s="1083"/>
      <c r="M772" s="1083"/>
      <c r="N772" s="1083"/>
      <c r="O772" s="1083"/>
      <c r="P772" s="1083"/>
      <c r="Q772" s="1083"/>
      <c r="R772" s="1083"/>
      <c r="S772" s="1083"/>
      <c r="T772" s="1083"/>
      <c r="U772" s="1083"/>
      <c r="V772" s="1083"/>
      <c r="W772" s="1083"/>
      <c r="X772" s="1083"/>
      <c r="Y772" s="1083"/>
      <c r="Z772" s="1083"/>
      <c r="AA772" s="1083"/>
      <c r="AB772" s="1083"/>
      <c r="AC772" s="1083"/>
      <c r="AD772" s="1083"/>
      <c r="AE772" s="1083"/>
    </row>
    <row r="773" spans="2:31" ht="13.5" hidden="1" thickTop="1">
      <c r="B773" s="1156"/>
      <c r="C773" s="1613"/>
      <c r="D773" s="1149"/>
      <c r="E773" s="1150"/>
      <c r="F773" s="1151"/>
      <c r="I773" s="1083"/>
      <c r="J773" s="1083"/>
      <c r="K773" s="1083"/>
      <c r="L773" s="1083"/>
      <c r="M773" s="1083"/>
      <c r="N773" s="1083"/>
      <c r="O773" s="1083"/>
      <c r="P773" s="1083"/>
      <c r="Q773" s="1083"/>
      <c r="R773" s="1083"/>
      <c r="S773" s="1083"/>
      <c r="T773" s="1083"/>
      <c r="U773" s="1083"/>
      <c r="V773" s="1083"/>
      <c r="W773" s="1083"/>
      <c r="X773" s="1083"/>
      <c r="Y773" s="1083"/>
      <c r="Z773" s="1083"/>
      <c r="AA773" s="1083"/>
      <c r="AB773" s="1083"/>
      <c r="AC773" s="1083"/>
      <c r="AD773" s="1083"/>
      <c r="AE773" s="1083"/>
    </row>
    <row r="774" spans="2:31" ht="26.25" hidden="1" thickBot="1">
      <c r="B774" s="1134" t="s">
        <v>1155</v>
      </c>
      <c r="C774" s="1614"/>
      <c r="D774" s="1135"/>
      <c r="E774" s="1135"/>
      <c r="F774" s="1135"/>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3"/>
    </row>
    <row r="775" spans="2:31" ht="13.5" hidden="1" thickTop="1">
      <c r="B775" s="1137" t="s">
        <v>271</v>
      </c>
      <c r="C775" s="1610">
        <v>1.05</v>
      </c>
      <c r="D775" s="1138" t="s">
        <v>2</v>
      </c>
      <c r="E775" s="1139">
        <v>5525.27</v>
      </c>
      <c r="F775" s="1140">
        <f>C775*E775</f>
        <v>5801.53</v>
      </c>
      <c r="I775" s="1083"/>
      <c r="J775" s="1083"/>
      <c r="K775" s="1083"/>
      <c r="L775" s="1083"/>
      <c r="M775" s="1083"/>
      <c r="N775" s="1083"/>
      <c r="O775" s="1083"/>
      <c r="P775" s="1083"/>
      <c r="Q775" s="1083"/>
      <c r="R775" s="1083"/>
      <c r="S775" s="1083"/>
      <c r="T775" s="1083"/>
      <c r="U775" s="1083"/>
      <c r="V775" s="1083"/>
      <c r="W775" s="1083"/>
      <c r="X775" s="1083"/>
      <c r="Y775" s="1083"/>
      <c r="Z775" s="1083"/>
      <c r="AA775" s="1083"/>
      <c r="AB775" s="1083"/>
      <c r="AC775" s="1083"/>
      <c r="AD775" s="1083"/>
      <c r="AE775" s="1083"/>
    </row>
    <row r="776" spans="2:31" hidden="1">
      <c r="B776" s="1141" t="s">
        <v>1092</v>
      </c>
      <c r="C776" s="1611">
        <v>6.38</v>
      </c>
      <c r="D776" s="1142" t="s">
        <v>126</v>
      </c>
      <c r="E776" s="1143">
        <f>+E628</f>
        <v>2590</v>
      </c>
      <c r="F776" s="1144">
        <f>C776*E776</f>
        <v>16524.2</v>
      </c>
      <c r="I776" s="1083"/>
      <c r="J776" s="1083"/>
      <c r="K776" s="1083"/>
      <c r="L776" s="1083"/>
      <c r="M776" s="1083"/>
      <c r="N776" s="1083"/>
      <c r="O776" s="1083"/>
      <c r="P776" s="1083"/>
      <c r="Q776" s="1083"/>
      <c r="R776" s="1083"/>
      <c r="S776" s="1083"/>
      <c r="T776" s="1083"/>
      <c r="U776" s="1083"/>
      <c r="V776" s="1083"/>
      <c r="W776" s="1083"/>
      <c r="X776" s="1083"/>
      <c r="Y776" s="1083"/>
      <c r="Z776" s="1083"/>
      <c r="AA776" s="1083"/>
      <c r="AB776" s="1083"/>
      <c r="AC776" s="1083"/>
      <c r="AD776" s="1083"/>
      <c r="AE776" s="1083"/>
    </row>
    <row r="777" spans="2:31" hidden="1">
      <c r="B777" s="1141" t="s">
        <v>1089</v>
      </c>
      <c r="C777" s="1611">
        <v>25</v>
      </c>
      <c r="D777" s="1152" t="s">
        <v>1</v>
      </c>
      <c r="E777" s="1143">
        <v>250</v>
      </c>
      <c r="F777" s="1144">
        <f>C777*E777</f>
        <v>6250</v>
      </c>
      <c r="I777" s="1083"/>
      <c r="J777" s="1083"/>
      <c r="K777" s="1083"/>
      <c r="L777" s="1083"/>
      <c r="M777" s="1083"/>
      <c r="N777" s="1083"/>
      <c r="O777" s="1083"/>
      <c r="P777" s="1083"/>
      <c r="Q777" s="1083"/>
      <c r="R777" s="1083"/>
      <c r="S777" s="1083"/>
      <c r="T777" s="1083"/>
      <c r="U777" s="1083"/>
      <c r="V777" s="1083"/>
      <c r="W777" s="1083"/>
      <c r="X777" s="1083"/>
      <c r="Y777" s="1083"/>
      <c r="Z777" s="1083"/>
      <c r="AA777" s="1083"/>
      <c r="AB777" s="1083"/>
      <c r="AC777" s="1083"/>
      <c r="AD777" s="1083"/>
      <c r="AE777" s="1083"/>
    </row>
    <row r="778" spans="2:31" hidden="1">
      <c r="B778" s="1141" t="s">
        <v>1093</v>
      </c>
      <c r="C778" s="1611">
        <v>25</v>
      </c>
      <c r="D778" s="1152" t="s">
        <v>1</v>
      </c>
      <c r="E778" s="1143">
        <v>85</v>
      </c>
      <c r="F778" s="1144">
        <f>C778*E778</f>
        <v>2125</v>
      </c>
      <c r="I778" s="1083"/>
      <c r="J778" s="1083"/>
      <c r="K778" s="1083"/>
      <c r="L778" s="1083"/>
      <c r="M778" s="1083"/>
      <c r="N778" s="1083"/>
      <c r="O778" s="1083"/>
      <c r="P778" s="1083"/>
      <c r="Q778" s="1083"/>
      <c r="R778" s="1083"/>
      <c r="S778" s="1083"/>
      <c r="T778" s="1083"/>
      <c r="U778" s="1083"/>
      <c r="V778" s="1083"/>
      <c r="W778" s="1083"/>
      <c r="X778" s="1083"/>
      <c r="Y778" s="1083"/>
      <c r="Z778" s="1083"/>
      <c r="AA778" s="1083"/>
      <c r="AB778" s="1083"/>
      <c r="AC778" s="1083"/>
      <c r="AD778" s="1083"/>
      <c r="AE778" s="1083"/>
    </row>
    <row r="779" spans="2:31" ht="13.5" hidden="1" thickBot="1">
      <c r="B779" s="1145"/>
      <c r="C779" s="1612"/>
      <c r="D779" s="1146"/>
      <c r="E779" s="1147" t="s">
        <v>1031</v>
      </c>
      <c r="F779" s="1148">
        <f>ROUND(SUM(F775:F778),2)</f>
        <v>30700.73</v>
      </c>
      <c r="I779" s="1083"/>
      <c r="J779" s="1083"/>
      <c r="K779" s="1083"/>
      <c r="L779" s="1083"/>
      <c r="M779" s="1083"/>
      <c r="N779" s="1083"/>
      <c r="O779" s="1083"/>
      <c r="P779" s="1083"/>
      <c r="Q779" s="1083"/>
      <c r="R779" s="1083"/>
      <c r="S779" s="1083"/>
      <c r="T779" s="1083"/>
      <c r="U779" s="1083"/>
      <c r="V779" s="1083"/>
      <c r="W779" s="1083"/>
      <c r="X779" s="1083"/>
      <c r="Y779" s="1083"/>
      <c r="Z779" s="1083"/>
      <c r="AA779" s="1083"/>
      <c r="AB779" s="1083"/>
      <c r="AC779" s="1083"/>
      <c r="AD779" s="1083"/>
      <c r="AE779" s="1083"/>
    </row>
    <row r="780" spans="2:31" ht="13.5" hidden="1" thickTop="1">
      <c r="B780" s="1130"/>
      <c r="C780" s="1609"/>
      <c r="D780" s="1131"/>
      <c r="E780" s="1132"/>
      <c r="F780" s="1133"/>
      <c r="I780" s="1083"/>
      <c r="J780" s="1083"/>
      <c r="K780" s="1083"/>
      <c r="L780" s="1083"/>
      <c r="M780" s="1083"/>
      <c r="N780" s="1083"/>
      <c r="O780" s="1083"/>
      <c r="P780" s="1083"/>
      <c r="Q780" s="1083"/>
      <c r="R780" s="1083"/>
      <c r="S780" s="1083"/>
      <c r="T780" s="1083"/>
      <c r="U780" s="1083"/>
      <c r="V780" s="1083"/>
      <c r="W780" s="1083"/>
      <c r="X780" s="1083"/>
      <c r="Y780" s="1083"/>
      <c r="Z780" s="1083"/>
      <c r="AA780" s="1083"/>
      <c r="AB780" s="1083"/>
      <c r="AC780" s="1083"/>
      <c r="AD780" s="1083"/>
      <c r="AE780" s="1083"/>
    </row>
    <row r="781" spans="2:31" ht="26.25" hidden="1" thickBot="1">
      <c r="B781" s="1134" t="s">
        <v>1156</v>
      </c>
      <c r="C781" s="1614"/>
      <c r="D781" s="1135"/>
      <c r="E781" s="1135"/>
      <c r="F781" s="1135"/>
      <c r="I781" s="1083"/>
      <c r="J781" s="1083"/>
      <c r="K781" s="1083"/>
      <c r="L781" s="1083"/>
      <c r="M781" s="1083"/>
      <c r="N781" s="1083"/>
      <c r="O781" s="1083"/>
      <c r="P781" s="1083"/>
      <c r="Q781" s="1083"/>
      <c r="R781" s="1083"/>
      <c r="S781" s="1083"/>
      <c r="T781" s="1083"/>
      <c r="U781" s="1083"/>
      <c r="V781" s="1083"/>
      <c r="W781" s="1083"/>
      <c r="X781" s="1083"/>
      <c r="Y781" s="1083"/>
      <c r="Z781" s="1083"/>
      <c r="AA781" s="1083"/>
      <c r="AB781" s="1083"/>
      <c r="AC781" s="1083"/>
      <c r="AD781" s="1083"/>
      <c r="AE781" s="1083"/>
    </row>
    <row r="782" spans="2:31" ht="13.5" hidden="1" thickTop="1">
      <c r="B782" s="1137" t="s">
        <v>271</v>
      </c>
      <c r="C782" s="1610">
        <v>1.05</v>
      </c>
      <c r="D782" s="1138" t="s">
        <v>2</v>
      </c>
      <c r="E782" s="1139">
        <f>+E775</f>
        <v>5525.27</v>
      </c>
      <c r="F782" s="1140">
        <f>C782*E782</f>
        <v>5801.53</v>
      </c>
      <c r="I782" s="1083"/>
      <c r="J782" s="1083"/>
      <c r="K782" s="1083"/>
      <c r="L782" s="1083"/>
      <c r="M782" s="1083"/>
      <c r="N782" s="1083"/>
      <c r="O782" s="1083"/>
      <c r="P782" s="1083"/>
      <c r="Q782" s="1083"/>
      <c r="R782" s="1083"/>
      <c r="S782" s="1083"/>
      <c r="T782" s="1083"/>
      <c r="U782" s="1083"/>
      <c r="V782" s="1083"/>
      <c r="W782" s="1083"/>
      <c r="X782" s="1083"/>
      <c r="Y782" s="1083"/>
      <c r="Z782" s="1083"/>
      <c r="AA782" s="1083"/>
      <c r="AB782" s="1083"/>
      <c r="AC782" s="1083"/>
      <c r="AD782" s="1083"/>
      <c r="AE782" s="1083"/>
    </row>
    <row r="783" spans="2:31" hidden="1">
      <c r="B783" s="1141" t="s">
        <v>272</v>
      </c>
      <c r="C783" s="1611">
        <v>1.35</v>
      </c>
      <c r="D783" s="1142" t="s">
        <v>126</v>
      </c>
      <c r="E783" s="1143">
        <f>+E635</f>
        <v>2913</v>
      </c>
      <c r="F783" s="1144">
        <f>C783*E783</f>
        <v>3932.55</v>
      </c>
      <c r="I783" s="1083"/>
      <c r="J783" s="1083"/>
      <c r="K783" s="1083"/>
      <c r="L783" s="1083"/>
      <c r="M783" s="1083"/>
      <c r="N783" s="1083"/>
      <c r="O783" s="1083"/>
      <c r="P783" s="1083"/>
      <c r="Q783" s="1083"/>
      <c r="R783" s="1083"/>
      <c r="S783" s="1083"/>
      <c r="T783" s="1083"/>
      <c r="U783" s="1083"/>
      <c r="V783" s="1083"/>
      <c r="W783" s="1083"/>
      <c r="X783" s="1083"/>
      <c r="Y783" s="1083"/>
      <c r="Z783" s="1083"/>
      <c r="AA783" s="1083"/>
      <c r="AB783" s="1083"/>
      <c r="AC783" s="1083"/>
      <c r="AD783" s="1083"/>
      <c r="AE783" s="1083"/>
    </row>
    <row r="784" spans="2:31" hidden="1">
      <c r="B784" s="1141" t="s">
        <v>1089</v>
      </c>
      <c r="C784" s="1611">
        <v>7.69</v>
      </c>
      <c r="D784" s="1152" t="s">
        <v>11</v>
      </c>
      <c r="E784" s="1143">
        <v>225</v>
      </c>
      <c r="F784" s="1144">
        <f>C784*E784</f>
        <v>1730.25</v>
      </c>
      <c r="I784" s="1083"/>
      <c r="J784" s="1083"/>
      <c r="K784" s="1083"/>
      <c r="L784" s="1083"/>
      <c r="M784" s="1083"/>
      <c r="N784" s="1083"/>
      <c r="O784" s="1083"/>
      <c r="P784" s="1083"/>
      <c r="Q784" s="1083"/>
      <c r="R784" s="1083"/>
      <c r="S784" s="1083"/>
      <c r="T784" s="1083"/>
      <c r="U784" s="1083"/>
      <c r="V784" s="1083"/>
      <c r="W784" s="1083"/>
      <c r="X784" s="1083"/>
      <c r="Y784" s="1083"/>
      <c r="Z784" s="1083"/>
      <c r="AA784" s="1083"/>
      <c r="AB784" s="1083"/>
      <c r="AC784" s="1083"/>
      <c r="AD784" s="1083"/>
      <c r="AE784" s="1083"/>
    </row>
    <row r="785" spans="2:31" ht="13.5" hidden="1" thickBot="1">
      <c r="B785" s="1145"/>
      <c r="C785" s="1612"/>
      <c r="D785" s="1146"/>
      <c r="E785" s="1147" t="s">
        <v>1031</v>
      </c>
      <c r="F785" s="1148">
        <f>ROUND(SUM(F782:F784),2)</f>
        <v>11464.33</v>
      </c>
      <c r="I785" s="1083"/>
      <c r="J785" s="1083"/>
      <c r="K785" s="1083"/>
      <c r="L785" s="1083"/>
      <c r="M785" s="1083"/>
      <c r="N785" s="1083"/>
      <c r="O785" s="1083"/>
      <c r="P785" s="1083"/>
      <c r="Q785" s="1083"/>
      <c r="R785" s="1083"/>
      <c r="S785" s="1083"/>
      <c r="T785" s="1083"/>
      <c r="U785" s="1083"/>
      <c r="V785" s="1083"/>
      <c r="W785" s="1083"/>
      <c r="X785" s="1083"/>
      <c r="Y785" s="1083"/>
      <c r="Z785" s="1083"/>
      <c r="AA785" s="1083"/>
      <c r="AB785" s="1083"/>
      <c r="AC785" s="1083"/>
      <c r="AD785" s="1083"/>
      <c r="AE785" s="1083"/>
    </row>
    <row r="786" spans="2:31">
      <c r="B786" s="1149"/>
      <c r="C786" s="1613"/>
      <c r="D786" s="1149"/>
      <c r="E786" s="1150"/>
      <c r="F786" s="1151"/>
      <c r="I786" s="1083"/>
      <c r="J786" s="1083"/>
      <c r="K786" s="1083"/>
      <c r="L786" s="1083"/>
      <c r="M786" s="1083"/>
      <c r="N786" s="1083"/>
      <c r="O786" s="1083"/>
      <c r="P786" s="1083"/>
      <c r="Q786" s="1083"/>
      <c r="R786" s="1083"/>
      <c r="S786" s="1083"/>
      <c r="T786" s="1083"/>
      <c r="U786" s="1083"/>
      <c r="V786" s="1083"/>
      <c r="W786" s="1083"/>
      <c r="X786" s="1083"/>
      <c r="Y786" s="1083"/>
      <c r="Z786" s="1083"/>
      <c r="AA786" s="1083"/>
      <c r="AB786" s="1083"/>
      <c r="AC786" s="1083"/>
      <c r="AD786" s="1083"/>
      <c r="AE786" s="1083"/>
    </row>
    <row r="787" spans="2:31" ht="20.25">
      <c r="B787" s="1914" t="s">
        <v>852</v>
      </c>
      <c r="C787" s="1613"/>
      <c r="D787" s="1149"/>
      <c r="E787" s="1150"/>
      <c r="F787" s="1151"/>
      <c r="I787" s="1083"/>
      <c r="J787" s="1083"/>
      <c r="K787" s="1083"/>
      <c r="L787" s="1083"/>
      <c r="M787" s="1083"/>
      <c r="N787" s="1083"/>
      <c r="O787" s="1083"/>
      <c r="P787" s="1083"/>
      <c r="Q787" s="1083"/>
      <c r="R787" s="1083"/>
      <c r="S787" s="1083"/>
      <c r="T787" s="1083"/>
      <c r="U787" s="1083"/>
      <c r="V787" s="1083"/>
      <c r="W787" s="1083"/>
      <c r="X787" s="1083"/>
      <c r="Y787" s="1083"/>
      <c r="Z787" s="1083"/>
      <c r="AA787" s="1083"/>
      <c r="AB787" s="1083"/>
      <c r="AC787" s="1083"/>
      <c r="AD787" s="1083"/>
      <c r="AE787" s="1083"/>
    </row>
    <row r="788" spans="2:31" ht="20.25">
      <c r="B788" s="1914"/>
      <c r="C788" s="1613"/>
      <c r="D788" s="1149"/>
      <c r="E788" s="1150"/>
      <c r="F788" s="1151"/>
      <c r="I788" s="1083"/>
      <c r="J788" s="1083"/>
      <c r="K788" s="1083"/>
      <c r="L788" s="1083"/>
      <c r="M788" s="1083"/>
      <c r="N788" s="1083"/>
      <c r="O788" s="1083"/>
      <c r="P788" s="1083"/>
      <c r="Q788" s="1083"/>
      <c r="R788" s="1083"/>
      <c r="S788" s="1083"/>
      <c r="T788" s="1083"/>
      <c r="U788" s="1083"/>
      <c r="V788" s="1083"/>
      <c r="W788" s="1083"/>
      <c r="X788" s="1083"/>
      <c r="Y788" s="1083"/>
      <c r="Z788" s="1083"/>
      <c r="AA788" s="1083"/>
      <c r="AB788" s="1083"/>
      <c r="AC788" s="1083"/>
      <c r="AD788" s="1083"/>
      <c r="AE788" s="1083"/>
    </row>
    <row r="789" spans="2:31" ht="13.5" thickBot="1">
      <c r="B789" s="1387" t="s">
        <v>1777</v>
      </c>
      <c r="C789" s="1614"/>
      <c r="D789" s="1136"/>
      <c r="E789" s="1135"/>
      <c r="F789" s="1135"/>
      <c r="I789" s="1083"/>
      <c r="J789" s="1083"/>
      <c r="K789" s="1083"/>
      <c r="L789" s="1083"/>
      <c r="M789" s="1083"/>
      <c r="N789" s="1083"/>
      <c r="O789" s="1083"/>
      <c r="P789" s="1083"/>
      <c r="Q789" s="1083"/>
      <c r="R789" s="1083"/>
      <c r="S789" s="1083"/>
      <c r="T789" s="1083"/>
      <c r="U789" s="1083"/>
      <c r="V789" s="1083"/>
      <c r="W789" s="1083"/>
      <c r="X789" s="1083"/>
      <c r="Y789" s="1083"/>
      <c r="Z789" s="1083"/>
      <c r="AA789" s="1083"/>
      <c r="AB789" s="1083"/>
      <c r="AC789" s="1083"/>
      <c r="AD789" s="1083"/>
      <c r="AE789" s="1083"/>
    </row>
    <row r="790" spans="2:31" ht="13.5" thickTop="1">
      <c r="B790" s="1137" t="s">
        <v>1840</v>
      </c>
      <c r="C790" s="1610">
        <v>1.05</v>
      </c>
      <c r="D790" s="1138" t="s">
        <v>2</v>
      </c>
      <c r="E790" s="1139">
        <f>+F43</f>
        <v>5050.66</v>
      </c>
      <c r="F790" s="1140">
        <f>C790*E790</f>
        <v>5303.19</v>
      </c>
      <c r="I790" s="1083"/>
      <c r="J790" s="1083"/>
      <c r="K790" s="1083"/>
      <c r="L790" s="1083"/>
      <c r="M790" s="1083"/>
      <c r="N790" s="1083"/>
      <c r="O790" s="1083"/>
      <c r="P790" s="1083"/>
      <c r="Q790" s="1083"/>
      <c r="R790" s="1083"/>
      <c r="S790" s="1083"/>
      <c r="T790" s="1083"/>
      <c r="U790" s="1083"/>
      <c r="V790" s="1083"/>
      <c r="W790" s="1083"/>
      <c r="X790" s="1083"/>
      <c r="Y790" s="1083"/>
      <c r="Z790" s="1083"/>
      <c r="AA790" s="1083"/>
      <c r="AB790" s="1083"/>
      <c r="AC790" s="1083"/>
      <c r="AD790" s="1083"/>
      <c r="AE790" s="1083"/>
    </row>
    <row r="791" spans="2:31">
      <c r="B791" s="1916" t="s">
        <v>1087</v>
      </c>
      <c r="C791" s="1611">
        <v>0.66</v>
      </c>
      <c r="D791" s="1142" t="s">
        <v>126</v>
      </c>
      <c r="E791" s="1143">
        <f>+F62</f>
        <v>2913</v>
      </c>
      <c r="F791" s="1144">
        <f>C791*E791</f>
        <v>1922.58</v>
      </c>
      <c r="I791" s="1083"/>
      <c r="J791" s="1083"/>
      <c r="K791" s="1083"/>
      <c r="L791" s="1083"/>
      <c r="M791" s="1083"/>
      <c r="N791" s="1083"/>
      <c r="O791" s="1083"/>
      <c r="P791" s="1083"/>
      <c r="Q791" s="1083"/>
      <c r="R791" s="1083"/>
      <c r="S791" s="1083"/>
      <c r="T791" s="1083"/>
      <c r="U791" s="1083"/>
      <c r="V791" s="1083"/>
      <c r="W791" s="1083"/>
      <c r="X791" s="1083"/>
      <c r="Y791" s="1083"/>
      <c r="Z791" s="1083"/>
      <c r="AA791" s="1083"/>
      <c r="AB791" s="1083"/>
      <c r="AC791" s="1083"/>
      <c r="AD791" s="1083"/>
      <c r="AE791" s="1083"/>
    </row>
    <row r="792" spans="2:31" ht="13.5" thickBot="1">
      <c r="B792" s="1145"/>
      <c r="C792" s="1612"/>
      <c r="D792" s="1146"/>
      <c r="E792" s="1147" t="s">
        <v>1031</v>
      </c>
      <c r="F792" s="1148">
        <f>ROUND(SUM(F790:F791),2)</f>
        <v>7225.77</v>
      </c>
      <c r="I792" s="1083"/>
      <c r="J792" s="1083"/>
      <c r="K792" s="1083"/>
      <c r="L792" s="1083"/>
      <c r="M792" s="1083"/>
      <c r="N792" s="1083"/>
      <c r="O792" s="1083"/>
      <c r="P792" s="1083"/>
      <c r="Q792" s="1083"/>
      <c r="R792" s="1083"/>
      <c r="S792" s="1083"/>
      <c r="T792" s="1083"/>
      <c r="U792" s="1083"/>
      <c r="V792" s="1083"/>
      <c r="W792" s="1083"/>
      <c r="X792" s="1083"/>
      <c r="Y792" s="1083"/>
      <c r="Z792" s="1083"/>
      <c r="AA792" s="1083"/>
      <c r="AB792" s="1083"/>
      <c r="AC792" s="1083"/>
      <c r="AD792" s="1083"/>
      <c r="AE792" s="1083"/>
    </row>
    <row r="793" spans="2:31" ht="13.5" thickTop="1">
      <c r="B793" s="1130"/>
      <c r="C793" s="1609"/>
      <c r="D793" s="1131"/>
      <c r="E793" s="1132"/>
      <c r="F793" s="1133"/>
      <c r="I793" s="1083"/>
      <c r="J793" s="1083"/>
      <c r="K793" s="1083"/>
      <c r="L793" s="1083"/>
      <c r="M793" s="1083"/>
      <c r="N793" s="1083"/>
      <c r="O793" s="1083"/>
      <c r="P793" s="1083"/>
      <c r="Q793" s="1083"/>
      <c r="R793" s="1083"/>
      <c r="S793" s="1083"/>
      <c r="T793" s="1083"/>
      <c r="U793" s="1083"/>
      <c r="V793" s="1083"/>
      <c r="W793" s="1083"/>
      <c r="X793" s="1083"/>
      <c r="Y793" s="1083"/>
      <c r="Z793" s="1083"/>
      <c r="AA793" s="1083"/>
      <c r="AB793" s="1083"/>
      <c r="AC793" s="1083"/>
      <c r="AD793" s="1083"/>
      <c r="AE793" s="1083"/>
    </row>
    <row r="794" spans="2:31" ht="13.5" thickBot="1">
      <c r="B794" s="1916" t="s">
        <v>1778</v>
      </c>
      <c r="C794" s="1614"/>
      <c r="D794" s="1135"/>
      <c r="E794" s="1135"/>
      <c r="F794" s="1135"/>
      <c r="I794" s="1083"/>
      <c r="J794" s="1083"/>
      <c r="K794" s="1083"/>
      <c r="L794" s="1083"/>
      <c r="M794" s="1083"/>
      <c r="N794" s="1083"/>
      <c r="O794" s="1083"/>
      <c r="P794" s="1083"/>
      <c r="Q794" s="1083"/>
      <c r="R794" s="1083"/>
      <c r="S794" s="1083"/>
      <c r="T794" s="1083"/>
      <c r="U794" s="1083"/>
      <c r="V794" s="1083"/>
      <c r="W794" s="1083"/>
      <c r="X794" s="1083"/>
      <c r="Y794" s="1083"/>
      <c r="Z794" s="1083"/>
      <c r="AA794" s="1083"/>
      <c r="AB794" s="1083"/>
      <c r="AC794" s="1083"/>
      <c r="AD794" s="1083"/>
      <c r="AE794" s="1083"/>
    </row>
    <row r="795" spans="2:31" s="1235" customFormat="1" ht="13.5" thickTop="1">
      <c r="B795" s="1916" t="s">
        <v>1840</v>
      </c>
      <c r="C795" s="1610">
        <v>1.05</v>
      </c>
      <c r="D795" s="1916" t="s">
        <v>2</v>
      </c>
      <c r="E795" s="3348">
        <f>+E790</f>
        <v>5050.66</v>
      </c>
      <c r="F795" s="1916">
        <f>C795*E795</f>
        <v>5303.1930000000002</v>
      </c>
    </row>
    <row r="796" spans="2:31" s="1235" customFormat="1">
      <c r="B796" s="1916" t="s">
        <v>1087</v>
      </c>
      <c r="C796" s="1611">
        <v>1.1499999999999999</v>
      </c>
      <c r="D796" s="1916" t="s">
        <v>126</v>
      </c>
      <c r="E796" s="1916">
        <f>+F62</f>
        <v>2913</v>
      </c>
      <c r="F796" s="1916">
        <f>C796*E796</f>
        <v>3349.95</v>
      </c>
    </row>
    <row r="797" spans="2:31" ht="13.5" thickBot="1">
      <c r="B797" s="1145"/>
      <c r="C797" s="1612"/>
      <c r="D797" s="1146"/>
      <c r="E797" s="1147" t="s">
        <v>1031</v>
      </c>
      <c r="F797" s="1148">
        <f>ROUND(SUM(F795:F796),2)</f>
        <v>8653.14</v>
      </c>
      <c r="I797" s="1083"/>
      <c r="J797" s="1083"/>
      <c r="K797" s="1083"/>
      <c r="L797" s="1083"/>
      <c r="M797" s="1083"/>
      <c r="N797" s="1083"/>
      <c r="O797" s="1083"/>
      <c r="P797" s="1083"/>
      <c r="Q797" s="1083"/>
      <c r="R797" s="1083"/>
      <c r="S797" s="1083"/>
      <c r="T797" s="1083"/>
      <c r="U797" s="1083"/>
      <c r="V797" s="1083"/>
      <c r="W797" s="1083"/>
      <c r="X797" s="1083"/>
      <c r="Y797" s="1083"/>
      <c r="Z797" s="1083"/>
      <c r="AA797" s="1083"/>
      <c r="AB797" s="1083"/>
      <c r="AC797" s="1083"/>
      <c r="AD797" s="1083"/>
      <c r="AE797" s="1083"/>
    </row>
    <row r="798" spans="2:31" ht="13.5" thickTop="1">
      <c r="B798" s="1087"/>
      <c r="C798" s="1603"/>
      <c r="D798" s="1087"/>
      <c r="E798" s="1100"/>
      <c r="F798" s="1105"/>
      <c r="I798" s="1083"/>
      <c r="J798" s="1083"/>
      <c r="K798" s="1083"/>
      <c r="L798" s="1083"/>
      <c r="M798" s="1083"/>
      <c r="N798" s="1083"/>
      <c r="O798" s="1083"/>
      <c r="P798" s="1083"/>
      <c r="Q798" s="1083"/>
      <c r="R798" s="1083"/>
      <c r="S798" s="1083"/>
      <c r="T798" s="1083"/>
      <c r="U798" s="1083"/>
      <c r="V798" s="1083"/>
      <c r="W798" s="1083"/>
      <c r="X798" s="1083"/>
      <c r="Y798" s="1083"/>
      <c r="Z798" s="1083"/>
      <c r="AA798" s="1083"/>
      <c r="AB798" s="1083"/>
      <c r="AC798" s="1083"/>
      <c r="AD798" s="1083"/>
      <c r="AE798" s="1083"/>
    </row>
    <row r="799" spans="2:31" ht="13.5" thickBot="1">
      <c r="B799" s="1916" t="s">
        <v>1779</v>
      </c>
      <c r="C799" s="1609"/>
      <c r="D799" s="1131"/>
      <c r="E799" s="1132"/>
      <c r="F799" s="1133"/>
      <c r="I799" s="1083"/>
      <c r="J799" s="1083"/>
      <c r="K799" s="1083"/>
      <c r="L799" s="1083"/>
      <c r="M799" s="1083"/>
      <c r="N799" s="1083"/>
      <c r="O799" s="1083"/>
      <c r="P799" s="1083"/>
      <c r="Q799" s="1083"/>
      <c r="R799" s="1083"/>
      <c r="S799" s="1083"/>
      <c r="T799" s="1083"/>
      <c r="U799" s="1083"/>
      <c r="V799" s="1083"/>
      <c r="W799" s="1083"/>
      <c r="X799" s="1083"/>
      <c r="Y799" s="1083"/>
      <c r="Z799" s="1083"/>
      <c r="AA799" s="1083"/>
      <c r="AB799" s="1083"/>
      <c r="AC799" s="1083"/>
      <c r="AD799" s="1083"/>
      <c r="AE799" s="1083"/>
    </row>
    <row r="800" spans="2:31" ht="13.5" thickTop="1">
      <c r="B800" s="1137" t="s">
        <v>1225</v>
      </c>
      <c r="C800" s="1610">
        <v>1.05</v>
      </c>
      <c r="D800" s="1138" t="s">
        <v>2</v>
      </c>
      <c r="E800" s="1139">
        <f>+E795</f>
        <v>5050.66</v>
      </c>
      <c r="F800" s="1140">
        <f>C800*E800</f>
        <v>5303.19</v>
      </c>
      <c r="I800" s="1083"/>
      <c r="J800" s="1083"/>
      <c r="K800" s="1083"/>
      <c r="L800" s="1083"/>
      <c r="M800" s="1083"/>
      <c r="N800" s="1083"/>
      <c r="O800" s="1083"/>
      <c r="P800" s="1083"/>
      <c r="Q800" s="1083"/>
      <c r="R800" s="1083"/>
      <c r="S800" s="1083"/>
      <c r="T800" s="1083"/>
      <c r="U800" s="1083"/>
      <c r="V800" s="1083"/>
      <c r="W800" s="1083"/>
      <c r="X800" s="1083"/>
      <c r="Y800" s="1083"/>
      <c r="Z800" s="1083"/>
      <c r="AA800" s="1083"/>
      <c r="AB800" s="1083"/>
      <c r="AC800" s="1083"/>
      <c r="AD800" s="1083"/>
      <c r="AE800" s="1083"/>
    </row>
    <row r="801" spans="2:31">
      <c r="B801" s="1141" t="s">
        <v>272</v>
      </c>
      <c r="C801" s="1611">
        <v>2.78</v>
      </c>
      <c r="D801" s="1142" t="s">
        <v>126</v>
      </c>
      <c r="E801" s="1143">
        <f>+F62</f>
        <v>2913</v>
      </c>
      <c r="F801" s="1144">
        <f>C801*E801</f>
        <v>8098.14</v>
      </c>
      <c r="I801" s="1083"/>
      <c r="J801" s="1083"/>
      <c r="K801" s="1083"/>
      <c r="L801" s="1083"/>
      <c r="M801" s="1083"/>
      <c r="N801" s="1083"/>
      <c r="O801" s="1083"/>
      <c r="P801" s="1083"/>
      <c r="Q801" s="1083"/>
      <c r="R801" s="1083"/>
      <c r="S801" s="1083"/>
      <c r="T801" s="1083"/>
      <c r="U801" s="1083"/>
      <c r="V801" s="1083"/>
      <c r="W801" s="1083"/>
      <c r="X801" s="1083"/>
      <c r="Y801" s="1083"/>
      <c r="Z801" s="1083"/>
      <c r="AA801" s="1083"/>
      <c r="AB801" s="1083"/>
      <c r="AC801" s="1083"/>
      <c r="AD801" s="1083"/>
      <c r="AE801" s="1083"/>
    </row>
    <row r="802" spans="2:31">
      <c r="B802" s="1141" t="s">
        <v>1089</v>
      </c>
      <c r="C802" s="1611">
        <f>1/(0.3*0.3)</f>
        <v>11.11</v>
      </c>
      <c r="D802" s="1152" t="s">
        <v>11</v>
      </c>
      <c r="E802" s="1143">
        <v>400</v>
      </c>
      <c r="F802" s="1144">
        <f>C802*E802</f>
        <v>4444</v>
      </c>
      <c r="I802" s="1083"/>
      <c r="J802" s="1083"/>
      <c r="K802" s="1083"/>
      <c r="L802" s="1083"/>
      <c r="M802" s="1083"/>
      <c r="N802" s="1083"/>
      <c r="O802" s="1083"/>
      <c r="P802" s="1083"/>
      <c r="Q802" s="1083"/>
      <c r="R802" s="1083"/>
      <c r="S802" s="1083"/>
      <c r="T802" s="1083"/>
      <c r="U802" s="1083"/>
      <c r="V802" s="1083"/>
      <c r="W802" s="1083"/>
      <c r="X802" s="1083"/>
      <c r="Y802" s="1083"/>
      <c r="Z802" s="1083"/>
      <c r="AA802" s="1083"/>
      <c r="AB802" s="1083"/>
      <c r="AC802" s="1083"/>
      <c r="AD802" s="1083"/>
      <c r="AE802" s="1083"/>
    </row>
    <row r="803" spans="2:31" ht="13.5" thickBot="1">
      <c r="B803" s="1145"/>
      <c r="C803" s="1612"/>
      <c r="D803" s="1146"/>
      <c r="E803" s="1147" t="s">
        <v>1031</v>
      </c>
      <c r="F803" s="1148">
        <f>ROUND(SUM(F800:F802),2)</f>
        <v>17845.330000000002</v>
      </c>
      <c r="I803" s="1083"/>
      <c r="J803" s="1083"/>
      <c r="K803" s="1083"/>
      <c r="L803" s="1083"/>
      <c r="M803" s="1083"/>
      <c r="N803" s="1083"/>
      <c r="O803" s="1083"/>
      <c r="P803" s="1083"/>
      <c r="Q803" s="1083"/>
      <c r="R803" s="1083"/>
      <c r="S803" s="1083"/>
      <c r="T803" s="1083"/>
      <c r="U803" s="1083"/>
      <c r="V803" s="1083"/>
      <c r="W803" s="1083"/>
      <c r="X803" s="1083"/>
      <c r="Y803" s="1083"/>
      <c r="Z803" s="1083"/>
      <c r="AA803" s="1083"/>
      <c r="AB803" s="1083"/>
      <c r="AC803" s="1083"/>
      <c r="AD803" s="1083"/>
      <c r="AE803" s="1083"/>
    </row>
    <row r="804" spans="2:31" ht="13.5" thickTop="1">
      <c r="B804" s="1130"/>
      <c r="C804" s="1609"/>
      <c r="D804" s="1131"/>
      <c r="E804" s="1132"/>
      <c r="F804" s="1133"/>
      <c r="I804" s="1083"/>
      <c r="J804" s="1083"/>
      <c r="K804" s="1083"/>
      <c r="L804" s="1083"/>
      <c r="M804" s="1083"/>
      <c r="N804" s="1083"/>
      <c r="O804" s="1083"/>
      <c r="P804" s="1083"/>
      <c r="Q804" s="1083"/>
      <c r="R804" s="1083"/>
      <c r="S804" s="1083"/>
      <c r="T804" s="1083"/>
      <c r="U804" s="1083"/>
      <c r="V804" s="1083"/>
      <c r="W804" s="1083"/>
      <c r="X804" s="1083"/>
      <c r="Y804" s="1083"/>
      <c r="Z804" s="1083"/>
      <c r="AA804" s="1083"/>
      <c r="AB804" s="1083"/>
      <c r="AC804" s="1083"/>
      <c r="AD804" s="1083"/>
      <c r="AE804" s="1083"/>
    </row>
    <row r="805" spans="2:31" ht="13.5" thickBot="1">
      <c r="B805" s="1916" t="s">
        <v>1781</v>
      </c>
      <c r="C805" s="1609"/>
      <c r="D805" s="1131"/>
      <c r="E805" s="1132"/>
      <c r="F805" s="1133"/>
      <c r="I805" s="1083"/>
      <c r="J805" s="1083"/>
      <c r="K805" s="1083"/>
      <c r="L805" s="1083"/>
      <c r="M805" s="1083"/>
      <c r="N805" s="1083"/>
      <c r="O805" s="1083"/>
      <c r="P805" s="1083"/>
      <c r="Q805" s="1083"/>
      <c r="R805" s="1083"/>
      <c r="S805" s="1083"/>
      <c r="T805" s="1083"/>
      <c r="U805" s="1083"/>
      <c r="V805" s="1083"/>
      <c r="W805" s="1083"/>
      <c r="X805" s="1083"/>
      <c r="Y805" s="1083"/>
      <c r="Z805" s="1083"/>
      <c r="AA805" s="1083"/>
      <c r="AB805" s="1083"/>
      <c r="AC805" s="1083"/>
      <c r="AD805" s="1083"/>
      <c r="AE805" s="1083"/>
    </row>
    <row r="806" spans="2:31" ht="13.5" thickTop="1">
      <c r="B806" s="1137" t="s">
        <v>1225</v>
      </c>
      <c r="C806" s="1610">
        <v>1.05</v>
      </c>
      <c r="D806" s="1138" t="s">
        <v>2</v>
      </c>
      <c r="E806" s="1139">
        <f>+F47</f>
        <v>7063.5</v>
      </c>
      <c r="F806" s="1140">
        <f>C806*E806</f>
        <v>7416.68</v>
      </c>
      <c r="I806" s="1083"/>
      <c r="J806" s="1083"/>
      <c r="K806" s="1083"/>
      <c r="L806" s="1083"/>
      <c r="M806" s="1083"/>
      <c r="N806" s="1083"/>
      <c r="O806" s="1083"/>
      <c r="P806" s="1083"/>
      <c r="Q806" s="1083"/>
      <c r="R806" s="1083"/>
      <c r="S806" s="1083"/>
      <c r="T806" s="1083"/>
      <c r="U806" s="1083"/>
      <c r="V806" s="1083"/>
      <c r="W806" s="1083"/>
      <c r="X806" s="1083"/>
      <c r="Y806" s="1083"/>
      <c r="Z806" s="1083"/>
      <c r="AA806" s="1083"/>
      <c r="AB806" s="1083"/>
      <c r="AC806" s="1083"/>
      <c r="AD806" s="1083"/>
      <c r="AE806" s="1083"/>
    </row>
    <row r="807" spans="2:31">
      <c r="B807" s="1141" t="s">
        <v>272</v>
      </c>
      <c r="C807" s="1611">
        <v>6.1</v>
      </c>
      <c r="D807" s="1142" t="s">
        <v>126</v>
      </c>
      <c r="E807" s="1143">
        <f>+F62</f>
        <v>2913</v>
      </c>
      <c r="F807" s="1144">
        <f>C807*E807</f>
        <v>17769.3</v>
      </c>
      <c r="I807" s="1083"/>
      <c r="J807" s="1083"/>
      <c r="K807" s="1083"/>
      <c r="L807" s="1083"/>
      <c r="M807" s="1083"/>
      <c r="N807" s="1083"/>
      <c r="O807" s="1083"/>
      <c r="P807" s="1083"/>
      <c r="Q807" s="1083"/>
      <c r="R807" s="1083"/>
      <c r="S807" s="1083"/>
      <c r="T807" s="1083"/>
      <c r="U807" s="1083"/>
      <c r="V807" s="1083"/>
      <c r="W807" s="1083"/>
      <c r="X807" s="1083"/>
      <c r="Y807" s="1083"/>
      <c r="Z807" s="1083"/>
      <c r="AA807" s="1083"/>
      <c r="AB807" s="1083"/>
      <c r="AC807" s="1083"/>
      <c r="AD807" s="1083"/>
      <c r="AE807" s="1083"/>
    </row>
    <row r="808" spans="2:31">
      <c r="B808" s="1141" t="s">
        <v>1089</v>
      </c>
      <c r="C808" s="1611">
        <f>1/0.1</f>
        <v>10</v>
      </c>
      <c r="D808" s="1152" t="s">
        <v>11</v>
      </c>
      <c r="E808" s="1143">
        <v>350</v>
      </c>
      <c r="F808" s="1144">
        <f>C808*E808</f>
        <v>3500</v>
      </c>
      <c r="I808" s="1083"/>
      <c r="J808" s="1083"/>
      <c r="K808" s="1083"/>
      <c r="L808" s="1083"/>
      <c r="M808" s="1083"/>
      <c r="N808" s="1083"/>
      <c r="O808" s="1083"/>
      <c r="P808" s="1083"/>
      <c r="Q808" s="1083"/>
      <c r="R808" s="1083"/>
      <c r="S808" s="1083"/>
      <c r="T808" s="1083"/>
      <c r="U808" s="1083"/>
      <c r="V808" s="1083"/>
      <c r="W808" s="1083"/>
      <c r="X808" s="1083"/>
      <c r="Y808" s="1083"/>
      <c r="Z808" s="1083"/>
      <c r="AA808" s="1083"/>
      <c r="AB808" s="1083"/>
      <c r="AC808" s="1083"/>
      <c r="AD808" s="1083"/>
      <c r="AE808" s="1083"/>
    </row>
    <row r="809" spans="2:31" ht="13.5" thickBot="1">
      <c r="B809" s="1145"/>
      <c r="C809" s="1612"/>
      <c r="D809" s="1146"/>
      <c r="E809" s="1147" t="s">
        <v>1031</v>
      </c>
      <c r="F809" s="1148">
        <f>ROUND(SUM(F806:F808),2)</f>
        <v>28685.98</v>
      </c>
      <c r="I809" s="1083"/>
      <c r="J809" s="1083"/>
      <c r="K809" s="1083"/>
      <c r="L809" s="1083"/>
      <c r="M809" s="1083"/>
      <c r="N809" s="1083"/>
      <c r="O809" s="1083"/>
      <c r="P809" s="1083"/>
      <c r="Q809" s="1083"/>
      <c r="R809" s="1083"/>
      <c r="S809" s="1083"/>
      <c r="T809" s="1083"/>
      <c r="U809" s="1083"/>
      <c r="V809" s="1083"/>
      <c r="W809" s="1083"/>
      <c r="X809" s="1083"/>
      <c r="Y809" s="1083"/>
      <c r="Z809" s="1083"/>
      <c r="AA809" s="1083"/>
      <c r="AB809" s="1083"/>
      <c r="AC809" s="1083"/>
      <c r="AD809" s="1083"/>
      <c r="AE809" s="1083"/>
    </row>
    <row r="810" spans="2:31" ht="13.5" thickTop="1">
      <c r="B810" s="1130"/>
      <c r="C810" s="1609"/>
      <c r="D810" s="1131"/>
      <c r="E810" s="1132"/>
      <c r="F810" s="1133"/>
      <c r="I810" s="1083"/>
      <c r="J810" s="1083"/>
      <c r="K810" s="1083"/>
      <c r="L810" s="1083"/>
      <c r="M810" s="1083"/>
      <c r="N810" s="1083"/>
      <c r="O810" s="1083"/>
      <c r="P810" s="1083"/>
      <c r="Q810" s="1083"/>
      <c r="R810" s="1083"/>
      <c r="S810" s="1083"/>
      <c r="T810" s="1083"/>
      <c r="U810" s="1083"/>
      <c r="V810" s="1083"/>
      <c r="W810" s="1083"/>
      <c r="X810" s="1083"/>
      <c r="Y810" s="1083"/>
      <c r="Z810" s="1083"/>
      <c r="AA810" s="1083"/>
      <c r="AB810" s="1083"/>
      <c r="AC810" s="1083"/>
      <c r="AD810" s="1083"/>
      <c r="AE810" s="1083"/>
    </row>
    <row r="811" spans="2:31" ht="13.5" thickBot="1">
      <c r="B811" s="1916" t="s">
        <v>1783</v>
      </c>
      <c r="C811" s="1609"/>
      <c r="D811" s="1131"/>
      <c r="E811" s="1132"/>
      <c r="F811" s="1133"/>
      <c r="I811" s="1083"/>
      <c r="J811" s="1083"/>
      <c r="K811" s="1083"/>
      <c r="L811" s="1083"/>
      <c r="M811" s="1083"/>
      <c r="N811" s="1083"/>
      <c r="O811" s="1083"/>
      <c r="P811" s="1083"/>
      <c r="Q811" s="1083"/>
      <c r="R811" s="1083"/>
      <c r="S811" s="1083"/>
      <c r="T811" s="1083"/>
      <c r="U811" s="1083"/>
      <c r="V811" s="1083"/>
      <c r="W811" s="1083"/>
      <c r="X811" s="1083"/>
      <c r="Y811" s="1083"/>
      <c r="Z811" s="1083"/>
      <c r="AA811" s="1083"/>
      <c r="AB811" s="1083"/>
      <c r="AC811" s="1083"/>
      <c r="AD811" s="1083"/>
      <c r="AE811" s="1083"/>
    </row>
    <row r="812" spans="2:31" ht="13.5" thickTop="1">
      <c r="B812" s="1137" t="s">
        <v>1225</v>
      </c>
      <c r="C812" s="1610">
        <v>1.05</v>
      </c>
      <c r="D812" s="1138" t="s">
        <v>2</v>
      </c>
      <c r="E812" s="1139">
        <f>+F47</f>
        <v>7063.5</v>
      </c>
      <c r="F812" s="1140">
        <f>C812*E812</f>
        <v>7416.68</v>
      </c>
      <c r="I812" s="1083"/>
      <c r="J812" s="1083"/>
      <c r="K812" s="1083"/>
      <c r="L812" s="1083"/>
      <c r="M812" s="1083"/>
      <c r="N812" s="1083"/>
      <c r="O812" s="1083"/>
      <c r="P812" s="1083"/>
      <c r="Q812" s="1083"/>
      <c r="R812" s="1083"/>
      <c r="S812" s="1083"/>
      <c r="T812" s="1083"/>
      <c r="U812" s="1083"/>
      <c r="V812" s="1083"/>
      <c r="W812" s="1083"/>
      <c r="X812" s="1083"/>
      <c r="Y812" s="1083"/>
      <c r="Z812" s="1083"/>
      <c r="AA812" s="1083"/>
      <c r="AB812" s="1083"/>
      <c r="AC812" s="1083"/>
      <c r="AD812" s="1083"/>
      <c r="AE812" s="1083"/>
    </row>
    <row r="813" spans="2:31">
      <c r="B813" s="1141" t="s">
        <v>272</v>
      </c>
      <c r="C813" s="1611">
        <v>1.24</v>
      </c>
      <c r="D813" s="1142" t="s">
        <v>126</v>
      </c>
      <c r="E813" s="1143">
        <f>+F62</f>
        <v>2913</v>
      </c>
      <c r="F813" s="1144">
        <f>C813*E813</f>
        <v>3612.12</v>
      </c>
      <c r="I813" s="1083"/>
      <c r="J813" s="1083"/>
      <c r="K813" s="1083"/>
      <c r="L813" s="1083"/>
      <c r="M813" s="1083"/>
      <c r="N813" s="1083"/>
      <c r="O813" s="1083"/>
      <c r="P813" s="1083"/>
      <c r="Q813" s="1083"/>
      <c r="R813" s="1083"/>
      <c r="S813" s="1083"/>
      <c r="T813" s="1083"/>
      <c r="U813" s="1083"/>
      <c r="V813" s="1083"/>
      <c r="W813" s="1083"/>
      <c r="X813" s="1083"/>
      <c r="Y813" s="1083"/>
      <c r="Z813" s="1083"/>
      <c r="AA813" s="1083"/>
      <c r="AB813" s="1083"/>
      <c r="AC813" s="1083"/>
      <c r="AD813" s="1083"/>
      <c r="AE813" s="1083"/>
    </row>
    <row r="814" spans="2:31">
      <c r="B814" s="1141" t="s">
        <v>1089</v>
      </c>
      <c r="C814" s="1611">
        <f>1/0.12</f>
        <v>8.33</v>
      </c>
      <c r="D814" s="1152" t="s">
        <v>11</v>
      </c>
      <c r="E814" s="1143">
        <v>350</v>
      </c>
      <c r="F814" s="1144">
        <f>C814*E814</f>
        <v>2915.5</v>
      </c>
      <c r="I814" s="1083"/>
      <c r="J814" s="1083"/>
      <c r="K814" s="1083"/>
      <c r="L814" s="1083"/>
      <c r="M814" s="1083"/>
      <c r="N814" s="1083"/>
      <c r="O814" s="1083"/>
      <c r="P814" s="1083"/>
      <c r="Q814" s="1083"/>
      <c r="R814" s="1083"/>
      <c r="S814" s="1083"/>
      <c r="T814" s="1083"/>
      <c r="U814" s="1083"/>
      <c r="V814" s="1083"/>
      <c r="W814" s="1083"/>
      <c r="X814" s="1083"/>
      <c r="Y814" s="1083"/>
      <c r="Z814" s="1083"/>
      <c r="AA814" s="1083"/>
      <c r="AB814" s="1083"/>
      <c r="AC814" s="1083"/>
      <c r="AD814" s="1083"/>
      <c r="AE814" s="1083"/>
    </row>
    <row r="815" spans="2:31" ht="13.5" thickBot="1">
      <c r="B815" s="1145"/>
      <c r="C815" s="1612"/>
      <c r="D815" s="1146"/>
      <c r="E815" s="1147" t="s">
        <v>1031</v>
      </c>
      <c r="F815" s="1148">
        <f>ROUND(SUM(F812:F814),2)</f>
        <v>13944.3</v>
      </c>
      <c r="I815" s="1083"/>
      <c r="J815" s="1083"/>
      <c r="K815" s="1083"/>
      <c r="L815" s="1083"/>
      <c r="M815" s="1083"/>
      <c r="N815" s="1083"/>
      <c r="O815" s="1083"/>
      <c r="P815" s="1083"/>
      <c r="Q815" s="1083"/>
      <c r="R815" s="1083"/>
      <c r="S815" s="1083"/>
      <c r="T815" s="1083"/>
      <c r="U815" s="1083"/>
      <c r="V815" s="1083"/>
      <c r="W815" s="1083"/>
      <c r="X815" s="1083"/>
      <c r="Y815" s="1083"/>
      <c r="Z815" s="1083"/>
      <c r="AA815" s="1083"/>
      <c r="AB815" s="1083"/>
      <c r="AC815" s="1083"/>
      <c r="AD815" s="1083"/>
      <c r="AE815" s="1083"/>
    </row>
    <row r="816" spans="2:31" ht="13.5" thickTop="1">
      <c r="B816" s="1130"/>
      <c r="C816" s="1609"/>
      <c r="D816" s="1131"/>
      <c r="E816" s="1132"/>
      <c r="F816" s="1133"/>
      <c r="I816" s="1083"/>
      <c r="J816" s="1083"/>
      <c r="K816" s="1083"/>
      <c r="L816" s="1083"/>
      <c r="M816" s="1083"/>
      <c r="N816" s="1083"/>
      <c r="O816" s="1083"/>
      <c r="P816" s="1083"/>
      <c r="Q816" s="1083"/>
      <c r="R816" s="1083"/>
      <c r="S816" s="1083"/>
      <c r="T816" s="1083"/>
      <c r="U816" s="1083"/>
      <c r="V816" s="1083"/>
      <c r="W816" s="1083"/>
      <c r="X816" s="1083"/>
      <c r="Y816" s="1083"/>
      <c r="Z816" s="1083"/>
      <c r="AA816" s="1083"/>
      <c r="AB816" s="1083"/>
      <c r="AC816" s="1083"/>
      <c r="AD816" s="1083"/>
      <c r="AE816" s="1083"/>
    </row>
    <row r="817" spans="2:31">
      <c r="B817" s="1391" t="s">
        <v>1054</v>
      </c>
      <c r="C817" s="1603"/>
      <c r="D817" s="1114"/>
      <c r="E817" s="1100"/>
      <c r="F817" s="1095"/>
      <c r="I817" s="1083"/>
      <c r="J817" s="1083"/>
      <c r="K817" s="1083"/>
      <c r="L817" s="1083"/>
      <c r="M817" s="1083"/>
      <c r="N817" s="1083"/>
      <c r="O817" s="1083"/>
      <c r="P817" s="1083"/>
      <c r="Q817" s="1083"/>
      <c r="R817" s="1083"/>
      <c r="S817" s="1083"/>
      <c r="T817" s="1083"/>
      <c r="U817" s="1083"/>
      <c r="V817" s="1083"/>
      <c r="W817" s="1083"/>
      <c r="X817" s="1083"/>
      <c r="Y817" s="1083"/>
      <c r="Z817" s="1083"/>
      <c r="AA817" s="1083"/>
      <c r="AB817" s="1083"/>
      <c r="AC817" s="1083"/>
      <c r="AD817" s="1083"/>
      <c r="AE817" s="1083"/>
    </row>
    <row r="818" spans="2:31">
      <c r="B818" s="3252" t="s">
        <v>1055</v>
      </c>
      <c r="C818" s="3255" t="s">
        <v>3</v>
      </c>
      <c r="D818" s="3264">
        <v>13</v>
      </c>
      <c r="E818" s="3245">
        <v>60</v>
      </c>
      <c r="F818" s="3245">
        <f>E818*D818</f>
        <v>780</v>
      </c>
      <c r="I818" s="1083"/>
      <c r="J818" s="1083"/>
      <c r="K818" s="1083"/>
      <c r="L818" s="1083"/>
      <c r="M818" s="1083"/>
      <c r="N818" s="1083"/>
      <c r="O818" s="1083"/>
      <c r="P818" s="1083"/>
      <c r="Q818" s="1083"/>
      <c r="R818" s="1083"/>
      <c r="S818" s="1083"/>
      <c r="T818" s="1083"/>
      <c r="U818" s="1083"/>
      <c r="V818" s="1083"/>
      <c r="W818" s="1083"/>
      <c r="X818" s="1083"/>
      <c r="Y818" s="1083"/>
      <c r="Z818" s="1083"/>
      <c r="AA818" s="1083"/>
      <c r="AB818" s="1083"/>
      <c r="AC818" s="1083"/>
      <c r="AD818" s="1083"/>
      <c r="AE818" s="1083"/>
    </row>
    <row r="819" spans="2:31">
      <c r="B819" s="3252" t="s">
        <v>1056</v>
      </c>
      <c r="C819" s="3255" t="s">
        <v>3</v>
      </c>
      <c r="D819" s="3264">
        <v>13</v>
      </c>
      <c r="E819" s="3245">
        <v>25</v>
      </c>
      <c r="F819" s="3245">
        <f>E819*D819</f>
        <v>325</v>
      </c>
      <c r="I819" s="1083"/>
      <c r="J819" s="1083"/>
      <c r="K819" s="1083"/>
      <c r="L819" s="1083"/>
      <c r="M819" s="1083"/>
      <c r="N819" s="1083"/>
      <c r="O819" s="1083"/>
      <c r="P819" s="1083"/>
      <c r="Q819" s="1083"/>
      <c r="R819" s="1083"/>
      <c r="S819" s="1083"/>
      <c r="T819" s="1083"/>
      <c r="U819" s="1083"/>
      <c r="V819" s="1083"/>
      <c r="W819" s="1083"/>
      <c r="X819" s="1083"/>
      <c r="Y819" s="1083"/>
      <c r="Z819" s="1083"/>
      <c r="AA819" s="1083"/>
      <c r="AB819" s="1083"/>
      <c r="AC819" s="1083"/>
      <c r="AD819" s="1083"/>
      <c r="AE819" s="1083"/>
    </row>
    <row r="820" spans="2:31">
      <c r="B820" s="3252" t="s">
        <v>1057</v>
      </c>
      <c r="C820" s="3255" t="s">
        <v>2</v>
      </c>
      <c r="D820" s="3328">
        <v>8.6E-3</v>
      </c>
      <c r="E820" s="3245">
        <f>F76</f>
        <v>5653.39</v>
      </c>
      <c r="F820" s="3245">
        <f>E820*D820</f>
        <v>48.62</v>
      </c>
      <c r="I820" s="1083"/>
      <c r="J820" s="1083"/>
      <c r="K820" s="1083"/>
      <c r="L820" s="1083"/>
      <c r="M820" s="1083"/>
      <c r="N820" s="1083"/>
      <c r="O820" s="1083"/>
      <c r="P820" s="1083"/>
      <c r="Q820" s="1083"/>
      <c r="R820" s="1083"/>
      <c r="S820" s="1083"/>
      <c r="T820" s="1083"/>
      <c r="U820" s="1083"/>
      <c r="V820" s="1083"/>
      <c r="W820" s="1083"/>
      <c r="X820" s="1083"/>
      <c r="Y820" s="1083"/>
      <c r="Z820" s="1083"/>
      <c r="AA820" s="1083"/>
      <c r="AB820" s="1083"/>
      <c r="AC820" s="1083"/>
      <c r="AD820" s="1083"/>
      <c r="AE820" s="1083"/>
    </row>
    <row r="821" spans="2:31">
      <c r="B821" s="3252" t="s">
        <v>1058</v>
      </c>
      <c r="C821" s="3255" t="s">
        <v>3</v>
      </c>
      <c r="D821" s="3264">
        <v>0.13</v>
      </c>
      <c r="E821" s="3245">
        <v>60</v>
      </c>
      <c r="F821" s="3245">
        <f>E821*D821</f>
        <v>7.8</v>
      </c>
      <c r="I821" s="1083"/>
      <c r="J821" s="1083"/>
      <c r="K821" s="1083"/>
      <c r="L821" s="1083"/>
      <c r="M821" s="1083"/>
      <c r="N821" s="1083"/>
      <c r="O821" s="1083"/>
      <c r="P821" s="1083"/>
      <c r="Q821" s="1083"/>
      <c r="R821" s="1083"/>
      <c r="S821" s="1083"/>
      <c r="T821" s="1083"/>
      <c r="U821" s="1083"/>
      <c r="V821" s="1083"/>
      <c r="W821" s="1083"/>
      <c r="X821" s="1083"/>
      <c r="Y821" s="1083"/>
      <c r="Z821" s="1083"/>
      <c r="AA821" s="1083"/>
      <c r="AB821" s="1083"/>
      <c r="AC821" s="1083"/>
      <c r="AD821" s="1083"/>
      <c r="AE821" s="1083"/>
    </row>
    <row r="822" spans="2:31">
      <c r="B822" s="3252"/>
      <c r="C822" s="3260"/>
      <c r="D822" s="3328"/>
      <c r="E822" s="3262" t="s">
        <v>1031</v>
      </c>
      <c r="F822" s="3263">
        <f>SUM(F818:F821)</f>
        <v>1161.42</v>
      </c>
      <c r="I822" s="1083"/>
      <c r="J822" s="1083"/>
      <c r="K822" s="1083"/>
      <c r="L822" s="1083"/>
      <c r="M822" s="1083"/>
      <c r="N822" s="1083"/>
      <c r="O822" s="1083"/>
      <c r="P822" s="1083"/>
      <c r="Q822" s="1083"/>
      <c r="R822" s="1083"/>
      <c r="S822" s="1083"/>
      <c r="T822" s="1083"/>
      <c r="U822" s="1083"/>
      <c r="V822" s="1083"/>
      <c r="W822" s="1083"/>
      <c r="X822" s="1083"/>
      <c r="Y822" s="1083"/>
      <c r="Z822" s="1083"/>
      <c r="AA822" s="1083"/>
      <c r="AB822" s="1083"/>
      <c r="AC822" s="1083"/>
      <c r="AD822" s="1083"/>
      <c r="AE822" s="1083"/>
    </row>
    <row r="823" spans="2:31">
      <c r="B823" s="1087"/>
      <c r="C823" s="1603"/>
      <c r="D823" s="1114"/>
      <c r="E823" s="1100"/>
      <c r="F823" s="1095"/>
      <c r="I823" s="1083"/>
      <c r="J823" s="1083"/>
      <c r="K823" s="1083"/>
      <c r="L823" s="1083"/>
      <c r="M823" s="1083"/>
      <c r="N823" s="1083"/>
      <c r="O823" s="1083"/>
      <c r="P823" s="1083"/>
      <c r="Q823" s="1083"/>
      <c r="R823" s="1083"/>
      <c r="S823" s="1083"/>
      <c r="T823" s="1083"/>
      <c r="U823" s="1083"/>
      <c r="V823" s="1083"/>
      <c r="W823" s="1083"/>
      <c r="X823" s="1083"/>
      <c r="Y823" s="1083"/>
      <c r="Z823" s="1083"/>
      <c r="AA823" s="1083"/>
      <c r="AB823" s="1083"/>
      <c r="AC823" s="1083"/>
      <c r="AD823" s="1083"/>
      <c r="AE823" s="1083"/>
    </row>
    <row r="824" spans="2:31">
      <c r="B824" s="1391" t="s">
        <v>1235</v>
      </c>
      <c r="C824" s="1603"/>
      <c r="D824" s="1087"/>
      <c r="E824" s="1087"/>
      <c r="F824" s="1087"/>
      <c r="I824" s="1083"/>
      <c r="J824" s="1083"/>
      <c r="K824" s="1083"/>
      <c r="L824" s="1083"/>
      <c r="M824" s="1083"/>
      <c r="N824" s="1083"/>
      <c r="O824" s="1083"/>
      <c r="P824" s="1083"/>
      <c r="Q824" s="1083"/>
      <c r="R824" s="1083"/>
      <c r="S824" s="1083"/>
      <c r="T824" s="1083"/>
      <c r="U824" s="1083"/>
      <c r="V824" s="1083"/>
      <c r="W824" s="1083"/>
      <c r="X824" s="1083"/>
      <c r="Y824" s="1083"/>
      <c r="Z824" s="1083"/>
      <c r="AA824" s="1083"/>
      <c r="AB824" s="1083"/>
      <c r="AC824" s="1083"/>
      <c r="AD824" s="1083"/>
      <c r="AE824" s="1083"/>
    </row>
    <row r="825" spans="2:31">
      <c r="B825" s="1101"/>
      <c r="C825" s="1603"/>
      <c r="D825" s="1087"/>
      <c r="E825" s="1087"/>
      <c r="F825" s="1087"/>
      <c r="I825" s="1083"/>
      <c r="J825" s="1083"/>
      <c r="K825" s="1083"/>
      <c r="L825" s="1083"/>
      <c r="M825" s="1083"/>
      <c r="N825" s="1083"/>
      <c r="O825" s="1083"/>
      <c r="P825" s="1083"/>
      <c r="Q825" s="1083"/>
      <c r="R825" s="1083"/>
      <c r="S825" s="1083"/>
      <c r="T825" s="1083"/>
      <c r="U825" s="1083"/>
      <c r="V825" s="1083"/>
      <c r="W825" s="1083"/>
      <c r="X825" s="1083"/>
      <c r="Y825" s="1083"/>
      <c r="Z825" s="1083"/>
      <c r="AA825" s="1083"/>
      <c r="AB825" s="1083"/>
      <c r="AC825" s="1083"/>
      <c r="AD825" s="1083"/>
      <c r="AE825" s="1083"/>
    </row>
    <row r="826" spans="2:31">
      <c r="B826" s="3252" t="s">
        <v>1059</v>
      </c>
      <c r="C826" s="3255" t="s">
        <v>11</v>
      </c>
      <c r="D826" s="3264">
        <v>1</v>
      </c>
      <c r="E826" s="3245">
        <v>18</v>
      </c>
      <c r="F826" s="3245">
        <f>E826*D826</f>
        <v>18</v>
      </c>
      <c r="I826" s="1083"/>
      <c r="J826" s="1083"/>
      <c r="K826" s="1083"/>
      <c r="L826" s="1083"/>
      <c r="M826" s="1083"/>
      <c r="N826" s="1083"/>
      <c r="O826" s="1083"/>
      <c r="P826" s="1083"/>
      <c r="Q826" s="1083"/>
      <c r="R826" s="1083"/>
      <c r="S826" s="1083"/>
      <c r="T826" s="1083"/>
      <c r="U826" s="1083"/>
      <c r="V826" s="1083"/>
      <c r="W826" s="1083"/>
      <c r="X826" s="1083"/>
      <c r="Y826" s="1083"/>
      <c r="Z826" s="1083"/>
      <c r="AA826" s="1083"/>
      <c r="AB826" s="1083"/>
      <c r="AC826" s="1083"/>
      <c r="AD826" s="1083"/>
      <c r="AE826" s="1083"/>
    </row>
    <row r="827" spans="2:31">
      <c r="B827" s="3252" t="s">
        <v>1060</v>
      </c>
      <c r="C827" s="3255" t="s">
        <v>2</v>
      </c>
      <c r="D827" s="3252">
        <v>0.105</v>
      </c>
      <c r="E827" s="3245">
        <f>+F43</f>
        <v>5050.66</v>
      </c>
      <c r="F827" s="3245">
        <f>E827*D827</f>
        <v>530.32000000000005</v>
      </c>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row>
    <row r="828" spans="2:31">
      <c r="B828" s="3252" t="s">
        <v>154</v>
      </c>
      <c r="C828" s="3255" t="s">
        <v>155</v>
      </c>
      <c r="D828" s="3252">
        <v>2.1999999999999999E-2</v>
      </c>
      <c r="E828" s="3245">
        <v>45</v>
      </c>
      <c r="F828" s="3245">
        <f>E828*D828</f>
        <v>0.99</v>
      </c>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row>
    <row r="829" spans="2:31">
      <c r="B829" s="3252" t="s">
        <v>1061</v>
      </c>
      <c r="C829" s="3255" t="s">
        <v>11</v>
      </c>
      <c r="D829" s="3264">
        <v>1</v>
      </c>
      <c r="E829" s="3245">
        <v>70</v>
      </c>
      <c r="F829" s="3245">
        <f>E829*D829</f>
        <v>70</v>
      </c>
      <c r="I829" s="1083"/>
      <c r="J829" s="1083"/>
      <c r="K829" s="1083"/>
      <c r="L829" s="1083"/>
      <c r="M829" s="1083"/>
      <c r="N829" s="1083"/>
      <c r="O829" s="1083"/>
      <c r="P829" s="1083"/>
      <c r="Q829" s="1083"/>
      <c r="R829" s="1083"/>
      <c r="S829" s="1083"/>
      <c r="T829" s="1083"/>
      <c r="U829" s="1083"/>
      <c r="V829" s="1083"/>
      <c r="W829" s="1083"/>
      <c r="X829" s="1083"/>
      <c r="Y829" s="1083"/>
      <c r="Z829" s="1083"/>
      <c r="AA829" s="1083"/>
      <c r="AB829" s="1083"/>
      <c r="AC829" s="1083"/>
      <c r="AD829" s="1083"/>
      <c r="AE829" s="1083"/>
    </row>
    <row r="830" spans="2:31">
      <c r="B830" s="3252" t="s">
        <v>1062</v>
      </c>
      <c r="C830" s="3255" t="s">
        <v>13</v>
      </c>
      <c r="D830" s="3264">
        <f>1/0.8</f>
        <v>1.25</v>
      </c>
      <c r="E830" s="3245">
        <f>+F267</f>
        <v>82.22</v>
      </c>
      <c r="F830" s="3245">
        <f>E830*D830</f>
        <v>102.78</v>
      </c>
      <c r="I830" s="1083"/>
      <c r="J830" s="1083"/>
      <c r="K830" s="1083"/>
      <c r="L830" s="1083"/>
      <c r="M830" s="1083"/>
      <c r="N830" s="1083"/>
      <c r="O830" s="1083"/>
      <c r="P830" s="1083"/>
      <c r="Q830" s="1083"/>
      <c r="R830" s="1083"/>
      <c r="S830" s="1083"/>
      <c r="T830" s="1083"/>
      <c r="U830" s="1083"/>
      <c r="V830" s="1083"/>
      <c r="W830" s="1083"/>
      <c r="X830" s="1083"/>
      <c r="Y830" s="1083"/>
      <c r="Z830" s="1083"/>
      <c r="AA830" s="1083"/>
      <c r="AB830" s="1083"/>
      <c r="AC830" s="1083"/>
      <c r="AD830" s="1083"/>
      <c r="AE830" s="1083"/>
    </row>
    <row r="831" spans="2:31">
      <c r="B831" s="3252"/>
      <c r="C831" s="3260"/>
      <c r="D831" s="3252"/>
      <c r="E831" s="3262" t="s">
        <v>1031</v>
      </c>
      <c r="F831" s="3273">
        <f>SUM(F826:F830)</f>
        <v>722.09</v>
      </c>
      <c r="I831" s="1083"/>
      <c r="J831" s="1083"/>
      <c r="K831" s="1083"/>
      <c r="L831" s="1083"/>
      <c r="M831" s="1083"/>
      <c r="N831" s="1083"/>
      <c r="O831" s="1083"/>
      <c r="P831" s="1083"/>
      <c r="Q831" s="1083"/>
      <c r="R831" s="1083"/>
      <c r="S831" s="1083"/>
      <c r="T831" s="1083"/>
      <c r="U831" s="1083"/>
      <c r="V831" s="1083"/>
      <c r="W831" s="1083"/>
      <c r="X831" s="1083"/>
      <c r="Y831" s="1083"/>
      <c r="Z831" s="1083"/>
      <c r="AA831" s="1083"/>
      <c r="AB831" s="1083"/>
      <c r="AC831" s="1083"/>
      <c r="AD831" s="1083"/>
      <c r="AE831" s="1083"/>
    </row>
    <row r="832" spans="2:31">
      <c r="B832" s="1149"/>
      <c r="C832" s="1613"/>
      <c r="D832" s="1149"/>
      <c r="E832" s="1150"/>
      <c r="F832" s="1104">
        <f>ROUND(F831-F830+E830*1/0.6,2)</f>
        <v>756.34</v>
      </c>
      <c r="I832" s="1083"/>
      <c r="J832" s="1083"/>
      <c r="K832" s="1083"/>
      <c r="L832" s="1083"/>
      <c r="M832" s="1083"/>
      <c r="N832" s="1083"/>
      <c r="O832" s="1083"/>
      <c r="P832" s="1083"/>
      <c r="Q832" s="1083"/>
      <c r="R832" s="1083"/>
      <c r="S832" s="1083"/>
      <c r="T832" s="1083"/>
      <c r="U832" s="1083"/>
      <c r="V832" s="1083"/>
      <c r="W832" s="1083"/>
      <c r="X832" s="1083"/>
      <c r="Y832" s="1083"/>
      <c r="Z832" s="1083"/>
      <c r="AA832" s="1083"/>
      <c r="AB832" s="1083"/>
      <c r="AC832" s="1083"/>
      <c r="AD832" s="1083"/>
      <c r="AE832" s="1083"/>
    </row>
    <row r="833" spans="2:31" ht="20.25">
      <c r="B833" s="1914" t="s">
        <v>1668</v>
      </c>
      <c r="C833" s="1613"/>
      <c r="D833" s="1149"/>
      <c r="E833" s="1150"/>
      <c r="F833" s="1151"/>
      <c r="I833" s="1083"/>
      <c r="J833" s="1083"/>
      <c r="K833" s="1083"/>
      <c r="L833" s="1083"/>
      <c r="M833" s="1083"/>
      <c r="N833" s="1083"/>
      <c r="O833" s="1083"/>
      <c r="P833" s="1083"/>
      <c r="Q833" s="1083"/>
      <c r="R833" s="1083"/>
      <c r="S833" s="1083"/>
      <c r="T833" s="1083"/>
      <c r="U833" s="1083"/>
      <c r="V833" s="1083"/>
      <c r="W833" s="1083"/>
      <c r="X833" s="1083"/>
      <c r="Y833" s="1083"/>
      <c r="Z833" s="1083"/>
      <c r="AA833" s="1083"/>
      <c r="AB833" s="1083"/>
      <c r="AC833" s="1083"/>
      <c r="AD833" s="1083"/>
      <c r="AE833" s="1083"/>
    </row>
    <row r="834" spans="2:31" ht="20.25">
      <c r="B834" s="1914"/>
      <c r="C834" s="1613"/>
      <c r="D834" s="1149"/>
      <c r="E834" s="1150"/>
      <c r="F834" s="1151"/>
      <c r="I834" s="1083"/>
      <c r="J834" s="1083"/>
      <c r="K834" s="1083"/>
      <c r="L834" s="1083"/>
      <c r="M834" s="1083"/>
      <c r="N834" s="1083"/>
      <c r="O834" s="1083"/>
      <c r="P834" s="1083"/>
      <c r="Q834" s="1083"/>
      <c r="R834" s="1083"/>
      <c r="S834" s="1083"/>
      <c r="T834" s="1083"/>
      <c r="U834" s="1083"/>
      <c r="V834" s="1083"/>
      <c r="W834" s="1083"/>
      <c r="X834" s="1083"/>
      <c r="Y834" s="1083"/>
      <c r="Z834" s="1083"/>
      <c r="AA834" s="1083"/>
      <c r="AB834" s="1083"/>
      <c r="AC834" s="1083"/>
      <c r="AD834" s="1083"/>
      <c r="AE834" s="1083"/>
    </row>
    <row r="835" spans="2:31" s="1999" customFormat="1">
      <c r="B835" s="3173" t="s">
        <v>1680</v>
      </c>
      <c r="C835" s="1916"/>
      <c r="D835" s="1916"/>
      <c r="E835" s="1916"/>
      <c r="F835" s="1916"/>
      <c r="G835" s="3137"/>
      <c r="H835" s="3137"/>
      <c r="I835" s="3137"/>
    </row>
    <row r="836" spans="2:31" s="1999" customFormat="1">
      <c r="B836" s="3349"/>
      <c r="C836" s="3349"/>
      <c r="D836" s="3350"/>
      <c r="E836" s="3350"/>
      <c r="F836" s="1916"/>
      <c r="G836" s="3137"/>
      <c r="H836" s="3137"/>
      <c r="I836" s="3137"/>
    </row>
    <row r="837" spans="2:31" s="1999" customFormat="1" ht="13.5" thickBot="1">
      <c r="B837" s="3351" t="s">
        <v>1681</v>
      </c>
      <c r="C837" s="1916"/>
      <c r="D837" s="3352"/>
      <c r="E837" s="3353"/>
      <c r="F837" s="3353"/>
      <c r="G837" s="3137"/>
      <c r="H837" s="3137"/>
      <c r="I837" s="3137"/>
    </row>
    <row r="838" spans="2:31" s="1999" customFormat="1" ht="13.5" thickTop="1">
      <c r="B838" s="3142" t="s">
        <v>1682</v>
      </c>
      <c r="C838" s="1916">
        <v>1.05</v>
      </c>
      <c r="D838" s="3138" t="s">
        <v>2</v>
      </c>
      <c r="E838" s="3139">
        <f>+$F$47</f>
        <v>7063.5</v>
      </c>
      <c r="F838" s="1916">
        <f>ROUND(C838*E838,2)</f>
        <v>7416.68</v>
      </c>
      <c r="G838" s="3137"/>
      <c r="H838" s="3137"/>
      <c r="I838" s="3137"/>
    </row>
    <row r="839" spans="2:31" s="1999" customFormat="1">
      <c r="B839" s="3354" t="s">
        <v>1683</v>
      </c>
      <c r="C839" s="3355">
        <v>0.5</v>
      </c>
      <c r="D839" s="3356" t="s">
        <v>126</v>
      </c>
      <c r="E839" s="3357">
        <f>+$F$62</f>
        <v>2913</v>
      </c>
      <c r="F839" s="1916">
        <f>ROUND(C839*E839,2)</f>
        <v>1456.5</v>
      </c>
      <c r="G839" s="3137"/>
      <c r="H839" s="3137"/>
      <c r="I839" s="3137"/>
    </row>
    <row r="840" spans="2:31" s="1999" customFormat="1" ht="13.5" thickBot="1">
      <c r="B840" s="3358"/>
      <c r="C840" s="1916"/>
      <c r="D840" s="4896" t="s">
        <v>243</v>
      </c>
      <c r="E840" s="4896"/>
      <c r="F840" s="1916">
        <f>SUM(F838:F839)</f>
        <v>8873.18</v>
      </c>
      <c r="G840" s="3137"/>
      <c r="H840" s="3137"/>
      <c r="I840" s="3137"/>
    </row>
    <row r="841" spans="2:31" s="1999" customFormat="1" ht="13.5" thickTop="1">
      <c r="B841" s="3349"/>
      <c r="C841" s="3349"/>
      <c r="D841" s="3350"/>
      <c r="E841" s="3350"/>
      <c r="F841" s="1916"/>
      <c r="G841" s="3137"/>
      <c r="H841" s="3137"/>
      <c r="I841" s="3137"/>
    </row>
    <row r="842" spans="2:31" s="1999" customFormat="1" ht="13.5" thickBot="1">
      <c r="B842" s="1916" t="s">
        <v>1684</v>
      </c>
      <c r="C842" s="1916"/>
      <c r="D842" s="3350"/>
      <c r="E842" s="3350"/>
      <c r="F842" s="1916"/>
      <c r="G842" s="3137"/>
      <c r="H842" s="3137"/>
      <c r="I842" s="3137"/>
    </row>
    <row r="843" spans="2:31" s="1999" customFormat="1" ht="13.5" thickTop="1">
      <c r="B843" s="3359" t="s">
        <v>1685</v>
      </c>
      <c r="C843" s="3360">
        <v>1.05</v>
      </c>
      <c r="D843" s="3361" t="s">
        <v>160</v>
      </c>
      <c r="E843" s="3139">
        <f>+$F$303</f>
        <v>7531.68</v>
      </c>
      <c r="F843" s="1916">
        <f>C843*E843</f>
        <v>7908.2640000000001</v>
      </c>
      <c r="G843" s="3137"/>
      <c r="H843" s="3137"/>
      <c r="I843" s="3137"/>
    </row>
    <row r="844" spans="2:31" s="1999" customFormat="1">
      <c r="B844" s="3362" t="s">
        <v>1683</v>
      </c>
      <c r="C844" s="1916">
        <v>4.47</v>
      </c>
      <c r="D844" s="3363" t="s">
        <v>242</v>
      </c>
      <c r="E844" s="3357">
        <f>+$F$62</f>
        <v>2913</v>
      </c>
      <c r="F844" s="1916">
        <f>C844*E844</f>
        <v>13021.11</v>
      </c>
      <c r="G844" s="3137"/>
      <c r="H844" s="3137"/>
      <c r="I844" s="3137"/>
    </row>
    <row r="845" spans="2:31" s="1999" customFormat="1">
      <c r="B845" s="3362" t="s">
        <v>245</v>
      </c>
      <c r="C845" s="3364">
        <f>1/(0.15*0.2)</f>
        <v>33.33</v>
      </c>
      <c r="D845" s="3363" t="s">
        <v>163</v>
      </c>
      <c r="E845" s="1916">
        <v>150</v>
      </c>
      <c r="F845" s="1916">
        <f>C845*E845</f>
        <v>4999.5</v>
      </c>
      <c r="G845" s="3137"/>
      <c r="H845" s="3137"/>
      <c r="I845" s="3137"/>
    </row>
    <row r="846" spans="2:31" s="1999" customFormat="1" ht="13.5" thickBot="1">
      <c r="B846" s="3365"/>
      <c r="C846" s="3366"/>
      <c r="D846" s="4896" t="s">
        <v>243</v>
      </c>
      <c r="E846" s="4896"/>
      <c r="F846" s="1916">
        <f>SUM(F843:F845)</f>
        <v>25928.874</v>
      </c>
      <c r="G846" s="3137"/>
      <c r="H846" s="3137"/>
      <c r="I846" s="3137"/>
    </row>
    <row r="847" spans="2:31" s="1999" customFormat="1" ht="13.5" thickTop="1">
      <c r="B847" s="3349"/>
      <c r="C847" s="3349"/>
      <c r="D847" s="3350"/>
      <c r="E847" s="3350"/>
      <c r="F847" s="1916"/>
      <c r="G847" s="3137"/>
      <c r="H847" s="3137"/>
      <c r="I847" s="3137"/>
    </row>
    <row r="848" spans="2:31" s="1999" customFormat="1" ht="13.5" thickBot="1">
      <c r="B848" s="1916" t="s">
        <v>1686</v>
      </c>
      <c r="C848" s="3350"/>
      <c r="D848" s="3350"/>
      <c r="E848" s="3350"/>
      <c r="F848" s="1916"/>
      <c r="G848" s="3137"/>
      <c r="H848" s="3137"/>
      <c r="I848" s="3137"/>
    </row>
    <row r="849" spans="2:9" s="1999" customFormat="1" ht="13.5" thickTop="1">
      <c r="B849" s="3359" t="s">
        <v>1685</v>
      </c>
      <c r="C849" s="3360">
        <v>1.05</v>
      </c>
      <c r="D849" s="3361" t="s">
        <v>160</v>
      </c>
      <c r="E849" s="3139">
        <f>+$F$303</f>
        <v>7531.68</v>
      </c>
      <c r="F849" s="1916">
        <f>C849*E849</f>
        <v>7908.2640000000001</v>
      </c>
      <c r="G849" s="3137"/>
      <c r="H849" s="3137"/>
      <c r="I849" s="3137"/>
    </row>
    <row r="850" spans="2:9" s="1999" customFormat="1">
      <c r="B850" s="3362" t="s">
        <v>1683</v>
      </c>
      <c r="C850" s="1916">
        <v>2.9</v>
      </c>
      <c r="D850" s="3363" t="s">
        <v>242</v>
      </c>
      <c r="E850" s="3357">
        <f>+$F$62</f>
        <v>2913</v>
      </c>
      <c r="F850" s="1916">
        <f>C850*E850</f>
        <v>8447.7000000000007</v>
      </c>
      <c r="G850" s="3137"/>
      <c r="H850" s="3137"/>
      <c r="I850" s="3137"/>
    </row>
    <row r="851" spans="2:9" s="1999" customFormat="1">
      <c r="B851" s="3362" t="s">
        <v>245</v>
      </c>
      <c r="C851" s="3364">
        <v>33.33</v>
      </c>
      <c r="D851" s="3363" t="s">
        <v>163</v>
      </c>
      <c r="E851" s="1916">
        <v>150</v>
      </c>
      <c r="F851" s="1916">
        <f>C851*E851</f>
        <v>4999.5</v>
      </c>
      <c r="G851" s="3137"/>
      <c r="H851" s="3137"/>
      <c r="I851" s="3137"/>
    </row>
    <row r="852" spans="2:9" s="1999" customFormat="1" ht="13.5" thickBot="1">
      <c r="B852" s="3365"/>
      <c r="C852" s="3366"/>
      <c r="D852" s="4896" t="s">
        <v>243</v>
      </c>
      <c r="E852" s="4896"/>
      <c r="F852" s="1916">
        <f>SUM(F849:F851)</f>
        <v>21355.464</v>
      </c>
      <c r="G852" s="3137"/>
      <c r="H852" s="3137"/>
      <c r="I852" s="3137"/>
    </row>
    <row r="853" spans="2:9" s="1999" customFormat="1" ht="13.5" thickTop="1">
      <c r="B853" s="3349"/>
      <c r="C853" s="3349"/>
      <c r="D853" s="3350"/>
      <c r="E853" s="3350"/>
      <c r="F853" s="1916"/>
      <c r="G853" s="3137"/>
      <c r="H853" s="3137"/>
      <c r="I853" s="3137"/>
    </row>
    <row r="854" spans="2:9" s="1999" customFormat="1" ht="13.5" thickBot="1">
      <c r="B854" s="1916" t="s">
        <v>1672</v>
      </c>
      <c r="C854" s="1916"/>
      <c r="D854" s="3350"/>
      <c r="E854" s="3350"/>
      <c r="F854" s="1916"/>
      <c r="G854" s="3137"/>
      <c r="H854" s="3137"/>
      <c r="I854" s="3137"/>
    </row>
    <row r="855" spans="2:9" s="1999" customFormat="1" ht="13.5" thickTop="1">
      <c r="B855" s="3359" t="s">
        <v>1685</v>
      </c>
      <c r="C855" s="3360">
        <v>1.05</v>
      </c>
      <c r="D855" s="3361" t="s">
        <v>160</v>
      </c>
      <c r="E855" s="3139">
        <f>+$F$303</f>
        <v>7531.68</v>
      </c>
      <c r="F855" s="1916">
        <f>C855*E855</f>
        <v>7908.2640000000001</v>
      </c>
      <c r="G855" s="3137"/>
      <c r="H855" s="3137"/>
      <c r="I855" s="3137"/>
    </row>
    <row r="856" spans="2:9" s="1999" customFormat="1">
      <c r="B856" s="3362" t="s">
        <v>1683</v>
      </c>
      <c r="C856" s="1916">
        <v>1.71</v>
      </c>
      <c r="D856" s="3363" t="s">
        <v>242</v>
      </c>
      <c r="E856" s="3357">
        <f>+$F$62</f>
        <v>2913</v>
      </c>
      <c r="F856" s="1916">
        <f>C856*E856</f>
        <v>4981.2299999999996</v>
      </c>
      <c r="G856" s="3137"/>
      <c r="H856" s="3137"/>
      <c r="I856" s="3137"/>
    </row>
    <row r="857" spans="2:9" s="1999" customFormat="1">
      <c r="B857" s="3362" t="s">
        <v>245</v>
      </c>
      <c r="C857" s="1916">
        <f>1/0.1</f>
        <v>10</v>
      </c>
      <c r="D857" s="3363" t="s">
        <v>163</v>
      </c>
      <c r="E857" s="1916">
        <v>150</v>
      </c>
      <c r="F857" s="1916">
        <f>C857*E857</f>
        <v>1500</v>
      </c>
      <c r="G857" s="3137"/>
      <c r="H857" s="3137"/>
      <c r="I857" s="3137"/>
    </row>
    <row r="858" spans="2:9" s="1999" customFormat="1" ht="13.5" thickBot="1">
      <c r="B858" s="3365"/>
      <c r="C858" s="3366"/>
      <c r="D858" s="4896" t="s">
        <v>243</v>
      </c>
      <c r="E858" s="4896"/>
      <c r="F858" s="1916">
        <f>SUM(F855:F857)</f>
        <v>14389.494000000001</v>
      </c>
      <c r="G858" s="3137"/>
      <c r="H858" s="3137"/>
      <c r="I858" s="3137"/>
    </row>
    <row r="859" spans="2:9" s="1999" customFormat="1" ht="13.5" thickTop="1">
      <c r="B859" s="3137"/>
      <c r="C859" s="3367"/>
      <c r="D859" s="3137"/>
      <c r="E859" s="3137"/>
      <c r="F859" s="3137"/>
      <c r="G859" s="3137"/>
      <c r="H859" s="3137"/>
      <c r="I859" s="3137"/>
    </row>
    <row r="860" spans="2:9" s="1999" customFormat="1" ht="13.5" thickBot="1">
      <c r="B860" s="1916" t="s">
        <v>1687</v>
      </c>
      <c r="C860" s="1916"/>
      <c r="D860" s="3350"/>
      <c r="E860" s="3350"/>
      <c r="F860" s="1916"/>
      <c r="G860" s="3137"/>
      <c r="H860" s="3137"/>
      <c r="I860" s="3137"/>
    </row>
    <row r="861" spans="2:9" s="1999" customFormat="1" ht="13.5" thickTop="1">
      <c r="B861" s="3359" t="s">
        <v>1685</v>
      </c>
      <c r="C861" s="3360">
        <v>1.05</v>
      </c>
      <c r="D861" s="3361" t="s">
        <v>160</v>
      </c>
      <c r="E861" s="3139">
        <f>+$F$303</f>
        <v>7531.68</v>
      </c>
      <c r="F861" s="1916">
        <f>C861*E861</f>
        <v>7908.2640000000001</v>
      </c>
      <c r="G861" s="3137"/>
      <c r="H861" s="3137"/>
      <c r="I861" s="3137"/>
    </row>
    <row r="862" spans="2:9" s="1999" customFormat="1">
      <c r="B862" s="3362" t="s">
        <v>1683</v>
      </c>
      <c r="C862" s="1916">
        <v>2.67</v>
      </c>
      <c r="D862" s="3363" t="s">
        <v>242</v>
      </c>
      <c r="E862" s="3357">
        <f>+$F$62</f>
        <v>2913</v>
      </c>
      <c r="F862" s="1916">
        <f>C862*E862</f>
        <v>7777.71</v>
      </c>
      <c r="G862" s="3137"/>
      <c r="H862" s="3137"/>
      <c r="I862" s="3137"/>
    </row>
    <row r="863" spans="2:9" s="1999" customFormat="1">
      <c r="B863" s="3362" t="s">
        <v>245</v>
      </c>
      <c r="C863" s="3364">
        <v>2.33</v>
      </c>
      <c r="D863" s="3363" t="s">
        <v>163</v>
      </c>
      <c r="E863" s="1916">
        <v>150</v>
      </c>
      <c r="F863" s="1916">
        <f>C863*E863</f>
        <v>349.5</v>
      </c>
      <c r="G863" s="3137"/>
      <c r="H863" s="3137"/>
      <c r="I863" s="3137"/>
    </row>
    <row r="864" spans="2:9" s="1999" customFormat="1" ht="13.5" thickBot="1">
      <c r="B864" s="3365"/>
      <c r="C864" s="3366"/>
      <c r="D864" s="4896" t="s">
        <v>243</v>
      </c>
      <c r="E864" s="4896"/>
      <c r="F864" s="1916">
        <f>SUM(F861:F863)</f>
        <v>16035.474</v>
      </c>
      <c r="G864" s="3137"/>
      <c r="H864" s="3137"/>
      <c r="I864" s="3137"/>
    </row>
    <row r="865" spans="2:9" s="1999" customFormat="1" ht="13.5" thickTop="1">
      <c r="B865" s="3137"/>
      <c r="C865" s="3367"/>
      <c r="D865" s="3137"/>
      <c r="E865" s="3137"/>
      <c r="F865" s="3137"/>
      <c r="G865" s="3137"/>
      <c r="H865" s="3137"/>
      <c r="I865" s="3137"/>
    </row>
    <row r="866" spans="2:9" s="1999" customFormat="1">
      <c r="B866" s="3368" t="s">
        <v>1688</v>
      </c>
      <c r="C866" s="3368"/>
      <c r="D866" s="3368"/>
      <c r="E866" s="3231"/>
      <c r="F866" s="3231"/>
      <c r="G866" s="3137"/>
      <c r="H866" s="3137"/>
      <c r="I866" s="3137"/>
    </row>
    <row r="867" spans="2:9" s="1999" customFormat="1">
      <c r="B867" s="3369" t="s">
        <v>1689</v>
      </c>
      <c r="C867" s="3369"/>
      <c r="D867" s="1915"/>
      <c r="E867" s="3231"/>
      <c r="F867" s="3231"/>
      <c r="G867" s="3137"/>
      <c r="H867" s="3137"/>
      <c r="I867" s="3137"/>
    </row>
    <row r="868" spans="2:9" s="1999" customFormat="1">
      <c r="B868" s="3368" t="s">
        <v>1690</v>
      </c>
      <c r="C868" s="3368">
        <v>1</v>
      </c>
      <c r="D868" s="3368" t="s">
        <v>1691</v>
      </c>
      <c r="E868" s="3370">
        <v>135.69999999999999</v>
      </c>
      <c r="F868" s="3371">
        <f t="shared" ref="F868:F874" si="7">ROUND(C868*E868,2)</f>
        <v>135.69999999999999</v>
      </c>
      <c r="G868" s="3137"/>
      <c r="H868" s="3137"/>
      <c r="I868" s="3137"/>
    </row>
    <row r="869" spans="2:9" s="1999" customFormat="1">
      <c r="B869" s="3372" t="s">
        <v>1692</v>
      </c>
      <c r="C869" s="3368">
        <v>1</v>
      </c>
      <c r="D869" s="3368" t="s">
        <v>1691</v>
      </c>
      <c r="E869" s="3370">
        <v>39.24</v>
      </c>
      <c r="F869" s="3371">
        <f t="shared" si="7"/>
        <v>39.24</v>
      </c>
      <c r="G869" s="3137"/>
      <c r="H869" s="3372">
        <v>39.24</v>
      </c>
      <c r="I869" s="3137"/>
    </row>
    <row r="870" spans="2:9" s="1999" customFormat="1">
      <c r="B870" s="3368" t="s">
        <v>1693</v>
      </c>
      <c r="C870" s="3368">
        <v>40</v>
      </c>
      <c r="D870" s="3368" t="s">
        <v>1694</v>
      </c>
      <c r="E870" s="3370">
        <v>9.44</v>
      </c>
      <c r="F870" s="3371">
        <f t="shared" si="7"/>
        <v>377.6</v>
      </c>
      <c r="G870" s="3137"/>
      <c r="H870" s="3137"/>
      <c r="I870" s="3137"/>
    </row>
    <row r="871" spans="2:9" s="1999" customFormat="1">
      <c r="B871" s="3368" t="s">
        <v>1695</v>
      </c>
      <c r="C871" s="3368">
        <v>1</v>
      </c>
      <c r="D871" s="3368" t="s">
        <v>1691</v>
      </c>
      <c r="E871" s="3370">
        <v>90.32</v>
      </c>
      <c r="F871" s="3371">
        <f t="shared" si="7"/>
        <v>90.32</v>
      </c>
      <c r="G871" s="3137"/>
      <c r="H871" s="3137"/>
      <c r="I871" s="3137"/>
    </row>
    <row r="872" spans="2:9" s="1999" customFormat="1">
      <c r="B872" s="3368" t="s">
        <v>1696</v>
      </c>
      <c r="C872" s="3368">
        <v>0.05</v>
      </c>
      <c r="D872" s="3368" t="s">
        <v>1691</v>
      </c>
      <c r="E872" s="3370">
        <v>330.4</v>
      </c>
      <c r="F872" s="3371">
        <f t="shared" si="7"/>
        <v>16.52</v>
      </c>
      <c r="G872" s="3137"/>
      <c r="H872" s="3137"/>
      <c r="I872" s="3137">
        <f>+E872*3</f>
        <v>991.2</v>
      </c>
    </row>
    <row r="873" spans="2:9" s="1999" customFormat="1">
      <c r="B873" s="3368" t="s">
        <v>1697</v>
      </c>
      <c r="C873" s="3368">
        <v>0.01</v>
      </c>
      <c r="D873" s="3368" t="s">
        <v>1691</v>
      </c>
      <c r="E873" s="3370">
        <v>225.38</v>
      </c>
      <c r="F873" s="3371">
        <f t="shared" si="7"/>
        <v>2.25</v>
      </c>
      <c r="G873" s="3137"/>
      <c r="H873" s="3137"/>
      <c r="I873" s="3137"/>
    </row>
    <row r="874" spans="2:9" s="1999" customFormat="1">
      <c r="B874" s="3368" t="s">
        <v>1698</v>
      </c>
      <c r="C874" s="3368">
        <v>1</v>
      </c>
      <c r="D874" s="3368" t="s">
        <v>1691</v>
      </c>
      <c r="E874" s="3370">
        <v>300</v>
      </c>
      <c r="F874" s="3371">
        <f t="shared" si="7"/>
        <v>300</v>
      </c>
      <c r="G874" s="3137"/>
      <c r="H874" s="3137"/>
      <c r="I874" s="3137"/>
    </row>
    <row r="875" spans="2:9" s="1999" customFormat="1">
      <c r="B875" s="3368" t="s">
        <v>1699</v>
      </c>
      <c r="C875" s="3368"/>
      <c r="D875" s="3368"/>
      <c r="E875" s="3371">
        <v>0.2</v>
      </c>
      <c r="F875" s="3371">
        <f>ROUND(E875*(SUM(F868:F874)),2)</f>
        <v>192.33</v>
      </c>
      <c r="G875" s="3137"/>
      <c r="H875" s="3137"/>
      <c r="I875" s="3137"/>
    </row>
    <row r="876" spans="2:9" s="1999" customFormat="1">
      <c r="B876" s="3231"/>
      <c r="C876" s="3231"/>
      <c r="D876" s="3231"/>
      <c r="E876" s="3231" t="s">
        <v>1039</v>
      </c>
      <c r="F876" s="3373">
        <f>ROUND((SUM(F868:F875)),2)</f>
        <v>1153.96</v>
      </c>
      <c r="G876" s="3137"/>
      <c r="H876" s="3137"/>
      <c r="I876" s="3137"/>
    </row>
    <row r="877" spans="2:9" s="1999" customFormat="1">
      <c r="B877" s="3231"/>
      <c r="C877" s="3231"/>
      <c r="D877" s="3231"/>
      <c r="E877" s="3231"/>
      <c r="F877" s="3231"/>
      <c r="G877" s="3137"/>
      <c r="H877" s="3137"/>
      <c r="I877" s="3137"/>
    </row>
    <row r="878" spans="2:9" s="1999" customFormat="1">
      <c r="B878" s="3369" t="s">
        <v>1700</v>
      </c>
      <c r="C878" s="3369"/>
      <c r="D878" s="1915"/>
      <c r="E878" s="3231"/>
      <c r="F878" s="3231"/>
      <c r="G878" s="3137"/>
      <c r="H878" s="3137"/>
      <c r="I878" s="3137"/>
    </row>
    <row r="879" spans="2:9" s="1999" customFormat="1">
      <c r="B879" s="3368" t="s">
        <v>1690</v>
      </c>
      <c r="C879" s="3368">
        <v>1</v>
      </c>
      <c r="D879" s="3368" t="s">
        <v>1691</v>
      </c>
      <c r="E879" s="3370">
        <f>+E868</f>
        <v>135.69999999999999</v>
      </c>
      <c r="F879" s="3371">
        <f t="shared" ref="F879:F886" si="8">ROUND(C879*E879,2)</f>
        <v>135.69999999999999</v>
      </c>
      <c r="G879" s="3137"/>
      <c r="H879" s="3137"/>
      <c r="I879" s="3137"/>
    </row>
    <row r="880" spans="2:9" s="1999" customFormat="1">
      <c r="B880" s="3372" t="s">
        <v>1701</v>
      </c>
      <c r="C880" s="3368">
        <v>1</v>
      </c>
      <c r="D880" s="3368" t="s">
        <v>1691</v>
      </c>
      <c r="E880" s="3370">
        <v>36.4</v>
      </c>
      <c r="F880" s="3371">
        <f t="shared" si="8"/>
        <v>36.4</v>
      </c>
      <c r="G880" s="3137"/>
      <c r="H880" s="3137"/>
      <c r="I880" s="3137"/>
    </row>
    <row r="881" spans="2:9" s="1999" customFormat="1">
      <c r="B881" s="3368" t="s">
        <v>1693</v>
      </c>
      <c r="C881" s="3368">
        <v>40</v>
      </c>
      <c r="D881" s="3368" t="s">
        <v>1694</v>
      </c>
      <c r="E881" s="3370">
        <f>+E870</f>
        <v>9.44</v>
      </c>
      <c r="F881" s="3371">
        <f t="shared" si="8"/>
        <v>377.6</v>
      </c>
      <c r="G881" s="3137"/>
      <c r="H881" s="3137"/>
      <c r="I881" s="3137"/>
    </row>
    <row r="882" spans="2:9" s="1999" customFormat="1">
      <c r="B882" s="3368" t="s">
        <v>1702</v>
      </c>
      <c r="C882" s="3368">
        <v>1</v>
      </c>
      <c r="D882" s="3368" t="s">
        <v>1691</v>
      </c>
      <c r="E882" s="3370">
        <v>116.2</v>
      </c>
      <c r="F882" s="3371">
        <f t="shared" si="8"/>
        <v>116.2</v>
      </c>
      <c r="G882" s="3137"/>
      <c r="H882" s="3137">
        <v>116.2</v>
      </c>
      <c r="I882" s="3137"/>
    </row>
    <row r="883" spans="2:9" s="1999" customFormat="1">
      <c r="B883" s="3368" t="s">
        <v>1703</v>
      </c>
      <c r="C883" s="3368">
        <v>1</v>
      </c>
      <c r="D883" s="3368" t="s">
        <v>1691</v>
      </c>
      <c r="E883" s="3370">
        <v>6.75</v>
      </c>
      <c r="F883" s="3371">
        <f t="shared" si="8"/>
        <v>6.75</v>
      </c>
      <c r="G883" s="3137"/>
      <c r="H883" s="3137"/>
      <c r="I883" s="3137"/>
    </row>
    <row r="884" spans="2:9" s="1999" customFormat="1">
      <c r="B884" s="3368" t="s">
        <v>1696</v>
      </c>
      <c r="C884" s="3368">
        <v>0.05</v>
      </c>
      <c r="D884" s="3368" t="s">
        <v>1691</v>
      </c>
      <c r="E884" s="3370">
        <f>+E872</f>
        <v>330.4</v>
      </c>
      <c r="F884" s="3371">
        <f t="shared" si="8"/>
        <v>16.52</v>
      </c>
      <c r="G884" s="3137"/>
      <c r="H884" s="3137"/>
      <c r="I884" s="3137"/>
    </row>
    <row r="885" spans="2:9" s="1999" customFormat="1">
      <c r="B885" s="3368" t="s">
        <v>1697</v>
      </c>
      <c r="C885" s="3368">
        <v>0.01</v>
      </c>
      <c r="D885" s="3368" t="s">
        <v>1691</v>
      </c>
      <c r="E885" s="3370">
        <f>+E873</f>
        <v>225.38</v>
      </c>
      <c r="F885" s="3371">
        <f t="shared" si="8"/>
        <v>2.25</v>
      </c>
      <c r="G885" s="3137"/>
      <c r="H885" s="3137"/>
      <c r="I885" s="3137"/>
    </row>
    <row r="886" spans="2:9" s="1999" customFormat="1">
      <c r="B886" s="3368" t="s">
        <v>1698</v>
      </c>
      <c r="C886" s="3368">
        <v>1</v>
      </c>
      <c r="D886" s="3368" t="s">
        <v>1691</v>
      </c>
      <c r="E886" s="3370">
        <f>+E874</f>
        <v>300</v>
      </c>
      <c r="F886" s="3371">
        <f t="shared" si="8"/>
        <v>300</v>
      </c>
      <c r="G886" s="3137"/>
      <c r="H886" s="3137"/>
      <c r="I886" s="3137"/>
    </row>
    <row r="887" spans="2:9" s="1999" customFormat="1">
      <c r="B887" s="3368" t="s">
        <v>1704</v>
      </c>
      <c r="C887" s="3368"/>
      <c r="D887" s="3368"/>
      <c r="E887" s="3371">
        <f>+E875</f>
        <v>0.2</v>
      </c>
      <c r="F887" s="3371">
        <f>ROUND(E887*(SUM(F879:F886)),2)</f>
        <v>198.28</v>
      </c>
      <c r="G887" s="3137"/>
      <c r="H887" s="3137"/>
      <c r="I887" s="3137"/>
    </row>
    <row r="888" spans="2:9" s="1999" customFormat="1">
      <c r="B888" s="3231"/>
      <c r="C888" s="3231"/>
      <c r="D888" s="3231"/>
      <c r="E888" s="3231" t="s">
        <v>1039</v>
      </c>
      <c r="F888" s="3373">
        <f>ROUND(SUM(F879:F887),2)</f>
        <v>1189.7</v>
      </c>
      <c r="G888" s="3137"/>
      <c r="H888" s="3137"/>
      <c r="I888" s="3137"/>
    </row>
    <row r="889" spans="2:9" s="1999" customFormat="1">
      <c r="B889" s="3231"/>
      <c r="C889" s="3231"/>
      <c r="D889" s="3231"/>
      <c r="E889" s="3231"/>
      <c r="F889" s="3231"/>
      <c r="G889" s="3137"/>
      <c r="H889" s="3137"/>
      <c r="I889" s="3137"/>
    </row>
    <row r="890" spans="2:9" s="1999" customFormat="1">
      <c r="B890" s="3369" t="s">
        <v>1705</v>
      </c>
      <c r="C890" s="3369"/>
      <c r="D890" s="1915"/>
      <c r="E890" s="3231"/>
      <c r="F890" s="3231"/>
      <c r="G890" s="3137"/>
      <c r="H890" s="3137"/>
      <c r="I890" s="3137"/>
    </row>
    <row r="891" spans="2:9" s="1999" customFormat="1">
      <c r="B891" s="3368" t="s">
        <v>1690</v>
      </c>
      <c r="C891" s="3368">
        <v>1</v>
      </c>
      <c r="D891" s="3368" t="s">
        <v>1691</v>
      </c>
      <c r="E891" s="3370">
        <f>+E868</f>
        <v>135.69999999999999</v>
      </c>
      <c r="F891" s="3371">
        <f t="shared" ref="F891:F898" si="9">ROUND(C891*E891,2)</f>
        <v>135.69999999999999</v>
      </c>
      <c r="G891" s="3137"/>
      <c r="H891" s="3137"/>
      <c r="I891" s="3137"/>
    </row>
    <row r="892" spans="2:9" s="1999" customFormat="1">
      <c r="B892" s="3368" t="s">
        <v>1706</v>
      </c>
      <c r="C892" s="3368">
        <v>1</v>
      </c>
      <c r="D892" s="3368" t="s">
        <v>1691</v>
      </c>
      <c r="E892" s="3370">
        <f>+E880</f>
        <v>36.4</v>
      </c>
      <c r="F892" s="3371">
        <f t="shared" si="9"/>
        <v>36.4</v>
      </c>
      <c r="G892" s="3137"/>
      <c r="H892" s="3137"/>
      <c r="I892" s="3137"/>
    </row>
    <row r="893" spans="2:9" s="1999" customFormat="1">
      <c r="B893" s="3368" t="s">
        <v>1693</v>
      </c>
      <c r="C893" s="3368">
        <v>60</v>
      </c>
      <c r="D893" s="3368" t="s">
        <v>1694</v>
      </c>
      <c r="E893" s="3370">
        <f>+E881</f>
        <v>9.44</v>
      </c>
      <c r="F893" s="3371">
        <f t="shared" si="9"/>
        <v>566.4</v>
      </c>
      <c r="G893" s="3137"/>
      <c r="H893" s="3137"/>
      <c r="I893" s="3137"/>
    </row>
    <row r="894" spans="2:9" s="1999" customFormat="1">
      <c r="B894" s="3368" t="s">
        <v>1702</v>
      </c>
      <c r="C894" s="3368">
        <v>1</v>
      </c>
      <c r="D894" s="3368" t="s">
        <v>1691</v>
      </c>
      <c r="E894" s="3370">
        <v>148.75</v>
      </c>
      <c r="F894" s="3371">
        <f t="shared" si="9"/>
        <v>148.75</v>
      </c>
      <c r="G894" s="3137"/>
      <c r="H894" s="3137"/>
      <c r="I894" s="3137"/>
    </row>
    <row r="895" spans="2:9" s="1999" customFormat="1">
      <c r="B895" s="3368" t="s">
        <v>1703</v>
      </c>
      <c r="C895" s="3368">
        <v>1</v>
      </c>
      <c r="D895" s="3368" t="s">
        <v>1691</v>
      </c>
      <c r="E895" s="3370">
        <v>6.75</v>
      </c>
      <c r="F895" s="3371">
        <f t="shared" si="9"/>
        <v>6.75</v>
      </c>
      <c r="G895" s="3137"/>
      <c r="H895" s="3137"/>
      <c r="I895" s="3137"/>
    </row>
    <row r="896" spans="2:9" s="1999" customFormat="1">
      <c r="B896" s="3368" t="s">
        <v>1696</v>
      </c>
      <c r="C896" s="3368">
        <v>0.05</v>
      </c>
      <c r="D896" s="3368" t="s">
        <v>1691</v>
      </c>
      <c r="E896" s="3370">
        <f>+E884</f>
        <v>330.4</v>
      </c>
      <c r="F896" s="3371">
        <f t="shared" si="9"/>
        <v>16.52</v>
      </c>
      <c r="G896" s="3137"/>
      <c r="H896" s="3137"/>
      <c r="I896" s="3137"/>
    </row>
    <row r="897" spans="2:9" s="1999" customFormat="1">
      <c r="B897" s="3368" t="s">
        <v>1697</v>
      </c>
      <c r="C897" s="3368">
        <v>0.01</v>
      </c>
      <c r="D897" s="3368" t="s">
        <v>1691</v>
      </c>
      <c r="E897" s="3370">
        <f>+E885</f>
        <v>225.38</v>
      </c>
      <c r="F897" s="3371">
        <f t="shared" si="9"/>
        <v>2.25</v>
      </c>
      <c r="G897" s="3137"/>
      <c r="H897" s="3137"/>
      <c r="I897" s="3137"/>
    </row>
    <row r="898" spans="2:9" s="1999" customFormat="1">
      <c r="B898" s="3368" t="s">
        <v>1698</v>
      </c>
      <c r="C898" s="3368">
        <v>1</v>
      </c>
      <c r="D898" s="3368" t="s">
        <v>1691</v>
      </c>
      <c r="E898" s="3370">
        <v>380</v>
      </c>
      <c r="F898" s="3371">
        <f t="shared" si="9"/>
        <v>380</v>
      </c>
      <c r="G898" s="3137"/>
      <c r="H898" s="3137"/>
      <c r="I898" s="3137"/>
    </row>
    <row r="899" spans="2:9" s="1999" customFormat="1">
      <c r="B899" s="3368" t="s">
        <v>1704</v>
      </c>
      <c r="C899" s="3368"/>
      <c r="D899" s="3368"/>
      <c r="E899" s="3371">
        <v>0.2</v>
      </c>
      <c r="F899" s="3371">
        <f>ROUND(E899*(SUM(F891:F898)),2)</f>
        <v>258.55</v>
      </c>
      <c r="G899" s="3137"/>
      <c r="H899" s="3137"/>
      <c r="I899" s="3137"/>
    </row>
    <row r="900" spans="2:9" s="1999" customFormat="1">
      <c r="B900" s="3231"/>
      <c r="C900" s="3231"/>
      <c r="D900" s="3231"/>
      <c r="E900" s="3231" t="s">
        <v>1039</v>
      </c>
      <c r="F900" s="3373">
        <f>ROUND(SUM(F891:F899),2)</f>
        <v>1551.32</v>
      </c>
      <c r="G900" s="3137"/>
      <c r="H900" s="3137"/>
      <c r="I900" s="3137"/>
    </row>
    <row r="901" spans="2:9" s="1999" customFormat="1">
      <c r="B901" s="3231"/>
      <c r="C901" s="3231"/>
      <c r="D901" s="3231"/>
      <c r="E901" s="3231"/>
      <c r="F901" s="3231"/>
      <c r="G901" s="3137"/>
      <c r="H901" s="3137"/>
      <c r="I901" s="3137"/>
    </row>
    <row r="902" spans="2:9" s="1999" customFormat="1">
      <c r="B902" s="3369" t="s">
        <v>1707</v>
      </c>
      <c r="C902" s="3369"/>
      <c r="D902" s="1915"/>
      <c r="E902" s="3231"/>
      <c r="F902" s="3231"/>
      <c r="G902" s="3137"/>
      <c r="H902" s="3137"/>
      <c r="I902" s="3137"/>
    </row>
    <row r="903" spans="2:9" s="1999" customFormat="1">
      <c r="B903" s="3368" t="s">
        <v>1690</v>
      </c>
      <c r="C903" s="3368">
        <v>1</v>
      </c>
      <c r="D903" s="3368" t="s">
        <v>1691</v>
      </c>
      <c r="E903" s="3370">
        <f>+E891</f>
        <v>135.69999999999999</v>
      </c>
      <c r="F903" s="3371">
        <f t="shared" ref="F903:F910" si="10">ROUND(C903*E903,2)</f>
        <v>135.69999999999999</v>
      </c>
      <c r="G903" s="3137"/>
      <c r="H903" s="3137"/>
      <c r="I903" s="3137"/>
    </row>
    <row r="904" spans="2:9" s="1999" customFormat="1">
      <c r="B904" s="3368" t="s">
        <v>1706</v>
      </c>
      <c r="C904" s="3368">
        <v>1</v>
      </c>
      <c r="D904" s="3368" t="s">
        <v>1691</v>
      </c>
      <c r="E904" s="3370">
        <f>+E892</f>
        <v>36.4</v>
      </c>
      <c r="F904" s="3371">
        <f t="shared" si="10"/>
        <v>36.4</v>
      </c>
      <c r="G904" s="3137"/>
      <c r="H904" s="3137"/>
      <c r="I904" s="3137"/>
    </row>
    <row r="905" spans="2:9" s="1999" customFormat="1">
      <c r="B905" s="3368" t="s">
        <v>1708</v>
      </c>
      <c r="C905" s="3368">
        <v>60</v>
      </c>
      <c r="D905" s="3368" t="s">
        <v>1694</v>
      </c>
      <c r="E905" s="3370">
        <f>+E893</f>
        <v>9.44</v>
      </c>
      <c r="F905" s="3371">
        <f t="shared" si="10"/>
        <v>566.4</v>
      </c>
      <c r="G905" s="3137"/>
      <c r="H905" s="3137"/>
      <c r="I905" s="3137"/>
    </row>
    <row r="906" spans="2:9" s="1999" customFormat="1">
      <c r="B906" s="3368" t="s">
        <v>1702</v>
      </c>
      <c r="C906" s="3368">
        <v>1</v>
      </c>
      <c r="D906" s="3368" t="s">
        <v>1691</v>
      </c>
      <c r="E906" s="3370">
        <v>96.58</v>
      </c>
      <c r="F906" s="3371">
        <f t="shared" si="10"/>
        <v>96.58</v>
      </c>
      <c r="G906" s="3137"/>
      <c r="H906" s="3137"/>
      <c r="I906" s="3137"/>
    </row>
    <row r="907" spans="2:9" s="1999" customFormat="1">
      <c r="B907" s="3368" t="s">
        <v>1703</v>
      </c>
      <c r="C907" s="3368">
        <v>2</v>
      </c>
      <c r="D907" s="3368" t="s">
        <v>1691</v>
      </c>
      <c r="E907" s="3370">
        <v>6.75</v>
      </c>
      <c r="F907" s="3371">
        <f t="shared" si="10"/>
        <v>13.5</v>
      </c>
      <c r="G907" s="3137"/>
      <c r="H907" s="3137"/>
      <c r="I907" s="3137"/>
    </row>
    <row r="908" spans="2:9" s="1999" customFormat="1">
      <c r="B908" s="3368" t="s">
        <v>1696</v>
      </c>
      <c r="C908" s="3368">
        <v>0.05</v>
      </c>
      <c r="D908" s="3368" t="s">
        <v>1691</v>
      </c>
      <c r="E908" s="3370">
        <f>+E896</f>
        <v>330.4</v>
      </c>
      <c r="F908" s="3371">
        <f t="shared" si="10"/>
        <v>16.52</v>
      </c>
      <c r="G908" s="3137"/>
      <c r="H908" s="3137"/>
      <c r="I908" s="3137"/>
    </row>
    <row r="909" spans="2:9" s="1999" customFormat="1">
      <c r="B909" s="3368" t="s">
        <v>1697</v>
      </c>
      <c r="C909" s="3368">
        <v>0.01</v>
      </c>
      <c r="D909" s="3368" t="s">
        <v>1691</v>
      </c>
      <c r="E909" s="3370">
        <f>+E897</f>
        <v>225.38</v>
      </c>
      <c r="F909" s="3371">
        <f t="shared" si="10"/>
        <v>2.25</v>
      </c>
      <c r="G909" s="3137"/>
      <c r="H909" s="3137"/>
      <c r="I909" s="3137"/>
    </row>
    <row r="910" spans="2:9" s="1999" customFormat="1">
      <c r="B910" s="3368" t="s">
        <v>1698</v>
      </c>
      <c r="C910" s="3368">
        <v>1</v>
      </c>
      <c r="D910" s="3368" t="s">
        <v>1691</v>
      </c>
      <c r="E910" s="3370">
        <v>300</v>
      </c>
      <c r="F910" s="3371">
        <f t="shared" si="10"/>
        <v>300</v>
      </c>
      <c r="G910" s="3137"/>
      <c r="H910" s="3137"/>
      <c r="I910" s="3137"/>
    </row>
    <row r="911" spans="2:9" s="1999" customFormat="1">
      <c r="B911" s="3368" t="s">
        <v>1704</v>
      </c>
      <c r="C911" s="3368"/>
      <c r="D911" s="3368"/>
      <c r="E911" s="3371">
        <v>0.2</v>
      </c>
      <c r="F911" s="3371">
        <f>ROUND(E911*(SUM(F903:F910)),2)</f>
        <v>233.47</v>
      </c>
      <c r="G911" s="3137"/>
      <c r="H911" s="3137"/>
      <c r="I911" s="3137"/>
    </row>
    <row r="912" spans="2:9" s="1999" customFormat="1">
      <c r="B912" s="3231"/>
      <c r="C912" s="3231"/>
      <c r="D912" s="3231"/>
      <c r="E912" s="3231" t="s">
        <v>1039</v>
      </c>
      <c r="F912" s="3374">
        <f>ROUND(SUM(F903:F911),2)</f>
        <v>1400.82</v>
      </c>
      <c r="G912" s="3137"/>
      <c r="H912" s="3137"/>
      <c r="I912" s="3137"/>
    </row>
    <row r="913" spans="2:9" s="1999" customFormat="1">
      <c r="B913" s="3231"/>
      <c r="C913" s="3231"/>
      <c r="D913" s="3231"/>
      <c r="E913" s="3231"/>
      <c r="F913" s="3231"/>
      <c r="G913" s="3137"/>
      <c r="H913" s="3137"/>
      <c r="I913" s="3137"/>
    </row>
    <row r="914" spans="2:9" s="1999" customFormat="1">
      <c r="B914" s="3369" t="s">
        <v>1709</v>
      </c>
      <c r="C914" s="3369"/>
      <c r="D914" s="1915"/>
      <c r="E914" s="3231"/>
      <c r="F914" s="3231"/>
      <c r="G914" s="3137"/>
      <c r="H914" s="3137"/>
      <c r="I914" s="3137"/>
    </row>
    <row r="915" spans="2:9" s="1999" customFormat="1">
      <c r="B915" s="3368" t="s">
        <v>1710</v>
      </c>
      <c r="C915" s="3368">
        <v>2</v>
      </c>
      <c r="D915" s="3368" t="s">
        <v>1691</v>
      </c>
      <c r="E915" s="3370">
        <v>206.5</v>
      </c>
      <c r="F915" s="3371">
        <f t="shared" ref="F915:F923" si="11">ROUND(C915*E915,2)</f>
        <v>413</v>
      </c>
      <c r="G915" s="3137"/>
      <c r="H915" s="3137"/>
      <c r="I915" s="3137"/>
    </row>
    <row r="916" spans="2:9" s="1999" customFormat="1">
      <c r="B916" s="3368" t="s">
        <v>1711</v>
      </c>
      <c r="C916" s="3368">
        <v>1</v>
      </c>
      <c r="D916" s="3368" t="s">
        <v>1691</v>
      </c>
      <c r="E916" s="3370">
        <f>+E904</f>
        <v>36.4</v>
      </c>
      <c r="F916" s="3371">
        <f t="shared" si="11"/>
        <v>36.4</v>
      </c>
      <c r="G916" s="3137"/>
      <c r="H916" s="3137"/>
      <c r="I916" s="3137"/>
    </row>
    <row r="917" spans="2:9" s="1999" customFormat="1">
      <c r="B917" s="3368" t="s">
        <v>1712</v>
      </c>
      <c r="C917" s="3368">
        <v>80</v>
      </c>
      <c r="D917" s="3368" t="s">
        <v>1694</v>
      </c>
      <c r="E917" s="3370">
        <v>15.1</v>
      </c>
      <c r="F917" s="3371">
        <f t="shared" si="11"/>
        <v>1208</v>
      </c>
      <c r="G917" s="3137"/>
      <c r="H917" s="3137"/>
      <c r="I917" s="3137"/>
    </row>
    <row r="918" spans="2:9" s="1999" customFormat="1">
      <c r="B918" s="3368" t="s">
        <v>1708</v>
      </c>
      <c r="C918" s="3368">
        <v>40</v>
      </c>
      <c r="D918" s="3368" t="s">
        <v>1694</v>
      </c>
      <c r="E918" s="3370">
        <f>+E905</f>
        <v>9.44</v>
      </c>
      <c r="F918" s="3371">
        <f t="shared" si="11"/>
        <v>377.6</v>
      </c>
      <c r="G918" s="3137"/>
      <c r="H918" s="3137"/>
      <c r="I918" s="3137"/>
    </row>
    <row r="919" spans="2:9" s="1999" customFormat="1">
      <c r="B919" s="3368" t="s">
        <v>1702</v>
      </c>
      <c r="C919" s="3368">
        <v>1</v>
      </c>
      <c r="D919" s="3368" t="s">
        <v>1691</v>
      </c>
      <c r="E919" s="3370">
        <v>160.84</v>
      </c>
      <c r="F919" s="3371">
        <f t="shared" si="11"/>
        <v>160.84</v>
      </c>
      <c r="G919" s="3137"/>
      <c r="H919" s="3137"/>
      <c r="I919" s="3137"/>
    </row>
    <row r="920" spans="2:9" s="1999" customFormat="1">
      <c r="B920" s="3368" t="s">
        <v>1713</v>
      </c>
      <c r="C920" s="3368">
        <v>2</v>
      </c>
      <c r="D920" s="3368" t="s">
        <v>1691</v>
      </c>
      <c r="E920" s="3370">
        <v>10.039999999999999</v>
      </c>
      <c r="F920" s="3371">
        <f t="shared" si="11"/>
        <v>20.079999999999998</v>
      </c>
      <c r="G920" s="3137"/>
      <c r="H920" s="3137"/>
      <c r="I920" s="3137"/>
    </row>
    <row r="921" spans="2:9" s="1999" customFormat="1">
      <c r="B921" s="3368" t="s">
        <v>1696</v>
      </c>
      <c r="C921" s="3368">
        <v>0.05</v>
      </c>
      <c r="D921" s="3368" t="s">
        <v>1691</v>
      </c>
      <c r="E921" s="3370">
        <f>+E908</f>
        <v>330.4</v>
      </c>
      <c r="F921" s="3371">
        <f t="shared" si="11"/>
        <v>16.52</v>
      </c>
      <c r="G921" s="3137"/>
      <c r="H921" s="3137"/>
      <c r="I921" s="3137"/>
    </row>
    <row r="922" spans="2:9" s="1999" customFormat="1">
      <c r="B922" s="3368" t="s">
        <v>1697</v>
      </c>
      <c r="C922" s="3368">
        <v>0.01</v>
      </c>
      <c r="D922" s="3368" t="s">
        <v>1691</v>
      </c>
      <c r="E922" s="3370">
        <f>+E909</f>
        <v>225.38</v>
      </c>
      <c r="F922" s="3371">
        <f t="shared" si="11"/>
        <v>2.25</v>
      </c>
      <c r="G922" s="3137"/>
      <c r="H922" s="3137"/>
      <c r="I922" s="3137"/>
    </row>
    <row r="923" spans="2:9" s="1999" customFormat="1">
      <c r="B923" s="3368" t="s">
        <v>1698</v>
      </c>
      <c r="C923" s="3368">
        <v>1</v>
      </c>
      <c r="D923" s="3368" t="s">
        <v>1691</v>
      </c>
      <c r="E923" s="3370">
        <v>380</v>
      </c>
      <c r="F923" s="3371">
        <f t="shared" si="11"/>
        <v>380</v>
      </c>
      <c r="G923" s="3137"/>
      <c r="H923" s="3137"/>
      <c r="I923" s="3137"/>
    </row>
    <row r="924" spans="2:9" s="1999" customFormat="1">
      <c r="B924" s="3368" t="s">
        <v>1704</v>
      </c>
      <c r="C924" s="3368"/>
      <c r="D924" s="3368"/>
      <c r="E924" s="3371">
        <v>0.2</v>
      </c>
      <c r="F924" s="3371">
        <f>ROUND(E924*(SUM(F915:F923)),2)</f>
        <v>522.94000000000005</v>
      </c>
      <c r="G924" s="3137"/>
      <c r="H924" s="3137"/>
      <c r="I924" s="3137"/>
    </row>
    <row r="925" spans="2:9" s="1999" customFormat="1">
      <c r="B925" s="3231"/>
      <c r="C925" s="3231"/>
      <c r="D925" s="3231"/>
      <c r="E925" s="3231" t="s">
        <v>1039</v>
      </c>
      <c r="F925" s="3374">
        <f>ROUND(SUM(F915:F924),2)</f>
        <v>3137.63</v>
      </c>
      <c r="G925" s="3137"/>
      <c r="H925" s="3137"/>
      <c r="I925" s="3137"/>
    </row>
    <row r="926" spans="2:9" s="1999" customFormat="1">
      <c r="B926" s="3231"/>
      <c r="C926" s="3231"/>
      <c r="D926" s="3231"/>
      <c r="E926" s="3231"/>
      <c r="F926" s="3231"/>
      <c r="G926" s="3137"/>
      <c r="H926" s="3137"/>
      <c r="I926" s="3137"/>
    </row>
    <row r="927" spans="2:9" s="1999" customFormat="1">
      <c r="B927" s="3375" t="s">
        <v>2734</v>
      </c>
      <c r="C927" s="3369"/>
      <c r="D927" s="1915"/>
      <c r="E927" s="3231"/>
      <c r="F927" s="3231"/>
      <c r="G927" s="3137"/>
      <c r="H927" s="3137"/>
      <c r="I927" s="3137"/>
    </row>
    <row r="928" spans="2:9" s="1999" customFormat="1">
      <c r="B928" s="3368" t="s">
        <v>1715</v>
      </c>
      <c r="C928" s="3368">
        <v>4</v>
      </c>
      <c r="D928" s="3368" t="s">
        <v>1691</v>
      </c>
      <c r="E928" s="3370">
        <v>299.72000000000003</v>
      </c>
      <c r="F928" s="3371">
        <f>ROUND(C928*E928,2)</f>
        <v>1198.8800000000001</v>
      </c>
      <c r="G928" s="3137"/>
      <c r="H928" s="3137"/>
      <c r="I928" s="3137"/>
    </row>
    <row r="929" spans="2:9" s="1999" customFormat="1">
      <c r="B929" s="3368" t="s">
        <v>1716</v>
      </c>
      <c r="C929" s="3368">
        <v>1</v>
      </c>
      <c r="D929" s="3368" t="s">
        <v>1691</v>
      </c>
      <c r="E929" s="3370">
        <v>825.4</v>
      </c>
      <c r="F929" s="3371">
        <f>ROUND(C929*E929,2)</f>
        <v>825.4</v>
      </c>
      <c r="G929" s="3137"/>
      <c r="H929" s="3137"/>
      <c r="I929" s="3137"/>
    </row>
    <row r="930" spans="2:9" s="1999" customFormat="1">
      <c r="B930" s="3368" t="s">
        <v>1717</v>
      </c>
      <c r="C930" s="3368">
        <v>1</v>
      </c>
      <c r="D930" s="3368" t="s">
        <v>1691</v>
      </c>
      <c r="E930" s="3370">
        <v>400</v>
      </c>
      <c r="F930" s="3371">
        <f>ROUND(C930*E930,2)</f>
        <v>400</v>
      </c>
      <c r="G930" s="3137"/>
      <c r="H930" s="3137"/>
      <c r="I930" s="3137"/>
    </row>
    <row r="931" spans="2:9" s="1999" customFormat="1">
      <c r="B931" s="3368" t="s">
        <v>1718</v>
      </c>
      <c r="C931" s="3368">
        <v>4</v>
      </c>
      <c r="D931" s="3368" t="s">
        <v>1691</v>
      </c>
      <c r="E931" s="3370">
        <v>120</v>
      </c>
      <c r="F931" s="3371">
        <f>ROUND(C931*E931,2)</f>
        <v>480</v>
      </c>
      <c r="G931" s="3137"/>
      <c r="H931" s="3137"/>
      <c r="I931" s="3137"/>
    </row>
    <row r="932" spans="2:9" s="1999" customFormat="1">
      <c r="B932" s="3368" t="s">
        <v>1704</v>
      </c>
      <c r="C932" s="3368"/>
      <c r="D932" s="3368"/>
      <c r="E932" s="3371">
        <v>0.2</v>
      </c>
      <c r="F932" s="3371">
        <f>ROUND(E932*(SUM(F928:F931)),2)</f>
        <v>580.86</v>
      </c>
      <c r="G932" s="3137"/>
      <c r="H932" s="3137"/>
      <c r="I932" s="3137"/>
    </row>
    <row r="933" spans="2:9" s="1999" customFormat="1">
      <c r="B933" s="3231"/>
      <c r="C933" s="3231"/>
      <c r="D933" s="3231"/>
      <c r="E933" s="3231" t="s">
        <v>1039</v>
      </c>
      <c r="F933" s="3374">
        <f>ROUND(SUM(F928:F932),2)</f>
        <v>3485.14</v>
      </c>
      <c r="G933" s="3137"/>
      <c r="H933" s="3137"/>
      <c r="I933" s="3137"/>
    </row>
    <row r="934" spans="2:9" s="1999" customFormat="1">
      <c r="B934" s="1916"/>
      <c r="C934" s="1916"/>
      <c r="D934" s="1916"/>
      <c r="E934" s="1916"/>
      <c r="F934" s="1916"/>
      <c r="G934" s="3137"/>
      <c r="H934" s="3137"/>
      <c r="I934" s="3137"/>
    </row>
    <row r="935" spans="2:9" s="1999" customFormat="1">
      <c r="B935" s="3369" t="s">
        <v>2448</v>
      </c>
      <c r="C935" s="3369"/>
      <c r="D935" s="1915"/>
      <c r="E935" s="3231"/>
      <c r="F935" s="3231"/>
      <c r="G935" s="3137"/>
      <c r="H935" s="3137"/>
      <c r="I935" s="3137"/>
    </row>
    <row r="936" spans="2:9" s="1999" customFormat="1">
      <c r="B936" s="3368" t="s">
        <v>1715</v>
      </c>
      <c r="C936" s="3368">
        <v>8</v>
      </c>
      <c r="D936" s="3368" t="s">
        <v>1691</v>
      </c>
      <c r="E936" s="3370">
        <v>299.72000000000003</v>
      </c>
      <c r="F936" s="3371">
        <f>ROUND(C936*E936,2)</f>
        <v>2397.7600000000002</v>
      </c>
      <c r="G936" s="3137"/>
      <c r="H936" s="3137"/>
      <c r="I936" s="3137"/>
    </row>
    <row r="937" spans="2:9" s="1999" customFormat="1" ht="15.75">
      <c r="B937" s="3368" t="s">
        <v>1716</v>
      </c>
      <c r="C937" s="3368">
        <v>1</v>
      </c>
      <c r="D937" s="3368" t="s">
        <v>1691</v>
      </c>
      <c r="E937" s="3376">
        <v>2452.56</v>
      </c>
      <c r="F937" s="3371">
        <f>ROUND(C937*E937,2)</f>
        <v>2452.56</v>
      </c>
      <c r="G937" s="3137"/>
      <c r="H937" s="3137"/>
      <c r="I937" s="3137"/>
    </row>
    <row r="938" spans="2:9" s="1999" customFormat="1">
      <c r="B938" s="3368" t="s">
        <v>1717</v>
      </c>
      <c r="C938" s="3368">
        <v>1</v>
      </c>
      <c r="D938" s="3368" t="s">
        <v>1691</v>
      </c>
      <c r="E938" s="3370">
        <v>500</v>
      </c>
      <c r="F938" s="3371">
        <f>ROUND(C938*E938,2)</f>
        <v>500</v>
      </c>
      <c r="G938" s="3137"/>
      <c r="H938" s="3137"/>
      <c r="I938" s="3137"/>
    </row>
    <row r="939" spans="2:9" s="1999" customFormat="1">
      <c r="B939" s="3368" t="s">
        <v>1718</v>
      </c>
      <c r="C939" s="3368">
        <f>C936</f>
        <v>8</v>
      </c>
      <c r="D939" s="3368" t="s">
        <v>1691</v>
      </c>
      <c r="E939" s="3370">
        <v>120</v>
      </c>
      <c r="F939" s="3371">
        <f>ROUND(C939*E939,2)</f>
        <v>960</v>
      </c>
      <c r="G939" s="3137"/>
      <c r="H939" s="3137"/>
      <c r="I939" s="3137"/>
    </row>
    <row r="940" spans="2:9" s="1999" customFormat="1">
      <c r="B940" s="3368" t="s">
        <v>1704</v>
      </c>
      <c r="C940" s="3368"/>
      <c r="D940" s="3368"/>
      <c r="E940" s="3371">
        <v>0.2</v>
      </c>
      <c r="F940" s="3371">
        <f>ROUND(E940*(SUM(F936:F939)),2)</f>
        <v>1262.06</v>
      </c>
      <c r="G940" s="3137"/>
      <c r="H940" s="3137"/>
      <c r="I940" s="3137"/>
    </row>
    <row r="941" spans="2:9" s="1999" customFormat="1">
      <c r="B941" s="3231"/>
      <c r="C941" s="3231"/>
      <c r="D941" s="3231"/>
      <c r="E941" s="3231" t="s">
        <v>1039</v>
      </c>
      <c r="F941" s="3374">
        <f>ROUND(SUM(F936:F940),2)</f>
        <v>7572.38</v>
      </c>
      <c r="G941" s="3137"/>
      <c r="H941" s="3137"/>
      <c r="I941" s="3137"/>
    </row>
    <row r="942" spans="2:9" s="1999" customFormat="1">
      <c r="B942" s="1916"/>
      <c r="C942" s="1916"/>
      <c r="D942" s="1916"/>
      <c r="E942" s="1916"/>
      <c r="F942" s="1916"/>
      <c r="G942" s="3137"/>
      <c r="H942" s="3137"/>
      <c r="I942" s="3137"/>
    </row>
    <row r="943" spans="2:9" s="1999" customFormat="1">
      <c r="B943" s="3375" t="s">
        <v>2735</v>
      </c>
      <c r="C943" s="3369"/>
      <c r="D943" s="1915"/>
      <c r="E943" s="3231"/>
      <c r="F943" s="3231"/>
      <c r="G943" s="3137"/>
      <c r="H943" s="3137"/>
      <c r="I943" s="3137"/>
    </row>
    <row r="944" spans="2:9" s="1999" customFormat="1">
      <c r="B944" s="3368" t="s">
        <v>1715</v>
      </c>
      <c r="C944" s="3368">
        <v>12</v>
      </c>
      <c r="D944" s="3368" t="s">
        <v>1691</v>
      </c>
      <c r="E944" s="3370">
        <v>299.72000000000003</v>
      </c>
      <c r="F944" s="3371">
        <f>ROUND(C944*E944,2)</f>
        <v>3596.64</v>
      </c>
      <c r="G944" s="3137"/>
      <c r="H944" s="3137"/>
      <c r="I944" s="3137"/>
    </row>
    <row r="945" spans="2:9" s="1999" customFormat="1" ht="15.75">
      <c r="B945" s="3368" t="s">
        <v>1716</v>
      </c>
      <c r="C945" s="3368">
        <v>1</v>
      </c>
      <c r="D945" s="3368" t="s">
        <v>1691</v>
      </c>
      <c r="E945" s="3376">
        <v>2630.84</v>
      </c>
      <c r="F945" s="3371">
        <f>ROUND(C945*E945,2)</f>
        <v>2630.84</v>
      </c>
      <c r="G945" s="3137"/>
      <c r="H945" s="3137"/>
      <c r="I945" s="3137"/>
    </row>
    <row r="946" spans="2:9" s="1999" customFormat="1">
      <c r="B946" s="3368" t="s">
        <v>1717</v>
      </c>
      <c r="C946" s="3368">
        <v>1</v>
      </c>
      <c r="D946" s="3368" t="s">
        <v>1691</v>
      </c>
      <c r="E946" s="3370">
        <v>600</v>
      </c>
      <c r="F946" s="3371">
        <f>ROUND(C946*E946,2)</f>
        <v>600</v>
      </c>
      <c r="G946" s="3137"/>
      <c r="H946" s="3137"/>
      <c r="I946" s="3137"/>
    </row>
    <row r="947" spans="2:9" s="1999" customFormat="1">
      <c r="B947" s="3368" t="s">
        <v>1718</v>
      </c>
      <c r="C947" s="3368">
        <f>C944</f>
        <v>12</v>
      </c>
      <c r="D947" s="3368" t="s">
        <v>1691</v>
      </c>
      <c r="E947" s="3370">
        <v>120</v>
      </c>
      <c r="F947" s="3371">
        <f>ROUND(C947*E947,2)</f>
        <v>1440</v>
      </c>
      <c r="G947" s="3137"/>
      <c r="H947" s="3137"/>
      <c r="I947" s="3137"/>
    </row>
    <row r="948" spans="2:9" s="1999" customFormat="1">
      <c r="B948" s="3368" t="s">
        <v>1704</v>
      </c>
      <c r="C948" s="3368"/>
      <c r="D948" s="3368"/>
      <c r="E948" s="3371">
        <v>0.2</v>
      </c>
      <c r="F948" s="3371">
        <f>ROUND(E948*(SUM(F944:F947)),2)</f>
        <v>1653.5</v>
      </c>
      <c r="G948" s="3137"/>
      <c r="H948" s="3137"/>
      <c r="I948" s="3137"/>
    </row>
    <row r="949" spans="2:9" s="1999" customFormat="1">
      <c r="B949" s="3231"/>
      <c r="C949" s="3231"/>
      <c r="D949" s="3231"/>
      <c r="E949" s="3231" t="s">
        <v>1039</v>
      </c>
      <c r="F949" s="3374">
        <f>ROUND(SUM(F944:F948),2)</f>
        <v>9920.98</v>
      </c>
      <c r="G949" s="3137"/>
      <c r="H949" s="3137"/>
      <c r="I949" s="3137"/>
    </row>
    <row r="950" spans="2:9" s="1999" customFormat="1">
      <c r="B950" s="1916"/>
      <c r="C950" s="1916"/>
      <c r="D950" s="1916"/>
      <c r="E950" s="1916"/>
      <c r="F950" s="1916"/>
      <c r="G950" s="3137"/>
      <c r="H950" s="3137"/>
      <c r="I950" s="3137"/>
    </row>
    <row r="951" spans="2:9" s="1999" customFormat="1">
      <c r="B951" s="3375" t="s">
        <v>2736</v>
      </c>
      <c r="C951" s="3369"/>
      <c r="D951" s="1915"/>
      <c r="E951" s="3231"/>
      <c r="F951" s="3231"/>
      <c r="G951" s="3137"/>
      <c r="H951" s="3137"/>
      <c r="I951" s="3137"/>
    </row>
    <row r="952" spans="2:9" s="1999" customFormat="1">
      <c r="B952" s="3368" t="s">
        <v>1715</v>
      </c>
      <c r="C952" s="3368">
        <v>16</v>
      </c>
      <c r="D952" s="3368" t="s">
        <v>1691</v>
      </c>
      <c r="E952" s="3370">
        <v>299.72000000000003</v>
      </c>
      <c r="F952" s="3371">
        <f>ROUND(C952*E952,2)</f>
        <v>4795.5200000000004</v>
      </c>
      <c r="G952" s="3137"/>
      <c r="H952" s="3137"/>
      <c r="I952" s="3137"/>
    </row>
    <row r="953" spans="2:9" s="1999" customFormat="1" ht="15.75">
      <c r="B953" s="3368" t="s">
        <v>1716</v>
      </c>
      <c r="C953" s="3368">
        <v>1</v>
      </c>
      <c r="D953" s="3368" t="s">
        <v>1691</v>
      </c>
      <c r="E953" s="3376">
        <v>2896.61</v>
      </c>
      <c r="F953" s="3371">
        <f>ROUND(C953*E953,2)</f>
        <v>2896.61</v>
      </c>
      <c r="G953" s="3137"/>
      <c r="H953" s="3137"/>
      <c r="I953" s="3137"/>
    </row>
    <row r="954" spans="2:9" s="1999" customFormat="1">
      <c r="B954" s="3368" t="s">
        <v>1717</v>
      </c>
      <c r="C954" s="3368">
        <v>1</v>
      </c>
      <c r="D954" s="3368" t="s">
        <v>1691</v>
      </c>
      <c r="E954" s="3370">
        <v>800</v>
      </c>
      <c r="F954" s="3371">
        <f>ROUND(C954*E954,2)</f>
        <v>800</v>
      </c>
      <c r="G954" s="3137"/>
      <c r="H954" s="3137"/>
      <c r="I954" s="3137"/>
    </row>
    <row r="955" spans="2:9" s="1999" customFormat="1">
      <c r="B955" s="3368" t="s">
        <v>1718</v>
      </c>
      <c r="C955" s="3368">
        <f>C952</f>
        <v>16</v>
      </c>
      <c r="D955" s="3368" t="s">
        <v>1691</v>
      </c>
      <c r="E955" s="3370">
        <v>120</v>
      </c>
      <c r="F955" s="3371">
        <f>ROUND(C955*E955,2)</f>
        <v>1920</v>
      </c>
      <c r="G955" s="3137"/>
      <c r="H955" s="3137"/>
      <c r="I955" s="3137"/>
    </row>
    <row r="956" spans="2:9" s="1999" customFormat="1">
      <c r="B956" s="3368" t="s">
        <v>1704</v>
      </c>
      <c r="C956" s="3368"/>
      <c r="D956" s="3368"/>
      <c r="E956" s="3371">
        <v>0.2</v>
      </c>
      <c r="F956" s="3371">
        <f>ROUND(E956*(SUM(F952:F955)),2)</f>
        <v>2082.4299999999998</v>
      </c>
      <c r="G956" s="3137"/>
      <c r="H956" s="3137"/>
      <c r="I956" s="3137"/>
    </row>
    <row r="957" spans="2:9" s="1999" customFormat="1">
      <c r="B957" s="3231"/>
      <c r="C957" s="3231"/>
      <c r="D957" s="3231"/>
      <c r="E957" s="3231" t="s">
        <v>1039</v>
      </c>
      <c r="F957" s="3374">
        <f>ROUND(SUM(F952:F956),2)</f>
        <v>12494.56</v>
      </c>
      <c r="G957" s="3137"/>
      <c r="H957" s="3137"/>
      <c r="I957" s="3137"/>
    </row>
    <row r="958" spans="2:9" s="1999" customFormat="1">
      <c r="B958" s="1916"/>
      <c r="C958" s="1916"/>
      <c r="D958" s="1916"/>
      <c r="E958" s="1916"/>
      <c r="F958" s="1916"/>
      <c r="G958" s="3137"/>
      <c r="H958" s="3137"/>
      <c r="I958" s="3137"/>
    </row>
    <row r="959" spans="2:9" s="1999" customFormat="1">
      <c r="B959" s="1916"/>
      <c r="C959" s="1916"/>
      <c r="D959" s="1916"/>
      <c r="E959" s="1916"/>
      <c r="F959" s="1916"/>
      <c r="G959" s="3137"/>
      <c r="H959" s="3137"/>
      <c r="I959" s="3137"/>
    </row>
    <row r="960" spans="2:9" s="1999" customFormat="1">
      <c r="B960" s="1916" t="s">
        <v>1719</v>
      </c>
      <c r="C960" s="1916"/>
      <c r="D960" s="1916"/>
      <c r="E960" s="1916"/>
      <c r="F960" s="1916"/>
      <c r="G960" s="3137"/>
      <c r="H960" s="3137"/>
      <c r="I960" s="3137"/>
    </row>
    <row r="961" spans="2:9" s="1999" customFormat="1">
      <c r="B961" s="1916" t="s">
        <v>1720</v>
      </c>
      <c r="C961" s="1916"/>
      <c r="D961" s="1119"/>
      <c r="E961" s="1916"/>
      <c r="F961" s="1916"/>
      <c r="G961" s="3137"/>
      <c r="H961" s="3137"/>
      <c r="I961" s="3137"/>
    </row>
    <row r="962" spans="2:9" s="1999" customFormat="1">
      <c r="B962" s="1916" t="s">
        <v>1721</v>
      </c>
      <c r="C962" s="1916">
        <v>1</v>
      </c>
      <c r="D962" s="1916" t="s">
        <v>1691</v>
      </c>
      <c r="E962" s="1916">
        <v>1900</v>
      </c>
      <c r="F962" s="1916">
        <f t="shared" ref="F962:F972" si="12">ROUND(C962*E962,2)</f>
        <v>1900</v>
      </c>
      <c r="G962" s="3137"/>
      <c r="H962" s="3137"/>
      <c r="I962" s="3137"/>
    </row>
    <row r="963" spans="2:9" s="1999" customFormat="1">
      <c r="B963" s="1916" t="s">
        <v>3504</v>
      </c>
      <c r="C963" s="1916">
        <v>1</v>
      </c>
      <c r="D963" s="1916" t="s">
        <v>1691</v>
      </c>
      <c r="E963" s="1916">
        <v>41.2</v>
      </c>
      <c r="F963" s="1916">
        <f t="shared" si="12"/>
        <v>41.2</v>
      </c>
      <c r="G963" s="3137"/>
      <c r="H963" s="3137"/>
      <c r="I963" s="3137"/>
    </row>
    <row r="964" spans="2:9" s="1999" customFormat="1">
      <c r="B964" s="1916" t="s">
        <v>1722</v>
      </c>
      <c r="C964" s="1916">
        <v>1</v>
      </c>
      <c r="D964" s="1916" t="s">
        <v>1723</v>
      </c>
      <c r="E964" s="1916">
        <v>15</v>
      </c>
      <c r="F964" s="1916">
        <f t="shared" si="12"/>
        <v>15</v>
      </c>
      <c r="G964" s="3137"/>
      <c r="H964" s="3137"/>
      <c r="I964" s="3137"/>
    </row>
    <row r="965" spans="2:9" s="1999" customFormat="1">
      <c r="B965" s="1916" t="s">
        <v>1724</v>
      </c>
      <c r="C965" s="1916">
        <v>1</v>
      </c>
      <c r="D965" s="1916" t="s">
        <v>1691</v>
      </c>
      <c r="E965" s="1916">
        <v>15.08</v>
      </c>
      <c r="F965" s="1916">
        <f t="shared" si="12"/>
        <v>15.08</v>
      </c>
      <c r="G965" s="3137"/>
      <c r="H965" s="3137"/>
      <c r="I965" s="3137"/>
    </row>
    <row r="966" spans="2:9" s="1999" customFormat="1">
      <c r="B966" s="1916" t="s">
        <v>1725</v>
      </c>
      <c r="C966" s="1916">
        <v>0.04</v>
      </c>
      <c r="D966" s="1916" t="s">
        <v>1726</v>
      </c>
      <c r="E966" s="1916">
        <v>374.68</v>
      </c>
      <c r="F966" s="1916">
        <f t="shared" si="12"/>
        <v>14.99</v>
      </c>
      <c r="G966" s="3137"/>
      <c r="H966" s="3137"/>
      <c r="I966" s="3137"/>
    </row>
    <row r="967" spans="2:9" s="1999" customFormat="1">
      <c r="B967" s="1916" t="s">
        <v>1727</v>
      </c>
      <c r="C967" s="1916">
        <v>1</v>
      </c>
      <c r="D967" s="1916" t="s">
        <v>1691</v>
      </c>
      <c r="E967" s="1916">
        <v>92.8</v>
      </c>
      <c r="F967" s="1916">
        <f t="shared" si="12"/>
        <v>92.8</v>
      </c>
      <c r="G967" s="3137"/>
      <c r="H967" s="3137"/>
      <c r="I967" s="3137"/>
    </row>
    <row r="968" spans="2:9" s="1999" customFormat="1">
      <c r="B968" s="1916" t="s">
        <v>1728</v>
      </c>
      <c r="C968" s="1916">
        <v>1</v>
      </c>
      <c r="D968" s="1916" t="s">
        <v>1691</v>
      </c>
      <c r="E968" s="1916">
        <v>33.409999999999997</v>
      </c>
      <c r="F968" s="1916">
        <f t="shared" si="12"/>
        <v>33.409999999999997</v>
      </c>
      <c r="G968" s="3137"/>
      <c r="H968" s="3137"/>
      <c r="I968" s="3137"/>
    </row>
    <row r="969" spans="2:9" s="1999" customFormat="1">
      <c r="B969" s="1916" t="s">
        <v>1729</v>
      </c>
      <c r="C969" s="1916">
        <v>1</v>
      </c>
      <c r="D969" s="1916" t="s">
        <v>1691</v>
      </c>
      <c r="E969" s="1916">
        <v>4.6399999999999997</v>
      </c>
      <c r="F969" s="1916">
        <f t="shared" si="12"/>
        <v>4.6399999999999997</v>
      </c>
      <c r="G969" s="3137"/>
      <c r="H969" s="3137"/>
      <c r="I969" s="3137"/>
    </row>
    <row r="970" spans="2:9" s="1999" customFormat="1">
      <c r="B970" s="1916" t="s">
        <v>1730</v>
      </c>
      <c r="C970" s="1916">
        <v>1</v>
      </c>
      <c r="D970" s="1916" t="s">
        <v>1691</v>
      </c>
      <c r="E970" s="1916">
        <v>32.479999999999997</v>
      </c>
      <c r="F970" s="1916">
        <f t="shared" si="12"/>
        <v>32.479999999999997</v>
      </c>
      <c r="G970" s="3137"/>
      <c r="H970" s="3137"/>
      <c r="I970" s="3137"/>
    </row>
    <row r="971" spans="2:9" s="1999" customFormat="1">
      <c r="B971" s="1916" t="s">
        <v>1731</v>
      </c>
      <c r="C971" s="1916">
        <v>0.1</v>
      </c>
      <c r="D971" s="1916" t="s">
        <v>1732</v>
      </c>
      <c r="E971" s="1916">
        <v>15</v>
      </c>
      <c r="F971" s="1916">
        <f t="shared" si="12"/>
        <v>1.5</v>
      </c>
      <c r="G971" s="3137"/>
      <c r="H971" s="3137"/>
      <c r="I971" s="3137"/>
    </row>
    <row r="972" spans="2:9" s="1999" customFormat="1">
      <c r="B972" s="1916" t="s">
        <v>1733</v>
      </c>
      <c r="C972" s="1916">
        <v>1</v>
      </c>
      <c r="D972" s="1916" t="s">
        <v>1691</v>
      </c>
      <c r="E972" s="1916">
        <v>350</v>
      </c>
      <c r="F972" s="1916">
        <f t="shared" si="12"/>
        <v>350</v>
      </c>
      <c r="G972" s="3137"/>
      <c r="H972" s="3137"/>
      <c r="I972" s="3137"/>
    </row>
    <row r="973" spans="2:9" s="1999" customFormat="1">
      <c r="B973" s="1916"/>
      <c r="C973" s="1916"/>
      <c r="D973" s="1916"/>
      <c r="E973" s="1916" t="s">
        <v>1039</v>
      </c>
      <c r="F973" s="1916">
        <f>ROUND(SUM(F962:F972),2)</f>
        <v>2501.1</v>
      </c>
      <c r="G973" s="3137"/>
      <c r="H973" s="3137"/>
      <c r="I973" s="3137"/>
    </row>
    <row r="974" spans="2:9" s="1999" customFormat="1">
      <c r="B974" s="1916"/>
      <c r="C974" s="1916"/>
      <c r="D974" s="1916"/>
      <c r="E974" s="1916"/>
      <c r="F974" s="1916"/>
      <c r="G974" s="3137"/>
      <c r="H974" s="3137"/>
      <c r="I974" s="3137"/>
    </row>
    <row r="975" spans="2:9" s="1999" customFormat="1">
      <c r="B975" s="1916" t="s">
        <v>1734</v>
      </c>
      <c r="C975" s="1916"/>
      <c r="D975" s="1119"/>
      <c r="E975" s="1916"/>
      <c r="F975" s="1916"/>
      <c r="G975" s="3137"/>
      <c r="H975" s="3137"/>
      <c r="I975" s="3137"/>
    </row>
    <row r="976" spans="2:9" s="1999" customFormat="1">
      <c r="B976" s="1916" t="s">
        <v>1735</v>
      </c>
      <c r="C976" s="1916">
        <v>1</v>
      </c>
      <c r="D976" s="1916" t="s">
        <v>1691</v>
      </c>
      <c r="E976" s="1916">
        <v>226.2</v>
      </c>
      <c r="F976" s="1916">
        <f>ROUND(C976*E976,2)</f>
        <v>226.2</v>
      </c>
      <c r="G976" s="3137"/>
      <c r="H976" s="3137"/>
      <c r="I976" s="3137"/>
    </row>
    <row r="977" spans="2:9" s="1999" customFormat="1">
      <c r="B977" s="1916" t="s">
        <v>3501</v>
      </c>
      <c r="C977" s="1916">
        <v>1</v>
      </c>
      <c r="D977" s="1916" t="s">
        <v>1691</v>
      </c>
      <c r="E977" s="1916">
        <v>88.16</v>
      </c>
      <c r="F977" s="1916">
        <f>ROUND(C977*E977,2)</f>
        <v>88.16</v>
      </c>
      <c r="G977" s="3137"/>
      <c r="H977" s="3137"/>
      <c r="I977" s="3137"/>
    </row>
    <row r="978" spans="2:9" s="1999" customFormat="1">
      <c r="B978" s="1916" t="s">
        <v>1725</v>
      </c>
      <c r="C978" s="1916">
        <v>0.03</v>
      </c>
      <c r="D978" s="1916" t="s">
        <v>1726</v>
      </c>
      <c r="E978" s="1916">
        <v>374.68</v>
      </c>
      <c r="F978" s="1916">
        <f>ROUND(C978*E978,2)</f>
        <v>11.24</v>
      </c>
      <c r="G978" s="3137"/>
      <c r="H978" s="3137"/>
      <c r="I978" s="3137"/>
    </row>
    <row r="979" spans="2:9" s="1999" customFormat="1">
      <c r="B979" s="1916" t="s">
        <v>1731</v>
      </c>
      <c r="C979" s="1916">
        <v>0.1</v>
      </c>
      <c r="D979" s="1916" t="s">
        <v>1732</v>
      </c>
      <c r="E979" s="1916">
        <v>15</v>
      </c>
      <c r="F979" s="1916">
        <f>ROUND(C979*E979,2)</f>
        <v>1.5</v>
      </c>
      <c r="G979" s="3137"/>
      <c r="H979" s="3137"/>
      <c r="I979" s="3137"/>
    </row>
    <row r="980" spans="2:9" s="1999" customFormat="1">
      <c r="B980" s="1916" t="s">
        <v>1736</v>
      </c>
      <c r="C980" s="1916">
        <v>1</v>
      </c>
      <c r="D980" s="1916" t="s">
        <v>1691</v>
      </c>
      <c r="E980" s="1916">
        <v>200</v>
      </c>
      <c r="F980" s="1916">
        <f>ROUND(C980*E980,2)</f>
        <v>200</v>
      </c>
      <c r="G980" s="3137"/>
      <c r="H980" s="3137"/>
      <c r="I980" s="3137"/>
    </row>
    <row r="981" spans="2:9" s="1999" customFormat="1">
      <c r="B981" s="1916"/>
      <c r="C981" s="1916"/>
      <c r="D981" s="1916"/>
      <c r="E981" s="1916" t="s">
        <v>1039</v>
      </c>
      <c r="F981" s="1916">
        <f>ROUND(SUM(F976:F980),2)</f>
        <v>527.1</v>
      </c>
      <c r="G981" s="3137"/>
      <c r="H981" s="3137"/>
      <c r="I981" s="3137"/>
    </row>
    <row r="982" spans="2:9" s="1999" customFormat="1">
      <c r="B982" s="1916"/>
      <c r="C982" s="1916"/>
      <c r="D982" s="1916"/>
      <c r="E982" s="1916"/>
      <c r="F982" s="1916"/>
      <c r="G982" s="3137"/>
      <c r="H982" s="3137"/>
      <c r="I982" s="3137"/>
    </row>
    <row r="983" spans="2:9" s="1999" customFormat="1">
      <c r="B983" s="1916" t="s">
        <v>1737</v>
      </c>
      <c r="C983" s="1916"/>
      <c r="D983" s="1119"/>
      <c r="E983" s="1916"/>
      <c r="F983" s="1916"/>
      <c r="G983" s="3137"/>
      <c r="H983" s="3137"/>
      <c r="I983" s="3137"/>
    </row>
    <row r="984" spans="2:9" s="1999" customFormat="1">
      <c r="B984" s="1916" t="s">
        <v>1738</v>
      </c>
      <c r="C984" s="1916">
        <v>1</v>
      </c>
      <c r="D984" s="1916" t="s">
        <v>1691</v>
      </c>
      <c r="E984" s="1916">
        <v>750</v>
      </c>
      <c r="F984" s="1916">
        <f t="shared" ref="F984:F994" si="13">ROUND(C984*E984,2)</f>
        <v>750</v>
      </c>
      <c r="G984" s="3137"/>
      <c r="H984" s="3137"/>
      <c r="I984" s="3137"/>
    </row>
    <row r="985" spans="2:9" s="1999" customFormat="1">
      <c r="B985" s="1916" t="s">
        <v>1739</v>
      </c>
      <c r="C985" s="1916">
        <v>1</v>
      </c>
      <c r="D985" s="1916" t="s">
        <v>1691</v>
      </c>
      <c r="E985" s="1916">
        <v>200</v>
      </c>
      <c r="F985" s="1916">
        <f t="shared" si="13"/>
        <v>200</v>
      </c>
      <c r="G985" s="3137"/>
      <c r="H985" s="3137"/>
      <c r="I985" s="3137"/>
    </row>
    <row r="986" spans="2:9" s="1999" customFormat="1">
      <c r="B986" s="1916" t="s">
        <v>1740</v>
      </c>
      <c r="C986" s="1916">
        <v>1</v>
      </c>
      <c r="D986" s="1916" t="s">
        <v>1691</v>
      </c>
      <c r="E986" s="1916">
        <v>76.56</v>
      </c>
      <c r="F986" s="1916">
        <f t="shared" si="13"/>
        <v>76.56</v>
      </c>
      <c r="G986" s="3137"/>
      <c r="H986" s="3137"/>
      <c r="I986" s="3137"/>
    </row>
    <row r="987" spans="2:9" s="1999" customFormat="1">
      <c r="B987" s="1916" t="s">
        <v>1741</v>
      </c>
      <c r="C987" s="1916">
        <v>1</v>
      </c>
      <c r="D987" s="1916" t="s">
        <v>1691</v>
      </c>
      <c r="E987" s="1916">
        <v>37.24</v>
      </c>
      <c r="F987" s="1916">
        <f t="shared" si="13"/>
        <v>37.24</v>
      </c>
      <c r="G987" s="3137"/>
      <c r="H987" s="3137"/>
      <c r="I987" s="3137"/>
    </row>
    <row r="988" spans="2:9" s="1999" customFormat="1">
      <c r="B988" s="1916" t="s">
        <v>1725</v>
      </c>
      <c r="C988" s="1916">
        <v>0.03</v>
      </c>
      <c r="D988" s="1916" t="s">
        <v>1726</v>
      </c>
      <c r="E988" s="1916">
        <v>374.68</v>
      </c>
      <c r="F988" s="1916">
        <f t="shared" si="13"/>
        <v>11.24</v>
      </c>
      <c r="G988" s="3137"/>
      <c r="H988" s="3137"/>
      <c r="I988" s="3137"/>
    </row>
    <row r="989" spans="2:9" s="1999" customFormat="1">
      <c r="B989" s="1916" t="s">
        <v>1727</v>
      </c>
      <c r="C989" s="1916">
        <v>2</v>
      </c>
      <c r="D989" s="1916" t="s">
        <v>1691</v>
      </c>
      <c r="E989" s="1916">
        <v>92.8</v>
      </c>
      <c r="F989" s="1916">
        <f t="shared" si="13"/>
        <v>185.6</v>
      </c>
      <c r="G989" s="3137"/>
      <c r="H989" s="3137"/>
      <c r="I989" s="3137"/>
    </row>
    <row r="990" spans="2:9" s="1999" customFormat="1">
      <c r="B990" s="1916" t="s">
        <v>1728</v>
      </c>
      <c r="C990" s="1916">
        <v>2</v>
      </c>
      <c r="D990" s="1916" t="s">
        <v>1691</v>
      </c>
      <c r="E990" s="1916">
        <v>33.409999999999997</v>
      </c>
      <c r="F990" s="1916">
        <f t="shared" si="13"/>
        <v>66.819999999999993</v>
      </c>
      <c r="G990" s="3137"/>
      <c r="H990" s="3137"/>
      <c r="I990" s="3137"/>
    </row>
    <row r="991" spans="2:9" s="1999" customFormat="1">
      <c r="B991" s="1916" t="s">
        <v>1729</v>
      </c>
      <c r="C991" s="1916">
        <v>2</v>
      </c>
      <c r="D991" s="1916" t="s">
        <v>1691</v>
      </c>
      <c r="E991" s="1916">
        <v>4.6399999999999997</v>
      </c>
      <c r="F991" s="1916">
        <f t="shared" si="13"/>
        <v>9.2799999999999994</v>
      </c>
      <c r="G991" s="3137"/>
      <c r="H991" s="3137"/>
      <c r="I991" s="3137"/>
    </row>
    <row r="992" spans="2:9" s="1999" customFormat="1">
      <c r="B992" s="1916" t="s">
        <v>1730</v>
      </c>
      <c r="C992" s="1916">
        <v>2</v>
      </c>
      <c r="D992" s="1916" t="s">
        <v>1691</v>
      </c>
      <c r="E992" s="1916">
        <v>34.799999999999997</v>
      </c>
      <c r="F992" s="1916">
        <f t="shared" si="13"/>
        <v>69.599999999999994</v>
      </c>
      <c r="G992" s="3137"/>
      <c r="H992" s="3137"/>
      <c r="I992" s="3137"/>
    </row>
    <row r="993" spans="2:9" s="1999" customFormat="1">
      <c r="B993" s="1916" t="s">
        <v>1731</v>
      </c>
      <c r="C993" s="1916">
        <v>0.1</v>
      </c>
      <c r="D993" s="1916" t="s">
        <v>1732</v>
      </c>
      <c r="E993" s="1916">
        <v>15</v>
      </c>
      <c r="F993" s="1916">
        <f t="shared" si="13"/>
        <v>1.5</v>
      </c>
      <c r="G993" s="3137"/>
      <c r="H993" s="3137"/>
      <c r="I993" s="3137"/>
    </row>
    <row r="994" spans="2:9" s="1999" customFormat="1">
      <c r="B994" s="1916" t="s">
        <v>1742</v>
      </c>
      <c r="C994" s="1916">
        <v>1</v>
      </c>
      <c r="D994" s="1916" t="s">
        <v>1691</v>
      </c>
      <c r="E994" s="1916">
        <v>300</v>
      </c>
      <c r="F994" s="1916">
        <f t="shared" si="13"/>
        <v>300</v>
      </c>
      <c r="G994" s="3137"/>
      <c r="H994" s="3137"/>
      <c r="I994" s="3137"/>
    </row>
    <row r="995" spans="2:9" s="1999" customFormat="1">
      <c r="B995" s="1916"/>
      <c r="C995" s="1916"/>
      <c r="D995" s="1916"/>
      <c r="E995" s="1916" t="s">
        <v>1039</v>
      </c>
      <c r="F995" s="1916">
        <f>ROUND(SUM(F984:F994),2)</f>
        <v>1707.84</v>
      </c>
      <c r="G995" s="3137"/>
      <c r="H995" s="3137"/>
      <c r="I995" s="3137"/>
    </row>
    <row r="996" spans="2:9" s="1999" customFormat="1">
      <c r="B996" s="1916"/>
      <c r="C996" s="1916"/>
      <c r="D996" s="1916"/>
      <c r="E996" s="1916"/>
      <c r="F996" s="1916"/>
      <c r="G996" s="3137"/>
      <c r="H996" s="3137"/>
      <c r="I996" s="3137"/>
    </row>
    <row r="997" spans="2:9" s="1999" customFormat="1">
      <c r="B997" s="1916" t="s">
        <v>1743</v>
      </c>
      <c r="C997" s="1916"/>
      <c r="D997" s="1119"/>
      <c r="E997" s="1916"/>
      <c r="F997" s="1916"/>
      <c r="G997" s="3137"/>
      <c r="H997" s="3137"/>
      <c r="I997" s="3137"/>
    </row>
    <row r="998" spans="2:9" s="1999" customFormat="1">
      <c r="B998" s="1916" t="s">
        <v>3502</v>
      </c>
      <c r="C998" s="1916">
        <v>1</v>
      </c>
      <c r="D998" s="1916" t="s">
        <v>1691</v>
      </c>
      <c r="E998" s="1916">
        <v>95.7</v>
      </c>
      <c r="F998" s="1916">
        <f>ROUND(C998*E998,2)</f>
        <v>95.7</v>
      </c>
      <c r="G998" s="3137"/>
      <c r="H998" s="3137"/>
      <c r="I998" s="3137"/>
    </row>
    <row r="999" spans="2:9" s="1999" customFormat="1">
      <c r="B999" s="1916" t="s">
        <v>1744</v>
      </c>
      <c r="C999" s="1916">
        <v>1</v>
      </c>
      <c r="D999" s="1916" t="s">
        <v>1691</v>
      </c>
      <c r="E999" s="1916">
        <v>33.06</v>
      </c>
      <c r="F999" s="1916">
        <f>ROUND(C999*E999,2)</f>
        <v>33.06</v>
      </c>
      <c r="G999" s="3137"/>
      <c r="H999" s="3137"/>
      <c r="I999" s="3137"/>
    </row>
    <row r="1000" spans="2:9" s="1999" customFormat="1">
      <c r="B1000" s="1916" t="s">
        <v>3505</v>
      </c>
      <c r="C1000" s="1916">
        <v>0.05</v>
      </c>
      <c r="D1000" s="1916" t="s">
        <v>1745</v>
      </c>
      <c r="E1000" s="1916">
        <v>374.68</v>
      </c>
      <c r="F1000" s="1916">
        <f>ROUND(C1000*E1000,2)</f>
        <v>18.73</v>
      </c>
      <c r="G1000" s="3137"/>
      <c r="H1000" s="3137"/>
      <c r="I1000" s="3137"/>
    </row>
    <row r="1001" spans="2:9" s="1999" customFormat="1">
      <c r="B1001" s="1916" t="s">
        <v>1746</v>
      </c>
      <c r="C1001" s="1916">
        <v>1</v>
      </c>
      <c r="D1001" s="1916" t="s">
        <v>1691</v>
      </c>
      <c r="E1001" s="1916">
        <v>75</v>
      </c>
      <c r="F1001" s="1916">
        <f>ROUND(C1001*E1001,2)</f>
        <v>75</v>
      </c>
      <c r="G1001" s="3137"/>
      <c r="H1001" s="3137"/>
      <c r="I1001" s="3137"/>
    </row>
    <row r="1002" spans="2:9" s="1999" customFormat="1">
      <c r="B1002" s="1916"/>
      <c r="C1002" s="1916"/>
      <c r="D1002" s="1916"/>
      <c r="E1002" s="1916" t="s">
        <v>1039</v>
      </c>
      <c r="F1002" s="1916">
        <f>ROUND(SUM(F998:F1001),2)</f>
        <v>222.49</v>
      </c>
      <c r="G1002" s="3137"/>
      <c r="H1002" s="3137"/>
      <c r="I1002" s="3137"/>
    </row>
    <row r="1003" spans="2:9" s="1999" customFormat="1">
      <c r="B1003" s="1916"/>
      <c r="C1003" s="1916"/>
      <c r="D1003" s="1916"/>
      <c r="E1003" s="1916"/>
      <c r="F1003" s="1916"/>
      <c r="G1003" s="3137"/>
      <c r="H1003" s="3137"/>
      <c r="I1003" s="3137"/>
    </row>
    <row r="1004" spans="2:9" s="1999" customFormat="1">
      <c r="B1004" s="1916" t="s">
        <v>1747</v>
      </c>
      <c r="C1004" s="1916"/>
      <c r="D1004" s="1119"/>
      <c r="E1004" s="1916"/>
      <c r="F1004" s="1916"/>
      <c r="G1004" s="3137"/>
      <c r="H1004" s="3137"/>
      <c r="I1004" s="3137"/>
    </row>
    <row r="1005" spans="2:9" s="1999" customFormat="1">
      <c r="B1005" s="1916" t="s">
        <v>1748</v>
      </c>
      <c r="C1005" s="1916">
        <v>1</v>
      </c>
      <c r="D1005" s="1916" t="s">
        <v>1691</v>
      </c>
      <c r="E1005" s="1916">
        <v>2580.0100000000002</v>
      </c>
      <c r="F1005" s="1916">
        <f t="shared" ref="F1005:F1017" si="14">ROUND(C1005*E1005,2)</f>
        <v>2580.0100000000002</v>
      </c>
      <c r="G1005" s="3137"/>
      <c r="H1005" s="3137"/>
      <c r="I1005" s="3137"/>
    </row>
    <row r="1006" spans="2:9" s="1999" customFormat="1">
      <c r="B1006" s="1916" t="s">
        <v>1749</v>
      </c>
      <c r="C1006" s="1916">
        <v>1</v>
      </c>
      <c r="D1006" s="1916" t="s">
        <v>1691</v>
      </c>
      <c r="E1006" s="1916">
        <v>600</v>
      </c>
      <c r="F1006" s="1916">
        <f t="shared" si="14"/>
        <v>600</v>
      </c>
      <c r="G1006" s="3137"/>
      <c r="H1006" s="3137"/>
      <c r="I1006" s="3137"/>
    </row>
    <row r="1007" spans="2:9" s="1999" customFormat="1">
      <c r="B1007" s="1916" t="s">
        <v>1750</v>
      </c>
      <c r="C1007" s="1916">
        <v>2</v>
      </c>
      <c r="D1007" s="1916" t="s">
        <v>1691</v>
      </c>
      <c r="E1007" s="1916">
        <v>92.29</v>
      </c>
      <c r="F1007" s="1916">
        <f t="shared" si="14"/>
        <v>184.58</v>
      </c>
      <c r="G1007" s="3137"/>
      <c r="H1007" s="3137"/>
      <c r="I1007" s="3137"/>
    </row>
    <row r="1008" spans="2:9" s="1999" customFormat="1">
      <c r="B1008" s="1916" t="s">
        <v>3503</v>
      </c>
      <c r="C1008" s="1916">
        <v>1</v>
      </c>
      <c r="D1008" s="1916" t="s">
        <v>1691</v>
      </c>
      <c r="E1008" s="1916">
        <v>76.56</v>
      </c>
      <c r="F1008" s="1916">
        <f t="shared" si="14"/>
        <v>76.56</v>
      </c>
      <c r="G1008" s="3137"/>
      <c r="H1008" s="3137"/>
      <c r="I1008" s="3137"/>
    </row>
    <row r="1009" spans="2:9" s="1999" customFormat="1">
      <c r="B1009" s="1916" t="s">
        <v>3506</v>
      </c>
      <c r="C1009" s="1916">
        <v>1</v>
      </c>
      <c r="D1009" s="1916" t="s">
        <v>1691</v>
      </c>
      <c r="E1009" s="1916">
        <v>370.04</v>
      </c>
      <c r="F1009" s="1916">
        <f t="shared" si="14"/>
        <v>370.04</v>
      </c>
      <c r="G1009" s="3137"/>
      <c r="H1009" s="3137"/>
      <c r="I1009" s="3137"/>
    </row>
    <row r="1010" spans="2:9" s="1999" customFormat="1">
      <c r="B1010" s="1916" t="s">
        <v>1751</v>
      </c>
      <c r="C1010" s="1916">
        <v>1</v>
      </c>
      <c r="D1010" s="1916" t="s">
        <v>1691</v>
      </c>
      <c r="E1010" s="1916">
        <v>300</v>
      </c>
      <c r="F1010" s="1916">
        <f t="shared" si="14"/>
        <v>300</v>
      </c>
      <c r="G1010" s="3137"/>
      <c r="H1010" s="3137"/>
      <c r="I1010" s="3137"/>
    </row>
    <row r="1011" spans="2:9" s="1999" customFormat="1">
      <c r="B1011" s="1916" t="s">
        <v>1725</v>
      </c>
      <c r="C1011" s="1916">
        <v>0.03</v>
      </c>
      <c r="D1011" s="1916" t="s">
        <v>1726</v>
      </c>
      <c r="E1011" s="1916">
        <v>374.68</v>
      </c>
      <c r="F1011" s="1916">
        <f t="shared" si="14"/>
        <v>11.24</v>
      </c>
      <c r="G1011" s="3137"/>
      <c r="H1011" s="3137"/>
      <c r="I1011" s="3137"/>
    </row>
    <row r="1012" spans="2:9" s="1999" customFormat="1">
      <c r="B1012" s="1916" t="s">
        <v>1727</v>
      </c>
      <c r="C1012" s="1916">
        <v>2</v>
      </c>
      <c r="D1012" s="1916" t="s">
        <v>1691</v>
      </c>
      <c r="E1012" s="1916">
        <v>92.8</v>
      </c>
      <c r="F1012" s="1916">
        <f t="shared" si="14"/>
        <v>185.6</v>
      </c>
      <c r="G1012" s="3137"/>
      <c r="H1012" s="3137"/>
      <c r="I1012" s="3137"/>
    </row>
    <row r="1013" spans="2:9" s="1999" customFormat="1">
      <c r="B1013" s="1916" t="s">
        <v>1728</v>
      </c>
      <c r="C1013" s="1916">
        <v>2</v>
      </c>
      <c r="D1013" s="1916" t="s">
        <v>1691</v>
      </c>
      <c r="E1013" s="1916">
        <v>33.409999999999997</v>
      </c>
      <c r="F1013" s="1916">
        <f t="shared" si="14"/>
        <v>66.819999999999993</v>
      </c>
      <c r="G1013" s="3137"/>
      <c r="H1013" s="3137"/>
      <c r="I1013" s="3137"/>
    </row>
    <row r="1014" spans="2:9" s="1999" customFormat="1">
      <c r="B1014" s="1916" t="s">
        <v>1729</v>
      </c>
      <c r="C1014" s="1916">
        <v>2</v>
      </c>
      <c r="D1014" s="1916" t="s">
        <v>1691</v>
      </c>
      <c r="E1014" s="1916">
        <v>4.6399999999999997</v>
      </c>
      <c r="F1014" s="1916">
        <f t="shared" si="14"/>
        <v>9.2799999999999994</v>
      </c>
      <c r="G1014" s="3137"/>
      <c r="H1014" s="3137"/>
      <c r="I1014" s="3137"/>
    </row>
    <row r="1015" spans="2:9" s="1999" customFormat="1">
      <c r="B1015" s="1916" t="s">
        <v>1730</v>
      </c>
      <c r="C1015" s="1916">
        <v>2</v>
      </c>
      <c r="D1015" s="1916" t="s">
        <v>1691</v>
      </c>
      <c r="E1015" s="1916">
        <v>34.799999999999997</v>
      </c>
      <c r="F1015" s="1916">
        <f t="shared" si="14"/>
        <v>69.599999999999994</v>
      </c>
      <c r="G1015" s="3137"/>
      <c r="H1015" s="3137"/>
      <c r="I1015" s="3137"/>
    </row>
    <row r="1016" spans="2:9" s="1999" customFormat="1">
      <c r="B1016" s="1916" t="s">
        <v>1731</v>
      </c>
      <c r="C1016" s="1916">
        <v>0.1</v>
      </c>
      <c r="D1016" s="1916" t="s">
        <v>1732</v>
      </c>
      <c r="E1016" s="1916">
        <v>15</v>
      </c>
      <c r="F1016" s="1916">
        <f t="shared" si="14"/>
        <v>1.5</v>
      </c>
      <c r="G1016" s="3137"/>
      <c r="H1016" s="3137"/>
      <c r="I1016" s="3137"/>
    </row>
    <row r="1017" spans="2:9" s="1999" customFormat="1">
      <c r="B1017" s="1916" t="s">
        <v>1752</v>
      </c>
      <c r="C1017" s="1916">
        <v>1</v>
      </c>
      <c r="D1017" s="1916" t="s">
        <v>1691</v>
      </c>
      <c r="E1017" s="1916">
        <v>350</v>
      </c>
      <c r="F1017" s="1916">
        <f t="shared" si="14"/>
        <v>350</v>
      </c>
      <c r="G1017" s="3137"/>
      <c r="H1017" s="3137"/>
      <c r="I1017" s="3137"/>
    </row>
    <row r="1018" spans="2:9" s="1999" customFormat="1">
      <c r="B1018" s="1916"/>
      <c r="C1018" s="1916"/>
      <c r="D1018" s="1916"/>
      <c r="E1018" s="1916" t="s">
        <v>1039</v>
      </c>
      <c r="F1018" s="1916">
        <f>ROUND(SUM(F1005:F1017),2)</f>
        <v>4805.2299999999996</v>
      </c>
      <c r="G1018" s="3137"/>
      <c r="H1018" s="3137"/>
      <c r="I1018" s="3137"/>
    </row>
    <row r="1019" spans="2:9" s="1999" customFormat="1">
      <c r="B1019" s="1916"/>
      <c r="C1019" s="1916"/>
      <c r="D1019" s="1916"/>
      <c r="E1019" s="1916"/>
      <c r="F1019" s="1916"/>
      <c r="G1019" s="3137"/>
      <c r="H1019" s="3137"/>
      <c r="I1019" s="3137"/>
    </row>
    <row r="1020" spans="2:9" s="1999" customFormat="1" ht="13.5" thickBot="1">
      <c r="B1020" s="1916" t="s">
        <v>1753</v>
      </c>
      <c r="C1020" s="1916"/>
      <c r="D1020" s="1916"/>
      <c r="E1020" s="1916"/>
      <c r="F1020" s="1916"/>
      <c r="G1020" s="3137"/>
      <c r="H1020" s="3137"/>
      <c r="I1020" s="3137"/>
    </row>
    <row r="1021" spans="2:9" s="1999" customFormat="1" ht="13.5" thickTop="1">
      <c r="B1021" s="1580" t="s">
        <v>1754</v>
      </c>
      <c r="C1021" s="1916">
        <v>1.85</v>
      </c>
      <c r="D1021" s="1916" t="s">
        <v>11</v>
      </c>
      <c r="E1021" s="1916">
        <f>E728</f>
        <v>1500</v>
      </c>
      <c r="F1021" s="1916">
        <f>C1021*E1021</f>
        <v>2775</v>
      </c>
      <c r="G1021" s="3137"/>
      <c r="H1021" s="3137"/>
      <c r="I1021" s="3137"/>
    </row>
    <row r="1022" spans="2:9" s="1999" customFormat="1">
      <c r="B1022" s="3377" t="s">
        <v>1755</v>
      </c>
      <c r="C1022" s="1916">
        <v>8.8699999999999992</v>
      </c>
      <c r="D1022" s="1916" t="s">
        <v>11</v>
      </c>
      <c r="E1022" s="1916">
        <v>250</v>
      </c>
      <c r="F1022" s="1916">
        <f>C1022*E1022</f>
        <v>2217.5</v>
      </c>
      <c r="G1022" s="3137"/>
      <c r="H1022" s="3137"/>
      <c r="I1022" s="3137"/>
    </row>
    <row r="1023" spans="2:9" s="1999" customFormat="1">
      <c r="B1023" s="3377" t="s">
        <v>1756</v>
      </c>
      <c r="C1023" s="1916">
        <v>1</v>
      </c>
      <c r="D1023" s="1916" t="s">
        <v>3</v>
      </c>
      <c r="E1023" s="1916">
        <v>200</v>
      </c>
      <c r="F1023" s="1916">
        <f>C1023*E1023</f>
        <v>200</v>
      </c>
      <c r="G1023" s="3137"/>
      <c r="H1023" s="3137"/>
      <c r="I1023" s="3137"/>
    </row>
    <row r="1024" spans="2:9" s="1999" customFormat="1" ht="13.5" thickBot="1">
      <c r="B1024" s="3378"/>
      <c r="C1024" s="1916"/>
      <c r="D1024" s="1916" t="s">
        <v>1037</v>
      </c>
      <c r="E1024" s="1916" t="s">
        <v>1038</v>
      </c>
      <c r="F1024" s="1916">
        <f>ROUND(SUM(F1021:F1023),2)</f>
        <v>5192.5</v>
      </c>
      <c r="G1024" s="3137"/>
      <c r="H1024" s="3137"/>
      <c r="I1024" s="3137"/>
    </row>
    <row r="1025" spans="2:9" s="1999" customFormat="1" ht="13.5" thickTop="1">
      <c r="B1025" s="1916"/>
      <c r="C1025" s="1916"/>
      <c r="D1025" s="1916"/>
      <c r="E1025" s="1916"/>
      <c r="F1025" s="1916"/>
      <c r="G1025" s="3137"/>
      <c r="H1025" s="3137"/>
      <c r="I1025" s="3137"/>
    </row>
    <row r="1026" spans="2:9" s="1999" customFormat="1" ht="13.5" thickBot="1">
      <c r="B1026" s="1916" t="s">
        <v>1757</v>
      </c>
      <c r="C1026" s="1916"/>
      <c r="D1026" s="1916"/>
      <c r="E1026" s="1916"/>
      <c r="F1026" s="1916"/>
      <c r="G1026" s="3137"/>
      <c r="H1026" s="3137"/>
      <c r="I1026" s="3137"/>
    </row>
    <row r="1027" spans="2:9" s="1999" customFormat="1" ht="13.5" thickTop="1">
      <c r="B1027" s="1580" t="s">
        <v>1064</v>
      </c>
      <c r="C1027" s="1916">
        <v>0.1</v>
      </c>
      <c r="D1027" s="1916" t="s">
        <v>2</v>
      </c>
      <c r="E1027" s="1916">
        <f>E694</f>
        <v>70.16</v>
      </c>
      <c r="F1027" s="1916">
        <f t="shared" ref="F1027:F1033" si="15">C1027*E1027</f>
        <v>7.016</v>
      </c>
      <c r="G1027" s="3137"/>
      <c r="H1027" s="3137"/>
      <c r="I1027" s="3137"/>
    </row>
    <row r="1028" spans="2:9" s="1999" customFormat="1">
      <c r="B1028" s="3377" t="s">
        <v>1758</v>
      </c>
      <c r="C1028" s="1916">
        <v>1.68</v>
      </c>
      <c r="D1028" s="1916" t="s">
        <v>11</v>
      </c>
      <c r="E1028" s="1916">
        <f>E728</f>
        <v>1500</v>
      </c>
      <c r="F1028" s="1916">
        <f t="shared" si="15"/>
        <v>2520</v>
      </c>
      <c r="G1028" s="3137"/>
      <c r="H1028" s="3137"/>
      <c r="I1028" s="3137"/>
    </row>
    <row r="1029" spans="2:9" s="1999" customFormat="1">
      <c r="B1029" s="3377" t="s">
        <v>1043</v>
      </c>
      <c r="C1029" s="1916">
        <v>0.18</v>
      </c>
      <c r="D1029" s="1916" t="s">
        <v>126</v>
      </c>
      <c r="E1029" s="1916">
        <f>E678</f>
        <v>0</v>
      </c>
      <c r="F1029" s="1916">
        <f t="shared" si="15"/>
        <v>0</v>
      </c>
      <c r="G1029" s="3137"/>
      <c r="H1029" s="3137"/>
      <c r="I1029" s="3137"/>
    </row>
    <row r="1030" spans="2:9" s="1999" customFormat="1">
      <c r="B1030" s="3377" t="s">
        <v>377</v>
      </c>
      <c r="C1030" s="1916">
        <v>1.65</v>
      </c>
      <c r="D1030" s="1916" t="s">
        <v>11</v>
      </c>
      <c r="E1030" s="1916" t="str">
        <f>E637</f>
        <v>R.D.$</v>
      </c>
      <c r="F1030" s="1916" t="e">
        <f t="shared" si="15"/>
        <v>#VALUE!</v>
      </c>
      <c r="G1030" s="3137"/>
      <c r="H1030" s="3137"/>
      <c r="I1030" s="3137"/>
    </row>
    <row r="1031" spans="2:9" s="1999" customFormat="1">
      <c r="B1031" s="3377" t="s">
        <v>1759</v>
      </c>
      <c r="C1031" s="1916">
        <v>1</v>
      </c>
      <c r="D1031" s="1916" t="s">
        <v>3</v>
      </c>
      <c r="E1031" s="1916">
        <v>100</v>
      </c>
      <c r="F1031" s="3379">
        <f t="shared" si="15"/>
        <v>100</v>
      </c>
      <c r="G1031" s="3137"/>
      <c r="H1031" s="3137"/>
      <c r="I1031" s="3137"/>
    </row>
    <row r="1032" spans="2:9" s="1999" customFormat="1">
      <c r="B1032" s="3377" t="s">
        <v>1760</v>
      </c>
      <c r="C1032" s="1916">
        <v>0.39</v>
      </c>
      <c r="D1032" s="1916" t="s">
        <v>2</v>
      </c>
      <c r="E1032" s="1916">
        <v>85</v>
      </c>
      <c r="F1032" s="3379">
        <f t="shared" si="15"/>
        <v>33.15</v>
      </c>
      <c r="G1032" s="3137"/>
      <c r="H1032" s="3137"/>
      <c r="I1032" s="3137"/>
    </row>
    <row r="1033" spans="2:9" s="1999" customFormat="1">
      <c r="B1033" s="3377" t="s">
        <v>1102</v>
      </c>
      <c r="C1033" s="1916">
        <v>0.47</v>
      </c>
      <c r="D1033" s="1916" t="s">
        <v>2</v>
      </c>
      <c r="E1033" s="1916">
        <v>45</v>
      </c>
      <c r="F1033" s="3379">
        <f t="shared" si="15"/>
        <v>21.15</v>
      </c>
      <c r="G1033" s="3137"/>
      <c r="H1033" s="3137"/>
      <c r="I1033" s="3137"/>
    </row>
    <row r="1034" spans="2:9" s="1999" customFormat="1" ht="13.5" thickBot="1">
      <c r="B1034" s="3378"/>
      <c r="C1034" s="1916"/>
      <c r="D1034" s="1916" t="s">
        <v>1037</v>
      </c>
      <c r="E1034" s="1916" t="s">
        <v>1038</v>
      </c>
      <c r="F1034" s="1916" t="e">
        <f>ROUND(SUM(F1027:F1033),2)</f>
        <v>#VALUE!</v>
      </c>
      <c r="G1034" s="3137"/>
      <c r="H1034" s="3137"/>
      <c r="I1034" s="3137"/>
    </row>
    <row r="1035" spans="2:9" s="1999" customFormat="1" ht="13.5" thickTop="1">
      <c r="B1035" s="1916"/>
      <c r="C1035" s="1916"/>
      <c r="D1035" s="1916"/>
      <c r="E1035" s="1916"/>
      <c r="F1035" s="1916"/>
      <c r="G1035" s="3137"/>
      <c r="H1035" s="3137"/>
      <c r="I1035" s="3137"/>
    </row>
    <row r="1036" spans="2:9" s="1999" customFormat="1" ht="13.5" thickBot="1">
      <c r="B1036" s="1916" t="s">
        <v>1761</v>
      </c>
      <c r="C1036" s="1916"/>
      <c r="D1036" s="1916"/>
      <c r="E1036" s="1916"/>
      <c r="F1036" s="1916"/>
      <c r="G1036" s="3137"/>
      <c r="H1036" s="3137"/>
      <c r="I1036" s="3137"/>
    </row>
    <row r="1037" spans="2:9" s="1999" customFormat="1" ht="13.5" thickTop="1">
      <c r="B1037" s="1580" t="s">
        <v>1762</v>
      </c>
      <c r="C1037" s="1916">
        <v>1.48</v>
      </c>
      <c r="D1037" s="1916" t="s">
        <v>2</v>
      </c>
      <c r="E1037" s="1916" t="e">
        <f>#REF!</f>
        <v>#REF!</v>
      </c>
      <c r="F1037" s="1916" t="e">
        <f t="shared" ref="F1037:F1045" si="16">C1037*E1037</f>
        <v>#REF!</v>
      </c>
      <c r="G1037" s="3137"/>
      <c r="H1037" s="3137"/>
      <c r="I1037" s="3137"/>
    </row>
    <row r="1038" spans="2:9" s="1999" customFormat="1">
      <c r="B1038" s="3377" t="s">
        <v>1763</v>
      </c>
      <c r="C1038" s="1916">
        <v>0.7</v>
      </c>
      <c r="D1038" s="1916" t="s">
        <v>11</v>
      </c>
      <c r="E1038" s="1916" t="e">
        <f>E1037</f>
        <v>#REF!</v>
      </c>
      <c r="F1038" s="1916" t="e">
        <f t="shared" si="16"/>
        <v>#REF!</v>
      </c>
      <c r="G1038" s="3137"/>
      <c r="H1038" s="3137"/>
      <c r="I1038" s="3137"/>
    </row>
    <row r="1039" spans="2:9" s="1999" customFormat="1">
      <c r="B1039" s="3377" t="s">
        <v>1764</v>
      </c>
      <c r="C1039" s="1916">
        <v>17.28</v>
      </c>
      <c r="D1039" s="1916" t="s">
        <v>11</v>
      </c>
      <c r="E1039" s="1916" t="str">
        <f>E717</f>
        <v>PRECIO</v>
      </c>
      <c r="F1039" s="1916" t="e">
        <f t="shared" si="16"/>
        <v>#VALUE!</v>
      </c>
      <c r="G1039" s="3137"/>
      <c r="H1039" s="3137"/>
      <c r="I1039" s="3137"/>
    </row>
    <row r="1040" spans="2:9" s="1999" customFormat="1">
      <c r="B1040" s="3377" t="s">
        <v>1043</v>
      </c>
      <c r="C1040" s="1916">
        <v>3.53</v>
      </c>
      <c r="D1040" s="1916" t="s">
        <v>126</v>
      </c>
      <c r="E1040" s="1916">
        <f>E678</f>
        <v>0</v>
      </c>
      <c r="F1040" s="1916">
        <f t="shared" si="16"/>
        <v>0</v>
      </c>
      <c r="G1040" s="3137"/>
      <c r="H1040" s="3137"/>
      <c r="I1040" s="3137"/>
    </row>
    <row r="1041" spans="2:9" s="1999" customFormat="1">
      <c r="B1041" s="3377" t="s">
        <v>377</v>
      </c>
      <c r="C1041" s="1916">
        <v>22.1</v>
      </c>
      <c r="D1041" s="1916" t="s">
        <v>11</v>
      </c>
      <c r="E1041" s="1916" t="str">
        <f>E1030</f>
        <v>R.D.$</v>
      </c>
      <c r="F1041" s="1916" t="e">
        <f t="shared" si="16"/>
        <v>#VALUE!</v>
      </c>
      <c r="G1041" s="3137"/>
      <c r="H1041" s="3137"/>
      <c r="I1041" s="3137"/>
    </row>
    <row r="1042" spans="2:9" s="1999" customFormat="1">
      <c r="B1042" s="3377" t="s">
        <v>1765</v>
      </c>
      <c r="C1042" s="1916">
        <v>13.32</v>
      </c>
      <c r="D1042" s="1916" t="s">
        <v>2</v>
      </c>
      <c r="E1042" s="1916">
        <v>85</v>
      </c>
      <c r="F1042" s="1916">
        <f t="shared" si="16"/>
        <v>1132.2</v>
      </c>
      <c r="G1042" s="3137"/>
      <c r="H1042" s="3137"/>
      <c r="I1042" s="3137"/>
    </row>
    <row r="1043" spans="2:9" s="1999" customFormat="1">
      <c r="B1043" s="3377" t="s">
        <v>1766</v>
      </c>
      <c r="C1043" s="1916">
        <v>15.98</v>
      </c>
      <c r="D1043" s="1916" t="s">
        <v>2</v>
      </c>
      <c r="E1043" s="1916">
        <v>45</v>
      </c>
      <c r="F1043" s="1916">
        <f t="shared" si="16"/>
        <v>719.1</v>
      </c>
      <c r="G1043" s="3137"/>
      <c r="H1043" s="3137"/>
      <c r="I1043" s="3137"/>
    </row>
    <row r="1044" spans="2:9" s="1999" customFormat="1">
      <c r="B1044" s="3377" t="s">
        <v>1767</v>
      </c>
      <c r="C1044" s="1916">
        <v>1</v>
      </c>
      <c r="D1044" s="1916" t="s">
        <v>3</v>
      </c>
      <c r="E1044" s="1916">
        <v>1600</v>
      </c>
      <c r="F1044" s="1916">
        <f t="shared" si="16"/>
        <v>1600</v>
      </c>
      <c r="G1044" s="3137"/>
      <c r="H1044" s="3137"/>
      <c r="I1044" s="3137"/>
    </row>
    <row r="1045" spans="2:9" s="1999" customFormat="1">
      <c r="B1045" s="3377" t="s">
        <v>697</v>
      </c>
      <c r="C1045" s="1916">
        <v>1</v>
      </c>
      <c r="D1045" s="1916" t="s">
        <v>3</v>
      </c>
      <c r="E1045" s="1916">
        <v>250</v>
      </c>
      <c r="F1045" s="1916">
        <f t="shared" si="16"/>
        <v>250</v>
      </c>
      <c r="G1045" s="3137"/>
      <c r="H1045" s="3137"/>
      <c r="I1045" s="3137"/>
    </row>
    <row r="1046" spans="2:9" s="1999" customFormat="1" ht="13.5" thickBot="1">
      <c r="B1046" s="3378"/>
      <c r="C1046" s="1916"/>
      <c r="D1046" s="1916" t="s">
        <v>1037</v>
      </c>
      <c r="E1046" s="1916" t="s">
        <v>1038</v>
      </c>
      <c r="F1046" s="3380" t="e">
        <f>ROUND(SUM(F1037:F1045),2)</f>
        <v>#REF!</v>
      </c>
      <c r="G1046" s="3137"/>
      <c r="H1046" s="3137"/>
      <c r="I1046" s="3137"/>
    </row>
    <row r="1047" spans="2:9" s="1999" customFormat="1" ht="13.5" thickTop="1">
      <c r="B1047" s="1916"/>
      <c r="C1047" s="1916"/>
      <c r="D1047" s="1916"/>
      <c r="E1047" s="1916"/>
      <c r="F1047" s="1916"/>
      <c r="G1047" s="3137"/>
      <c r="H1047" s="3137"/>
      <c r="I1047" s="3137"/>
    </row>
    <row r="1048" spans="2:9" s="1999" customFormat="1" ht="13.5" thickBot="1">
      <c r="B1048" s="1916" t="s">
        <v>900</v>
      </c>
      <c r="C1048" s="1916"/>
      <c r="D1048" s="1916"/>
      <c r="E1048" s="1916"/>
      <c r="F1048" s="1916"/>
      <c r="G1048" s="3137"/>
      <c r="H1048" s="3137"/>
      <c r="I1048" s="3137"/>
    </row>
    <row r="1049" spans="2:9" s="1999" customFormat="1" ht="13.5" thickTop="1">
      <c r="B1049" s="1580" t="s">
        <v>1064</v>
      </c>
      <c r="C1049" s="1916">
        <v>0.3</v>
      </c>
      <c r="D1049" s="1916" t="s">
        <v>2</v>
      </c>
      <c r="E1049" s="1916">
        <f>E694</f>
        <v>70.16</v>
      </c>
      <c r="F1049" s="1916">
        <f t="shared" ref="F1049:F1055" si="17">C1049*E1049</f>
        <v>21.047999999999998</v>
      </c>
      <c r="G1049" s="3137"/>
      <c r="H1049" s="3137"/>
      <c r="I1049" s="3137"/>
    </row>
    <row r="1050" spans="2:9" s="1999" customFormat="1">
      <c r="B1050" s="3377" t="s">
        <v>1764</v>
      </c>
      <c r="C1050" s="1916">
        <v>4</v>
      </c>
      <c r="D1050" s="1916" t="s">
        <v>11</v>
      </c>
      <c r="E1050" s="1916" t="str">
        <f>E717</f>
        <v>PRECIO</v>
      </c>
      <c r="F1050" s="1916">
        <f>+F552</f>
        <v>920.16</v>
      </c>
      <c r="G1050" s="3137"/>
      <c r="H1050" s="3137"/>
      <c r="I1050" s="3137"/>
    </row>
    <row r="1051" spans="2:9" s="1999" customFormat="1">
      <c r="B1051" s="3377" t="s">
        <v>1768</v>
      </c>
      <c r="C1051" s="1916">
        <v>0.25</v>
      </c>
      <c r="D1051" s="1916" t="s">
        <v>126</v>
      </c>
      <c r="E1051" s="1916">
        <f>+F62</f>
        <v>2913</v>
      </c>
      <c r="F1051" s="1916">
        <f>C1051*E1051</f>
        <v>728.25</v>
      </c>
      <c r="G1051" s="3137"/>
      <c r="H1051" s="3137"/>
      <c r="I1051" s="3137"/>
    </row>
    <row r="1052" spans="2:9" s="1999" customFormat="1">
      <c r="B1052" s="1916" t="s">
        <v>1769</v>
      </c>
      <c r="C1052" s="1916">
        <v>4.12</v>
      </c>
      <c r="D1052" s="1916" t="s">
        <v>11</v>
      </c>
      <c r="E1052" s="1916">
        <f>+D254</f>
        <v>295.48</v>
      </c>
      <c r="F1052" s="1916">
        <f t="shared" si="17"/>
        <v>1217.3776</v>
      </c>
      <c r="G1052" s="3137"/>
      <c r="H1052" s="3137"/>
      <c r="I1052" s="3137"/>
    </row>
    <row r="1053" spans="2:9" s="1999" customFormat="1">
      <c r="B1053" s="3377" t="s">
        <v>1760</v>
      </c>
      <c r="C1053" s="1916">
        <v>1.58</v>
      </c>
      <c r="D1053" s="1916" t="s">
        <v>2</v>
      </c>
      <c r="E1053" s="1916">
        <v>85</v>
      </c>
      <c r="F1053" s="3379">
        <f t="shared" si="17"/>
        <v>134.30000000000001</v>
      </c>
      <c r="G1053" s="3137"/>
      <c r="H1053" s="3137"/>
      <c r="I1053" s="3137"/>
    </row>
    <row r="1054" spans="2:9" s="1999" customFormat="1">
      <c r="B1054" s="3377" t="s">
        <v>1102</v>
      </c>
      <c r="C1054" s="1916">
        <v>1.9</v>
      </c>
      <c r="D1054" s="1916" t="s">
        <v>2</v>
      </c>
      <c r="E1054" s="1916">
        <v>45</v>
      </c>
      <c r="F1054" s="3379">
        <f t="shared" si="17"/>
        <v>85.5</v>
      </c>
      <c r="G1054" s="3137"/>
      <c r="H1054" s="3137"/>
      <c r="I1054" s="3137"/>
    </row>
    <row r="1055" spans="2:9" s="1999" customFormat="1">
      <c r="B1055" s="3377" t="s">
        <v>697</v>
      </c>
      <c r="C1055" s="1916">
        <v>1</v>
      </c>
      <c r="D1055" s="1916" t="s">
        <v>3</v>
      </c>
      <c r="E1055" s="1916">
        <v>2388.73</v>
      </c>
      <c r="F1055" s="3379">
        <f t="shared" si="17"/>
        <v>2388.73</v>
      </c>
      <c r="G1055" s="3137"/>
      <c r="H1055" s="3137"/>
      <c r="I1055" s="3137"/>
    </row>
    <row r="1056" spans="2:9" s="1999" customFormat="1" ht="13.5" thickBot="1">
      <c r="B1056" s="3378"/>
      <c r="C1056" s="1916"/>
      <c r="D1056" s="1916"/>
      <c r="E1056" s="1916" t="s">
        <v>1038</v>
      </c>
      <c r="F1056" s="3380">
        <f>ROUND(SUM(F1049:F1055),2)</f>
        <v>5495.37</v>
      </c>
      <c r="G1056" s="3137"/>
      <c r="H1056" s="3137"/>
      <c r="I1056" s="3137"/>
    </row>
    <row r="1057" spans="1:6" s="1916" customFormat="1" ht="13.5" thickTop="1"/>
    <row r="1058" spans="1:6" s="1916" customFormat="1">
      <c r="A1058" s="1916" t="s">
        <v>1857</v>
      </c>
    </row>
    <row r="1059" spans="1:6" s="1916" customFormat="1" ht="12.6" customHeight="1"/>
    <row r="1060" spans="1:6" s="1916" customFormat="1" ht="12.6" customHeight="1">
      <c r="B1060" s="1916" t="s">
        <v>1858</v>
      </c>
    </row>
    <row r="1061" spans="1:6" s="1916" customFormat="1" ht="12" customHeight="1">
      <c r="B1061" s="1916" t="s">
        <v>1682</v>
      </c>
      <c r="C1061" s="1916">
        <v>1.05</v>
      </c>
      <c r="D1061" s="1916" t="s">
        <v>2</v>
      </c>
      <c r="E1061" s="1916">
        <f>+F47</f>
        <v>7063.5</v>
      </c>
      <c r="F1061" s="1916">
        <f>C1061*E1061</f>
        <v>7416.6750000000002</v>
      </c>
    </row>
    <row r="1062" spans="1:6" s="1916" customFormat="1" ht="12.6" customHeight="1">
      <c r="B1062" s="1916" t="s">
        <v>1859</v>
      </c>
      <c r="C1062" s="1916">
        <v>0.79</v>
      </c>
      <c r="D1062" s="1916" t="s">
        <v>126</v>
      </c>
      <c r="E1062" s="1916">
        <f>+F62</f>
        <v>2913</v>
      </c>
      <c r="F1062" s="1916">
        <f>C1062*E1062</f>
        <v>2301.27</v>
      </c>
    </row>
    <row r="1063" spans="1:6" s="1916" customFormat="1" ht="12.6" customHeight="1">
      <c r="E1063" s="1916" t="s">
        <v>1031</v>
      </c>
      <c r="F1063" s="1916">
        <f>ROUND(SUM(F1061:F1062),2)</f>
        <v>9717.9500000000007</v>
      </c>
    </row>
    <row r="1064" spans="1:6" s="1916" customFormat="1" ht="12.6" customHeight="1"/>
    <row r="1065" spans="1:6" s="1916" customFormat="1" ht="12.6" customHeight="1">
      <c r="B1065" s="1916" t="s">
        <v>1860</v>
      </c>
    </row>
    <row r="1066" spans="1:6" s="1916" customFormat="1" ht="12.6" customHeight="1">
      <c r="B1066" s="1916" t="s">
        <v>1682</v>
      </c>
      <c r="C1066" s="1916">
        <v>1.05</v>
      </c>
      <c r="D1066" s="1916" t="s">
        <v>2</v>
      </c>
      <c r="E1066" s="1916">
        <f>+F47</f>
        <v>7063.5</v>
      </c>
      <c r="F1066" s="1916">
        <f>C1066*E1066</f>
        <v>7416.6750000000002</v>
      </c>
    </row>
    <row r="1067" spans="1:6" s="1916" customFormat="1" ht="12.6" customHeight="1">
      <c r="B1067" s="1916" t="s">
        <v>272</v>
      </c>
      <c r="C1067" s="1916">
        <v>4.58</v>
      </c>
      <c r="D1067" s="1916" t="s">
        <v>126</v>
      </c>
      <c r="E1067" s="1916">
        <f>E1062</f>
        <v>2913</v>
      </c>
      <c r="F1067" s="1916">
        <f>C1067*E1067</f>
        <v>13341.54</v>
      </c>
    </row>
    <row r="1068" spans="1:6" s="1916" customFormat="1" ht="12.6" customHeight="1">
      <c r="B1068" s="1916" t="s">
        <v>1089</v>
      </c>
      <c r="C1068" s="1916">
        <f>1/(0.2*0.2)</f>
        <v>25</v>
      </c>
      <c r="D1068" s="1916" t="s">
        <v>1</v>
      </c>
      <c r="E1068" s="1916">
        <v>325</v>
      </c>
      <c r="F1068" s="1916">
        <f>C1068*E1068</f>
        <v>8125</v>
      </c>
    </row>
    <row r="1069" spans="1:6" s="1916" customFormat="1" ht="12.6" customHeight="1">
      <c r="E1069" s="1916" t="s">
        <v>1031</v>
      </c>
      <c r="F1069" s="1916">
        <f>ROUND(SUM(F1066:F1068),2)</f>
        <v>28883.22</v>
      </c>
    </row>
    <row r="1070" spans="1:6" s="1916" customFormat="1" ht="12.6" customHeight="1"/>
    <row r="1071" spans="1:6" s="1916" customFormat="1" ht="12.6" customHeight="1">
      <c r="B1071" s="1916" t="s">
        <v>1861</v>
      </c>
    </row>
    <row r="1072" spans="1:6" s="1916" customFormat="1" ht="12.6" customHeight="1">
      <c r="B1072" s="1916" t="s">
        <v>1682</v>
      </c>
      <c r="C1072" s="1916">
        <v>1.05</v>
      </c>
      <c r="D1072" s="1916" t="s">
        <v>2</v>
      </c>
      <c r="E1072" s="1916">
        <f>E1066</f>
        <v>7063.5</v>
      </c>
      <c r="F1072" s="1916">
        <f>C1072*E1072</f>
        <v>7416.6750000000002</v>
      </c>
    </row>
    <row r="1073" spans="2:6" s="1916" customFormat="1" ht="12.6" customHeight="1">
      <c r="B1073" s="1916" t="s">
        <v>1859</v>
      </c>
      <c r="C1073" s="1916">
        <v>11.14</v>
      </c>
      <c r="D1073" s="1916" t="s">
        <v>126</v>
      </c>
      <c r="E1073" s="1916">
        <f>E1067</f>
        <v>2913</v>
      </c>
      <c r="F1073" s="1916">
        <f>C1073*E1073</f>
        <v>32450.82</v>
      </c>
    </row>
    <row r="1074" spans="2:6" s="1916" customFormat="1" ht="12.6" customHeight="1">
      <c r="B1074" s="1916" t="s">
        <v>1862</v>
      </c>
      <c r="C1074" s="1916">
        <f>1/(25*0.2)</f>
        <v>0.2</v>
      </c>
      <c r="D1074" s="1916" t="s">
        <v>1</v>
      </c>
      <c r="E1074" s="1916">
        <v>250</v>
      </c>
      <c r="F1074" s="1916">
        <f>C1074*E1074</f>
        <v>50</v>
      </c>
    </row>
    <row r="1075" spans="2:6" s="1916" customFormat="1" ht="12.6" customHeight="1">
      <c r="E1075" s="1916" t="s">
        <v>1031</v>
      </c>
      <c r="F1075" s="1916">
        <f>ROUND(SUM(F1072:F1074),2)</f>
        <v>39917.5</v>
      </c>
    </row>
    <row r="1076" spans="2:6" s="1916" customFormat="1" ht="12.6" customHeight="1"/>
    <row r="1077" spans="2:6" s="1916" customFormat="1" ht="12.6" customHeight="1">
      <c r="B1077" s="1916" t="s">
        <v>1863</v>
      </c>
    </row>
    <row r="1078" spans="2:6" s="1916" customFormat="1" ht="12.6" customHeight="1">
      <c r="B1078" s="1916" t="s">
        <v>1682</v>
      </c>
      <c r="C1078" s="1916">
        <v>1.05</v>
      </c>
      <c r="D1078" s="1916" t="s">
        <v>2</v>
      </c>
      <c r="E1078" s="1916">
        <f>E1072</f>
        <v>7063.5</v>
      </c>
      <c r="F1078" s="1916">
        <f>C1078*E1078</f>
        <v>7416.6750000000002</v>
      </c>
    </row>
    <row r="1079" spans="2:6" s="1916" customFormat="1" ht="12.6" customHeight="1">
      <c r="B1079" s="1916" t="s">
        <v>1859</v>
      </c>
      <c r="C1079" s="1916">
        <v>5</v>
      </c>
      <c r="D1079" s="1916" t="s">
        <v>126</v>
      </c>
      <c r="E1079" s="1916">
        <f>E1073</f>
        <v>2913</v>
      </c>
      <c r="F1079" s="1916">
        <f>C1079*E1079</f>
        <v>14565</v>
      </c>
    </row>
    <row r="1080" spans="2:6" s="1916" customFormat="1" ht="12.6" customHeight="1">
      <c r="B1080" s="1916" t="s">
        <v>1862</v>
      </c>
      <c r="C1080" s="1916">
        <f>1/(15*0.2)</f>
        <v>0.33333333333333298</v>
      </c>
      <c r="D1080" s="1916" t="s">
        <v>1</v>
      </c>
      <c r="E1080" s="1916">
        <v>250</v>
      </c>
      <c r="F1080" s="1916">
        <f>C1080*E1080</f>
        <v>83.333333333333201</v>
      </c>
    </row>
    <row r="1081" spans="2:6" s="1916" customFormat="1" ht="12.6" customHeight="1">
      <c r="E1081" s="1916" t="s">
        <v>1031</v>
      </c>
      <c r="F1081" s="1916">
        <f>ROUND(SUM(F1078:F1080),2)</f>
        <v>22065.01</v>
      </c>
    </row>
    <row r="1082" spans="2:6" s="1916" customFormat="1" ht="12.6" customHeight="1"/>
    <row r="1083" spans="2:6" s="1916" customFormat="1" ht="12.6" customHeight="1">
      <c r="B1083" s="1916" t="s">
        <v>1864</v>
      </c>
    </row>
    <row r="1084" spans="2:6" s="1916" customFormat="1" ht="12.6" customHeight="1">
      <c r="B1084" s="1916" t="s">
        <v>1682</v>
      </c>
      <c r="C1084" s="1916">
        <v>1.05</v>
      </c>
      <c r="D1084" s="1916" t="s">
        <v>2</v>
      </c>
      <c r="E1084" s="1916">
        <f>E1078</f>
        <v>7063.5</v>
      </c>
      <c r="F1084" s="1916">
        <f>C1084*E1084</f>
        <v>7416.6750000000002</v>
      </c>
    </row>
    <row r="1085" spans="2:6" s="1916" customFormat="1" ht="12.6" customHeight="1">
      <c r="B1085" s="1916" t="s">
        <v>1859</v>
      </c>
      <c r="C1085" s="1916">
        <v>0.63</v>
      </c>
      <c r="D1085" s="1916" t="s">
        <v>126</v>
      </c>
      <c r="E1085" s="1916">
        <f>E1079</f>
        <v>2913</v>
      </c>
      <c r="F1085" s="1916">
        <f>C1085*E1085</f>
        <v>1835.19</v>
      </c>
    </row>
    <row r="1086" spans="2:6" s="1916" customFormat="1" ht="12.6" customHeight="1">
      <c r="E1086" s="1916" t="s">
        <v>1031</v>
      </c>
      <c r="F1086" s="1916">
        <f>ROUND(SUM(F1082:F1085),2)</f>
        <v>9251.8700000000008</v>
      </c>
    </row>
    <row r="1087" spans="2:6" s="1916" customFormat="1" ht="12.6" customHeight="1"/>
    <row r="1088" spans="2:6" s="1916" customFormat="1" ht="12.6" customHeight="1">
      <c r="B1088" s="1916" t="s">
        <v>1865</v>
      </c>
    </row>
    <row r="1089" spans="1:31" s="1916" customFormat="1" ht="12.6" customHeight="1">
      <c r="B1089" s="1916" t="s">
        <v>1682</v>
      </c>
      <c r="C1089" s="1916">
        <v>1.05</v>
      </c>
      <c r="D1089" s="1916" t="s">
        <v>2</v>
      </c>
      <c r="E1089" s="1916">
        <f>E1084</f>
        <v>7063.5</v>
      </c>
      <c r="F1089" s="1916">
        <f>C1089*E1089</f>
        <v>7416.6750000000002</v>
      </c>
    </row>
    <row r="1090" spans="1:31" s="1916" customFormat="1" ht="12.6" customHeight="1">
      <c r="B1090" s="1916" t="s">
        <v>1859</v>
      </c>
      <c r="C1090" s="1916">
        <v>1.06</v>
      </c>
      <c r="D1090" s="1916" t="s">
        <v>126</v>
      </c>
      <c r="E1090" s="1916">
        <f>E1085</f>
        <v>2913</v>
      </c>
      <c r="F1090" s="1916">
        <f>C1090*E1090</f>
        <v>3087.78</v>
      </c>
    </row>
    <row r="1091" spans="1:31" s="1916" customFormat="1" ht="12.6" customHeight="1">
      <c r="B1091" s="1916" t="s">
        <v>1862</v>
      </c>
      <c r="C1091" s="1916">
        <f>1/(0.13)</f>
        <v>7.6923076923076898</v>
      </c>
      <c r="D1091" s="1916" t="s">
        <v>11</v>
      </c>
      <c r="E1091" s="1916">
        <v>185</v>
      </c>
      <c r="F1091" s="1916">
        <f>C1091*E1091</f>
        <v>1423.0769230769199</v>
      </c>
    </row>
    <row r="1092" spans="1:31" s="3381" customFormat="1">
      <c r="B1092" s="1916"/>
      <c r="C1092" s="1916"/>
      <c r="D1092" s="1916"/>
      <c r="E1092" s="1916" t="s">
        <v>1031</v>
      </c>
      <c r="F1092" s="1916">
        <f>ROUND(SUM(F1089:F1091),2)</f>
        <v>11927.53</v>
      </c>
    </row>
    <row r="1093" spans="1:31">
      <c r="B1093" s="1149"/>
      <c r="C1093" s="1613"/>
      <c r="D1093" s="1149"/>
      <c r="E1093" s="1150"/>
      <c r="F1093" s="1104">
        <f>ROUND(F1092-F1091+E1091*1/0.8,2)</f>
        <v>10735.7</v>
      </c>
      <c r="I1093" s="1083"/>
      <c r="J1093" s="1083"/>
      <c r="K1093" s="1083"/>
      <c r="L1093" s="1083"/>
      <c r="M1093" s="1083"/>
      <c r="N1093" s="1083"/>
      <c r="O1093" s="1083"/>
      <c r="P1093" s="1083"/>
      <c r="Q1093" s="1083"/>
      <c r="R1093" s="1083"/>
      <c r="S1093" s="1083"/>
      <c r="T1093" s="1083"/>
      <c r="U1093" s="1083"/>
      <c r="V1093" s="1083"/>
      <c r="W1093" s="1083"/>
      <c r="X1093" s="1083"/>
      <c r="Y1093" s="1083"/>
      <c r="Z1093" s="1083"/>
      <c r="AA1093" s="1083"/>
      <c r="AB1093" s="1083"/>
      <c r="AC1093" s="1083"/>
      <c r="AD1093" s="1083"/>
      <c r="AE1093" s="1083"/>
    </row>
    <row r="1094" spans="1:31">
      <c r="B1094" s="1130"/>
      <c r="C1094" s="1609"/>
      <c r="D1094" s="1131"/>
      <c r="E1094" s="1132"/>
      <c r="F1094" s="1133"/>
      <c r="I1094" s="1083"/>
      <c r="J1094" s="1083"/>
      <c r="K1094" s="1083"/>
      <c r="L1094" s="1083"/>
      <c r="M1094" s="1083"/>
      <c r="N1094" s="1083"/>
      <c r="O1094" s="1083"/>
      <c r="P1094" s="1083"/>
      <c r="Q1094" s="1083"/>
      <c r="R1094" s="1083"/>
      <c r="S1094" s="1083"/>
      <c r="T1094" s="1083"/>
      <c r="U1094" s="1083"/>
      <c r="V1094" s="1083"/>
      <c r="W1094" s="1083"/>
      <c r="X1094" s="1083"/>
      <c r="Y1094" s="1083"/>
      <c r="Z1094" s="1083"/>
      <c r="AA1094" s="1083"/>
      <c r="AB1094" s="1083"/>
      <c r="AC1094" s="1083"/>
      <c r="AD1094" s="1083"/>
      <c r="AE1094" s="1083"/>
    </row>
    <row r="1095" spans="1:31" ht="15.75" customHeight="1">
      <c r="A1095" s="1916" t="s">
        <v>1915</v>
      </c>
      <c r="B1095" s="1916"/>
      <c r="C1095" s="1916"/>
      <c r="D1095" s="1916"/>
      <c r="E1095" s="1916"/>
      <c r="F1095" s="1916"/>
      <c r="I1095" s="1083"/>
      <c r="J1095" s="1083"/>
      <c r="K1095" s="1083"/>
      <c r="L1095" s="1083"/>
      <c r="M1095" s="1083"/>
      <c r="N1095" s="1083"/>
      <c r="O1095" s="1083"/>
      <c r="P1095" s="1083"/>
      <c r="Q1095" s="1083"/>
      <c r="R1095" s="1083"/>
      <c r="S1095" s="1083"/>
      <c r="T1095" s="1083"/>
      <c r="U1095" s="1083"/>
      <c r="V1095" s="1083"/>
      <c r="W1095" s="1083"/>
      <c r="X1095" s="1083"/>
      <c r="Y1095" s="1083"/>
      <c r="Z1095" s="1083"/>
      <c r="AA1095" s="1083"/>
      <c r="AB1095" s="1083"/>
      <c r="AC1095" s="1083"/>
      <c r="AD1095" s="1083"/>
      <c r="AE1095" s="1083"/>
    </row>
    <row r="1096" spans="1:31">
      <c r="B1096" s="1130"/>
      <c r="C1096" s="1609"/>
      <c r="D1096" s="1131"/>
      <c r="E1096" s="1132"/>
      <c r="F1096" s="1133"/>
      <c r="I1096" s="1083"/>
      <c r="J1096" s="1083"/>
      <c r="K1096" s="1083"/>
      <c r="L1096" s="1083"/>
      <c r="M1096" s="1083"/>
      <c r="N1096" s="1083"/>
      <c r="O1096" s="1083"/>
      <c r="P1096" s="1083"/>
      <c r="Q1096" s="1083"/>
      <c r="R1096" s="1083"/>
      <c r="S1096" s="1083"/>
      <c r="T1096" s="1083"/>
      <c r="U1096" s="1083"/>
      <c r="V1096" s="1083"/>
      <c r="W1096" s="1083"/>
      <c r="X1096" s="1083"/>
      <c r="Y1096" s="1083"/>
      <c r="Z1096" s="1083"/>
      <c r="AA1096" s="1083"/>
      <c r="AB1096" s="1083"/>
      <c r="AC1096" s="1083"/>
      <c r="AD1096" s="1083"/>
      <c r="AE1096" s="1083"/>
    </row>
    <row r="1097" spans="1:31" s="1916" customFormat="1">
      <c r="B1097" s="1916" t="s">
        <v>186</v>
      </c>
    </row>
    <row r="1098" spans="1:31" s="1916" customFormat="1"/>
    <row r="1099" spans="1:31" s="1916" customFormat="1">
      <c r="B1099" s="1916" t="s">
        <v>187</v>
      </c>
    </row>
    <row r="1100" spans="1:31" s="1916" customFormat="1">
      <c r="B1100" s="1916" t="s">
        <v>122</v>
      </c>
      <c r="C1100" s="1916">
        <v>0.52</v>
      </c>
      <c r="D1100" s="1916" t="s">
        <v>2</v>
      </c>
      <c r="E1100" s="1916">
        <f>+F16</f>
        <v>1115</v>
      </c>
      <c r="F1100" s="1916">
        <f>C1100*E1100</f>
        <v>579.79999999999995</v>
      </c>
    </row>
    <row r="1101" spans="1:31" s="1916" customFormat="1">
      <c r="B1101" s="1916" t="s">
        <v>124</v>
      </c>
      <c r="C1101" s="1916">
        <v>0.85</v>
      </c>
      <c r="D1101" s="1916" t="s">
        <v>2</v>
      </c>
      <c r="E1101" s="1916">
        <f>+F21</f>
        <v>1215</v>
      </c>
      <c r="F1101" s="1916">
        <f>C1101*E1101</f>
        <v>1032.75</v>
      </c>
    </row>
    <row r="1102" spans="1:31" s="1916" customFormat="1">
      <c r="B1102" s="1916" t="s">
        <v>117</v>
      </c>
      <c r="C1102" s="1916">
        <v>60</v>
      </c>
      <c r="D1102" s="1916" t="s">
        <v>138</v>
      </c>
      <c r="E1102" s="1916">
        <f>+F4</f>
        <v>325</v>
      </c>
      <c r="F1102" s="1916">
        <f>C1102*E1102</f>
        <v>19500</v>
      </c>
    </row>
    <row r="1103" spans="1:31" s="1916" customFormat="1">
      <c r="B1103" s="1916" t="s">
        <v>188</v>
      </c>
      <c r="C1103" s="1916">
        <v>6.4</v>
      </c>
      <c r="D1103" s="1916" t="s">
        <v>144</v>
      </c>
      <c r="E1103" s="1916">
        <f>+F3</f>
        <v>2.5</v>
      </c>
      <c r="F1103" s="1916">
        <f>C1103*E1103</f>
        <v>16</v>
      </c>
    </row>
    <row r="1104" spans="1:31" s="1916" customFormat="1">
      <c r="B1104" s="1916" t="s">
        <v>189</v>
      </c>
      <c r="C1104" s="1916">
        <v>0.5</v>
      </c>
      <c r="D1104" s="1916" t="s">
        <v>148</v>
      </c>
      <c r="E1104" s="1916">
        <v>659</v>
      </c>
      <c r="F1104" s="1916">
        <f>C1104*E1104</f>
        <v>329.5</v>
      </c>
    </row>
    <row r="1105" spans="1:10" s="1916" customFormat="1">
      <c r="B1105" s="1916" t="s">
        <v>190</v>
      </c>
      <c r="F1105" s="1916">
        <f>SUM(F1100+F1102+F1103)*0.03</f>
        <v>602.87400000000002</v>
      </c>
    </row>
    <row r="1106" spans="1:10" s="1916" customFormat="1">
      <c r="E1106" s="1916" t="s">
        <v>1031</v>
      </c>
      <c r="F1106" s="1916">
        <f>SUM(F1100:F1105)</f>
        <v>22060.923999999999</v>
      </c>
    </row>
    <row r="1107" spans="1:10" s="1916" customFormat="1"/>
    <row r="1108" spans="1:10" s="1916" customFormat="1">
      <c r="B1108" s="1916" t="s">
        <v>1917</v>
      </c>
    </row>
    <row r="1109" spans="1:10" s="1916" customFormat="1">
      <c r="B1109" s="1916" t="s">
        <v>1918</v>
      </c>
      <c r="C1109" s="1916">
        <v>13</v>
      </c>
      <c r="D1109" s="1916" t="s">
        <v>3</v>
      </c>
      <c r="E1109" s="1916">
        <v>28</v>
      </c>
      <c r="F1109" s="1916">
        <f t="shared" ref="F1109:F1116" si="18">C1109*E1109</f>
        <v>364</v>
      </c>
    </row>
    <row r="1110" spans="1:10" s="1916" customFormat="1">
      <c r="B1110" s="1916" t="s">
        <v>1056</v>
      </c>
      <c r="C1110" s="1916">
        <v>13</v>
      </c>
      <c r="D1110" s="1916" t="s">
        <v>3</v>
      </c>
      <c r="E1110" s="1916">
        <v>18.850000000000001</v>
      </c>
      <c r="F1110" s="1916">
        <f t="shared" si="18"/>
        <v>245.05</v>
      </c>
    </row>
    <row r="1111" spans="1:10" s="1916" customFormat="1">
      <c r="B1111" s="1916" t="s">
        <v>1919</v>
      </c>
      <c r="C1111" s="1916">
        <v>0.04</v>
      </c>
      <c r="D1111" s="1916" t="s">
        <v>2</v>
      </c>
      <c r="E1111" s="1916">
        <f>F84</f>
        <v>5506.4</v>
      </c>
      <c r="F1111" s="1916">
        <f t="shared" si="18"/>
        <v>220.256</v>
      </c>
    </row>
    <row r="1112" spans="1:10" s="1916" customFormat="1">
      <c r="B1112" s="1916" t="s">
        <v>1920</v>
      </c>
      <c r="C1112" s="1916">
        <v>0.01</v>
      </c>
      <c r="D1112" s="1916" t="s">
        <v>2</v>
      </c>
      <c r="E1112" s="1916">
        <f>+F1106</f>
        <v>22060.923999999999</v>
      </c>
      <c r="F1112" s="1916">
        <f t="shared" si="18"/>
        <v>220.60924</v>
      </c>
    </row>
    <row r="1113" spans="1:10" s="1916" customFormat="1">
      <c r="B1113" s="1916" t="s">
        <v>1921</v>
      </c>
      <c r="C1113" s="1916">
        <v>0.03</v>
      </c>
      <c r="D1113" s="1916" t="s">
        <v>126</v>
      </c>
      <c r="E1113" s="1916">
        <f>+F62</f>
        <v>2913</v>
      </c>
      <c r="F1113" s="1916">
        <f t="shared" si="18"/>
        <v>87.39</v>
      </c>
    </row>
    <row r="1114" spans="1:10" s="1916" customFormat="1">
      <c r="B1114" s="1916" t="s">
        <v>1053</v>
      </c>
      <c r="C1114" s="1916">
        <v>0.18</v>
      </c>
      <c r="D1114" s="1916" t="s">
        <v>155</v>
      </c>
      <c r="E1114" s="1916">
        <v>35</v>
      </c>
      <c r="F1114" s="1916">
        <f t="shared" si="18"/>
        <v>6.3</v>
      </c>
    </row>
    <row r="1115" spans="1:10" s="1916" customFormat="1">
      <c r="B1115" s="1916" t="s">
        <v>198</v>
      </c>
      <c r="C1115" s="1916">
        <v>0.02</v>
      </c>
      <c r="D1115" s="1916" t="s">
        <v>148</v>
      </c>
      <c r="E1115" s="1916">
        <v>659</v>
      </c>
      <c r="F1115" s="1916">
        <f t="shared" si="18"/>
        <v>13.18</v>
      </c>
    </row>
    <row r="1116" spans="1:10" s="1916" customFormat="1">
      <c r="B1116" s="1916" t="s">
        <v>1922</v>
      </c>
      <c r="C1116" s="1916">
        <v>0.01</v>
      </c>
      <c r="D1116" s="1916" t="s">
        <v>2</v>
      </c>
      <c r="E1116" s="1916">
        <v>659</v>
      </c>
      <c r="F1116" s="1916">
        <f t="shared" si="18"/>
        <v>6.59</v>
      </c>
    </row>
    <row r="1117" spans="1:10" s="1916" customFormat="1">
      <c r="E1117" s="1916" t="s">
        <v>1031</v>
      </c>
      <c r="F1117" s="1916">
        <f>SUM(F1109:F1116)</f>
        <v>1163.3752400000001</v>
      </c>
    </row>
    <row r="1118" spans="1:10" s="1577" customFormat="1" ht="12.95" customHeight="1">
      <c r="A1118" s="3382"/>
      <c r="B1118" s="1916" t="s">
        <v>1923</v>
      </c>
      <c r="C1118" s="3383"/>
      <c r="D1118" s="3384"/>
      <c r="E1118" s="1916" t="s">
        <v>1924</v>
      </c>
      <c r="F1118" s="1916">
        <f>+F1117</f>
        <v>1163.3752400000001</v>
      </c>
      <c r="G1118" s="1578"/>
      <c r="H1118" s="1576"/>
      <c r="I1118" s="1576">
        <f>SUM(I1111:I1117)</f>
        <v>0</v>
      </c>
      <c r="J1118" s="1916"/>
    </row>
    <row r="1119" spans="1:10" s="1577" customFormat="1" ht="12.95" customHeight="1">
      <c r="A1119" s="3382"/>
      <c r="B1119" s="1916" t="s">
        <v>1925</v>
      </c>
      <c r="C1119" s="3383"/>
      <c r="D1119" s="3384"/>
      <c r="E1119" s="1916" t="s">
        <v>1926</v>
      </c>
      <c r="F1119" s="1916">
        <f>F1118-(F1115+F1114)</f>
        <v>1143.8952400000001</v>
      </c>
      <c r="G1119" s="1578"/>
      <c r="H1119" s="1576"/>
      <c r="I1119" s="1576"/>
      <c r="J1119" s="1916"/>
    </row>
    <row r="1120" spans="1:10" s="1916" customFormat="1"/>
    <row r="1121" spans="1:10" s="1916" customFormat="1"/>
    <row r="1122" spans="1:10" s="1916" customFormat="1">
      <c r="B1122" s="1916" t="s">
        <v>191</v>
      </c>
    </row>
    <row r="1123" spans="1:10" s="1916" customFormat="1">
      <c r="B1123" s="1916" t="s">
        <v>192</v>
      </c>
      <c r="C1123" s="1916">
        <v>13</v>
      </c>
      <c r="D1123" s="1916" t="s">
        <v>3</v>
      </c>
      <c r="E1123" s="1916">
        <v>25.93</v>
      </c>
      <c r="F1123" s="1916">
        <f t="shared" ref="F1123:F1130" si="19">C1123*E1123</f>
        <v>337.09</v>
      </c>
    </row>
    <row r="1124" spans="1:10" s="1916" customFormat="1">
      <c r="B1124" s="1916" t="s">
        <v>193</v>
      </c>
      <c r="C1124" s="1916">
        <v>13</v>
      </c>
      <c r="D1124" s="1916" t="s">
        <v>3</v>
      </c>
      <c r="E1124" s="1916">
        <v>15.78</v>
      </c>
      <c r="F1124" s="1916">
        <f t="shared" si="19"/>
        <v>205.14</v>
      </c>
    </row>
    <row r="1125" spans="1:10" s="1916" customFormat="1">
      <c r="B1125" s="1916" t="s">
        <v>194</v>
      </c>
      <c r="C1125" s="1916">
        <v>0.03</v>
      </c>
      <c r="D1125" s="1916" t="s">
        <v>2</v>
      </c>
      <c r="E1125" s="1916">
        <f>F713</f>
        <v>45603.91</v>
      </c>
      <c r="F1125" s="1916">
        <f t="shared" si="19"/>
        <v>1368.1172999999999</v>
      </c>
    </row>
    <row r="1126" spans="1:10" s="1916" customFormat="1">
      <c r="B1126" s="1916" t="s">
        <v>195</v>
      </c>
      <c r="C1126" s="1916">
        <v>0.01</v>
      </c>
      <c r="D1126" s="1916" t="s">
        <v>2</v>
      </c>
      <c r="E1126" s="1916">
        <f>SUM(F1106)</f>
        <v>22060.923999999999</v>
      </c>
      <c r="F1126" s="1916">
        <f t="shared" si="19"/>
        <v>220.60924</v>
      </c>
    </row>
    <row r="1127" spans="1:10" s="1916" customFormat="1">
      <c r="B1127" s="1916" t="s">
        <v>196</v>
      </c>
      <c r="C1127" s="1916">
        <v>0.03</v>
      </c>
      <c r="D1127" s="1916" t="s">
        <v>126</v>
      </c>
      <c r="E1127" s="1916">
        <f>F1089</f>
        <v>7416.6750000000002</v>
      </c>
      <c r="F1127" s="1916">
        <f t="shared" si="19"/>
        <v>222.50024999999999</v>
      </c>
    </row>
    <row r="1128" spans="1:10" s="1916" customFormat="1">
      <c r="B1128" s="1916" t="s">
        <v>197</v>
      </c>
      <c r="C1128" s="1916">
        <v>0.18</v>
      </c>
      <c r="D1128" s="1916" t="s">
        <v>155</v>
      </c>
      <c r="E1128" s="1916">
        <v>35</v>
      </c>
      <c r="F1128" s="1916">
        <f t="shared" si="19"/>
        <v>6.3</v>
      </c>
    </row>
    <row r="1129" spans="1:10" s="1916" customFormat="1">
      <c r="B1129" s="1916" t="s">
        <v>198</v>
      </c>
      <c r="C1129" s="1916">
        <v>0.02</v>
      </c>
      <c r="D1129" s="1916" t="s">
        <v>148</v>
      </c>
      <c r="E1129" s="1916">
        <v>659</v>
      </c>
      <c r="F1129" s="1916">
        <f t="shared" si="19"/>
        <v>13.18</v>
      </c>
    </row>
    <row r="1130" spans="1:10" s="1916" customFormat="1">
      <c r="B1130" s="1916" t="s">
        <v>199</v>
      </c>
      <c r="C1130" s="1916">
        <v>0.01</v>
      </c>
      <c r="D1130" s="1916" t="s">
        <v>2</v>
      </c>
      <c r="E1130" s="1916">
        <v>659</v>
      </c>
      <c r="F1130" s="1916">
        <f t="shared" si="19"/>
        <v>6.59</v>
      </c>
    </row>
    <row r="1131" spans="1:10" s="1916" customFormat="1">
      <c r="E1131" s="1916" t="s">
        <v>1031</v>
      </c>
      <c r="F1131" s="1916">
        <f>SUM(F1123:F1130)</f>
        <v>2379.5267899999999</v>
      </c>
    </row>
    <row r="1132" spans="1:10" s="1577" customFormat="1" ht="12.95" customHeight="1">
      <c r="A1132" s="3382"/>
      <c r="B1132" s="1916" t="s">
        <v>1927</v>
      </c>
      <c r="C1132" s="3383"/>
      <c r="D1132" s="3384"/>
      <c r="E1132" s="1916" t="s">
        <v>1924</v>
      </c>
      <c r="F1132" s="1916">
        <f>+F1131</f>
        <v>2379.5267899999999</v>
      </c>
      <c r="G1132" s="1578"/>
      <c r="H1132" s="1576"/>
      <c r="I1132" s="1576">
        <f>SUM(I1125:I1131)</f>
        <v>0</v>
      </c>
      <c r="J1132" s="1916"/>
    </row>
    <row r="1133" spans="1:10" s="1577" customFormat="1" ht="12.95" customHeight="1">
      <c r="A1133" s="3382"/>
      <c r="B1133" s="1916" t="s">
        <v>1928</v>
      </c>
      <c r="C1133" s="3383"/>
      <c r="D1133" s="3384"/>
      <c r="E1133" s="1916" t="s">
        <v>1926</v>
      </c>
      <c r="F1133" s="1916">
        <f>F1132-(F1129+F1128)</f>
        <v>2360.0467899999999</v>
      </c>
      <c r="G1133" s="1578"/>
      <c r="H1133" s="1576"/>
      <c r="I1133" s="1576"/>
      <c r="J1133" s="1916"/>
    </row>
    <row r="1134" spans="1:10" s="1916" customFormat="1"/>
    <row r="1135" spans="1:10" s="1916" customFormat="1"/>
    <row r="1136" spans="1:10" s="1916" customFormat="1">
      <c r="B1136" s="1916" t="s">
        <v>1929</v>
      </c>
    </row>
    <row r="1137" spans="2:6" s="1916" customFormat="1">
      <c r="B1137" s="1916" t="s">
        <v>1930</v>
      </c>
    </row>
    <row r="1138" spans="2:6" s="1916" customFormat="1">
      <c r="B1138" s="1916" t="s">
        <v>192</v>
      </c>
      <c r="C1138" s="1916">
        <v>13</v>
      </c>
      <c r="D1138" s="1916" t="s">
        <v>3</v>
      </c>
      <c r="E1138" s="1916">
        <v>25.93</v>
      </c>
      <c r="F1138" s="1916">
        <f t="shared" ref="F1138:F1146" si="20">C1138*E1138</f>
        <v>337.09</v>
      </c>
    </row>
    <row r="1139" spans="2:6" s="1916" customFormat="1">
      <c r="B1139" s="1916" t="s">
        <v>1931</v>
      </c>
      <c r="C1139" s="1916">
        <v>13</v>
      </c>
      <c r="D1139" s="1916" t="s">
        <v>3</v>
      </c>
      <c r="E1139" s="1916">
        <f>+E1124</f>
        <v>15.78</v>
      </c>
      <c r="F1139" s="1916">
        <f t="shared" si="20"/>
        <v>205.14</v>
      </c>
    </row>
    <row r="1140" spans="2:6" s="1916" customFormat="1">
      <c r="B1140" s="1916" t="s">
        <v>1932</v>
      </c>
      <c r="C1140" s="1916">
        <v>13</v>
      </c>
      <c r="D1140" s="1916" t="s">
        <v>3</v>
      </c>
      <c r="E1140" s="1916">
        <v>1.43</v>
      </c>
      <c r="F1140" s="1916">
        <f t="shared" si="20"/>
        <v>18.59</v>
      </c>
    </row>
    <row r="1141" spans="2:6" s="1916" customFormat="1">
      <c r="B1141" s="1916" t="s">
        <v>194</v>
      </c>
      <c r="C1141" s="1916">
        <v>0.03</v>
      </c>
      <c r="D1141" s="1916" t="s">
        <v>2</v>
      </c>
      <c r="E1141" s="1916">
        <f>+E1125</f>
        <v>45603.91</v>
      </c>
      <c r="F1141" s="1916">
        <f t="shared" si="20"/>
        <v>1368.1172999999999</v>
      </c>
    </row>
    <row r="1142" spans="2:6" s="1916" customFormat="1">
      <c r="B1142" s="1916" t="s">
        <v>195</v>
      </c>
      <c r="C1142" s="1916">
        <v>0.01</v>
      </c>
      <c r="D1142" s="1916" t="s">
        <v>2</v>
      </c>
      <c r="E1142" s="1916">
        <f>+F47</f>
        <v>7063.5</v>
      </c>
      <c r="F1142" s="1916">
        <f t="shared" si="20"/>
        <v>70.635000000000005</v>
      </c>
    </row>
    <row r="1143" spans="2:6" s="1916" customFormat="1">
      <c r="B1143" s="1916" t="s">
        <v>196</v>
      </c>
      <c r="C1143" s="1916">
        <v>0.03</v>
      </c>
      <c r="D1143" s="1916" t="s">
        <v>126</v>
      </c>
      <c r="E1143" s="1916">
        <f>+F62</f>
        <v>2913</v>
      </c>
      <c r="F1143" s="1916">
        <f t="shared" si="20"/>
        <v>87.39</v>
      </c>
    </row>
    <row r="1144" spans="2:6" s="1916" customFormat="1">
      <c r="B1144" s="1916" t="s">
        <v>197</v>
      </c>
      <c r="C1144" s="1916">
        <v>0.18</v>
      </c>
      <c r="D1144" s="1916" t="s">
        <v>155</v>
      </c>
      <c r="E1144" s="1916">
        <v>35</v>
      </c>
      <c r="F1144" s="1916">
        <f t="shared" si="20"/>
        <v>6.3</v>
      </c>
    </row>
    <row r="1145" spans="2:6" s="1916" customFormat="1">
      <c r="B1145" s="1916" t="s">
        <v>198</v>
      </c>
      <c r="C1145" s="1916">
        <v>0.02</v>
      </c>
      <c r="D1145" s="1916" t="s">
        <v>148</v>
      </c>
      <c r="E1145" s="1916">
        <v>659</v>
      </c>
      <c r="F1145" s="1916">
        <f t="shared" si="20"/>
        <v>13.18</v>
      </c>
    </row>
    <row r="1146" spans="2:6" s="1916" customFormat="1">
      <c r="B1146" s="1916" t="s">
        <v>199</v>
      </c>
      <c r="C1146" s="1916">
        <v>0.01</v>
      </c>
      <c r="D1146" s="1916" t="s">
        <v>2</v>
      </c>
      <c r="E1146" s="1916">
        <v>659</v>
      </c>
      <c r="F1146" s="1916">
        <f t="shared" si="20"/>
        <v>6.59</v>
      </c>
    </row>
    <row r="1147" spans="2:6" s="1916" customFormat="1">
      <c r="E1147" s="1916" t="s">
        <v>1031</v>
      </c>
      <c r="F1147" s="1916">
        <f>SUM(F1138:F1146)</f>
        <v>2113.0322999999999</v>
      </c>
    </row>
    <row r="1148" spans="2:6" s="1916" customFormat="1">
      <c r="B1148" s="1916" t="s">
        <v>1933</v>
      </c>
      <c r="F1148" s="1916">
        <f>+F1147-(F1145+F1144)</f>
        <v>2093.5522999999998</v>
      </c>
    </row>
    <row r="1149" spans="2:6" s="1916" customFormat="1">
      <c r="B1149" s="1916" t="s">
        <v>1934</v>
      </c>
      <c r="F1149" s="1916">
        <f>F1147-(F1142+F1143)+(E1142*0.02)+(E1143*0.06)</f>
        <v>2271.0572999999999</v>
      </c>
    </row>
    <row r="1150" spans="2:6" s="1916" customFormat="1">
      <c r="B1150" s="1916" t="s">
        <v>1935</v>
      </c>
      <c r="F1150" s="1916">
        <f>F1149-(F1144+F1145)</f>
        <v>2251.5772999999999</v>
      </c>
    </row>
    <row r="1151" spans="2:6" s="1916" customFormat="1">
      <c r="B1151" s="1916" t="s">
        <v>1936</v>
      </c>
      <c r="F1151" s="1916">
        <f>F1147-(F1142+F1143)+(E1142*0.05)+(E1143*0.15)</f>
        <v>2745.1323000000002</v>
      </c>
    </row>
    <row r="1152" spans="2:6" s="1916" customFormat="1">
      <c r="B1152" s="1916" t="s">
        <v>1937</v>
      </c>
      <c r="F1152" s="1916">
        <f>F1151-(F1144+F1145)</f>
        <v>2725.6523000000002</v>
      </c>
    </row>
    <row r="1153" spans="2:31" s="1916" customFormat="1"/>
    <row r="1154" spans="2:31" s="1916" customFormat="1">
      <c r="B1154" s="1916" t="s">
        <v>1938</v>
      </c>
    </row>
    <row r="1155" spans="2:31" s="1916" customFormat="1">
      <c r="B1155" s="1916" t="s">
        <v>1048</v>
      </c>
      <c r="C1155" s="1916">
        <v>13</v>
      </c>
      <c r="D1155" s="1916" t="s">
        <v>3</v>
      </c>
      <c r="E1155" s="1916">
        <v>24.46</v>
      </c>
      <c r="F1155" s="1916">
        <f t="shared" ref="F1155:F1162" si="21">C1155*E1155</f>
        <v>317.98</v>
      </c>
    </row>
    <row r="1156" spans="2:31" s="1916" customFormat="1">
      <c r="B1156" s="1916" t="s">
        <v>1049</v>
      </c>
      <c r="C1156" s="1916">
        <v>13</v>
      </c>
      <c r="D1156" s="1916" t="s">
        <v>3</v>
      </c>
      <c r="E1156" s="1916">
        <v>18</v>
      </c>
      <c r="F1156" s="1916">
        <f t="shared" si="21"/>
        <v>234</v>
      </c>
    </row>
    <row r="1157" spans="2:31" s="1916" customFormat="1">
      <c r="B1157" s="1916" t="s">
        <v>1050</v>
      </c>
      <c r="C1157" s="1916">
        <v>0.02</v>
      </c>
      <c r="D1157" s="1916" t="s">
        <v>2</v>
      </c>
      <c r="E1157" s="1916">
        <f>F713</f>
        <v>45603.91</v>
      </c>
      <c r="F1157" s="1916">
        <f t="shared" si="21"/>
        <v>912.07820000000004</v>
      </c>
    </row>
    <row r="1158" spans="2:31" s="1916" customFormat="1">
      <c r="B1158" s="1916" t="s">
        <v>1051</v>
      </c>
      <c r="C1158" s="1916">
        <v>0.01</v>
      </c>
      <c r="D1158" s="1916" t="s">
        <v>2</v>
      </c>
      <c r="E1158" s="1916">
        <f>SUM(F1106)</f>
        <v>22060.923999999999</v>
      </c>
      <c r="F1158" s="1916">
        <f t="shared" si="21"/>
        <v>220.60924</v>
      </c>
    </row>
    <row r="1159" spans="2:31" s="1916" customFormat="1">
      <c r="B1159" s="1916" t="s">
        <v>1052</v>
      </c>
      <c r="C1159" s="1916">
        <v>0.03</v>
      </c>
      <c r="D1159" s="1916" t="s">
        <v>126</v>
      </c>
      <c r="E1159" s="1916">
        <f>F1089</f>
        <v>7416.6750000000002</v>
      </c>
      <c r="F1159" s="1916">
        <f t="shared" si="21"/>
        <v>222.50024999999999</v>
      </c>
    </row>
    <row r="1160" spans="2:31" s="1916" customFormat="1">
      <c r="B1160" s="1916" t="s">
        <v>1053</v>
      </c>
      <c r="C1160" s="1916">
        <v>0.18</v>
      </c>
      <c r="D1160" s="1916" t="s">
        <v>155</v>
      </c>
      <c r="E1160" s="1916">
        <v>35</v>
      </c>
      <c r="F1160" s="1916">
        <f t="shared" si="21"/>
        <v>6.3</v>
      </c>
    </row>
    <row r="1161" spans="2:31" s="1916" customFormat="1">
      <c r="B1161" s="1916" t="s">
        <v>198</v>
      </c>
      <c r="C1161" s="1916">
        <v>0.02</v>
      </c>
      <c r="D1161" s="1916" t="s">
        <v>148</v>
      </c>
      <c r="E1161" s="1916">
        <v>659</v>
      </c>
      <c r="F1161" s="1916">
        <f t="shared" si="21"/>
        <v>13.18</v>
      </c>
    </row>
    <row r="1162" spans="2:31" s="1916" customFormat="1">
      <c r="B1162" s="1916" t="s">
        <v>199</v>
      </c>
      <c r="C1162" s="1916">
        <v>0.01</v>
      </c>
      <c r="D1162" s="1916" t="s">
        <v>2</v>
      </c>
      <c r="E1162" s="1916">
        <v>659</v>
      </c>
      <c r="F1162" s="1916">
        <f t="shared" si="21"/>
        <v>6.59</v>
      </c>
    </row>
    <row r="1163" spans="2:31" s="1916" customFormat="1">
      <c r="E1163" s="1916" t="s">
        <v>1031</v>
      </c>
      <c r="F1163" s="1916">
        <f>SUM(F1155:F1162)</f>
        <v>1933.2376899999999</v>
      </c>
    </row>
    <row r="1164" spans="2:31">
      <c r="B1164" s="1130"/>
      <c r="C1164" s="1609"/>
      <c r="D1164" s="1131"/>
      <c r="E1164" s="1132"/>
      <c r="F1164" s="1133"/>
      <c r="I1164" s="1083"/>
      <c r="J1164" s="1083"/>
      <c r="K1164" s="1083"/>
      <c r="L1164" s="1083"/>
      <c r="M1164" s="1083"/>
      <c r="N1164" s="1083"/>
      <c r="O1164" s="1083"/>
      <c r="P1164" s="1083"/>
      <c r="Q1164" s="1083"/>
      <c r="R1164" s="1083"/>
      <c r="S1164" s="1083"/>
      <c r="T1164" s="1083"/>
      <c r="U1164" s="1083"/>
      <c r="V1164" s="1083"/>
      <c r="W1164" s="1083"/>
      <c r="X1164" s="1083"/>
      <c r="Y1164" s="1083"/>
      <c r="Z1164" s="1083"/>
      <c r="AA1164" s="1083"/>
      <c r="AB1164" s="1083"/>
      <c r="AC1164" s="1083"/>
      <c r="AD1164" s="1083"/>
      <c r="AE1164" s="1083"/>
    </row>
    <row r="1165" spans="2:31">
      <c r="B1165" s="1130"/>
      <c r="C1165" s="1609"/>
      <c r="D1165" s="1131"/>
      <c r="E1165" s="1132"/>
      <c r="F1165" s="1133"/>
      <c r="I1165" s="1083"/>
      <c r="J1165" s="1083"/>
      <c r="K1165" s="1083"/>
      <c r="L1165" s="1083"/>
      <c r="M1165" s="1083"/>
      <c r="N1165" s="1083"/>
      <c r="O1165" s="1083"/>
      <c r="P1165" s="1083"/>
      <c r="Q1165" s="1083"/>
      <c r="R1165" s="1083"/>
      <c r="S1165" s="1083"/>
      <c r="T1165" s="1083"/>
      <c r="U1165" s="1083"/>
      <c r="V1165" s="1083"/>
      <c r="W1165" s="1083"/>
      <c r="X1165" s="1083"/>
      <c r="Y1165" s="1083"/>
      <c r="Z1165" s="1083"/>
      <c r="AA1165" s="1083"/>
      <c r="AB1165" s="1083"/>
      <c r="AC1165" s="1083"/>
      <c r="AD1165" s="1083"/>
      <c r="AE1165" s="1083"/>
    </row>
    <row r="1166" spans="2:31">
      <c r="B1166" s="1130"/>
      <c r="C1166" s="1609"/>
      <c r="D1166" s="1131"/>
      <c r="E1166" s="1132"/>
      <c r="F1166" s="1133"/>
      <c r="I1166" s="1083"/>
      <c r="J1166" s="1083"/>
      <c r="K1166" s="1083"/>
      <c r="L1166" s="1083"/>
      <c r="M1166" s="1083"/>
      <c r="N1166" s="1083"/>
      <c r="O1166" s="1083"/>
      <c r="P1166" s="1083"/>
      <c r="Q1166" s="1083"/>
      <c r="R1166" s="1083"/>
      <c r="S1166" s="1083"/>
      <c r="T1166" s="1083"/>
      <c r="U1166" s="1083"/>
      <c r="V1166" s="1083"/>
      <c r="W1166" s="1083"/>
      <c r="X1166" s="1083"/>
      <c r="Y1166" s="1083"/>
      <c r="Z1166" s="1083"/>
      <c r="AA1166" s="1083"/>
      <c r="AB1166" s="1083"/>
      <c r="AC1166" s="1083"/>
      <c r="AD1166" s="1083"/>
      <c r="AE1166" s="1083"/>
    </row>
    <row r="1167" spans="2:31">
      <c r="B1167" s="1130"/>
      <c r="C1167" s="1609"/>
      <c r="D1167" s="1131"/>
      <c r="E1167" s="1132"/>
      <c r="F1167" s="1133"/>
      <c r="I1167" s="1083"/>
      <c r="J1167" s="1083"/>
      <c r="K1167" s="1083"/>
      <c r="L1167" s="1083"/>
      <c r="M1167" s="1083"/>
      <c r="N1167" s="1083"/>
      <c r="O1167" s="1083"/>
      <c r="P1167" s="1083"/>
      <c r="Q1167" s="1083"/>
      <c r="R1167" s="1083"/>
      <c r="S1167" s="1083"/>
      <c r="T1167" s="1083"/>
      <c r="U1167" s="1083"/>
      <c r="V1167" s="1083"/>
      <c r="W1167" s="1083"/>
      <c r="X1167" s="1083"/>
      <c r="Y1167" s="1083"/>
      <c r="Z1167" s="1083"/>
      <c r="AA1167" s="1083"/>
      <c r="AB1167" s="1083"/>
      <c r="AC1167" s="1083"/>
      <c r="AD1167" s="1083"/>
      <c r="AE1167" s="1083"/>
    </row>
    <row r="1168" spans="2:31">
      <c r="B1168" s="1130"/>
      <c r="C1168" s="1609"/>
      <c r="D1168" s="1131"/>
      <c r="E1168" s="1132"/>
      <c r="F1168" s="1133"/>
      <c r="I1168" s="1083"/>
      <c r="J1168" s="1083"/>
      <c r="K1168" s="1083"/>
      <c r="L1168" s="1083"/>
      <c r="M1168" s="1083"/>
      <c r="N1168" s="1083"/>
      <c r="O1168" s="1083"/>
      <c r="P1168" s="1083"/>
      <c r="Q1168" s="1083"/>
      <c r="R1168" s="1083"/>
      <c r="S1168" s="1083"/>
      <c r="T1168" s="1083"/>
      <c r="U1168" s="1083"/>
      <c r="V1168" s="1083"/>
      <c r="W1168" s="1083"/>
      <c r="X1168" s="1083"/>
      <c r="Y1168" s="1083"/>
      <c r="Z1168" s="1083"/>
      <c r="AA1168" s="1083"/>
      <c r="AB1168" s="1083"/>
      <c r="AC1168" s="1083"/>
      <c r="AD1168" s="1083"/>
      <c r="AE1168" s="1083"/>
    </row>
    <row r="1169" spans="2:31">
      <c r="B1169" s="1130"/>
      <c r="C1169" s="1609"/>
      <c r="D1169" s="1131"/>
      <c r="E1169" s="1132"/>
      <c r="F1169" s="1133"/>
      <c r="I1169" s="1083"/>
      <c r="J1169" s="1083"/>
      <c r="K1169" s="1083"/>
      <c r="L1169" s="1083"/>
      <c r="M1169" s="1083"/>
      <c r="N1169" s="1083"/>
      <c r="O1169" s="1083"/>
      <c r="P1169" s="1083"/>
      <c r="Q1169" s="1083"/>
      <c r="R1169" s="1083"/>
      <c r="S1169" s="1083"/>
      <c r="T1169" s="1083"/>
      <c r="U1169" s="1083"/>
      <c r="V1169" s="1083"/>
      <c r="W1169" s="1083"/>
      <c r="X1169" s="1083"/>
      <c r="Y1169" s="1083"/>
      <c r="Z1169" s="1083"/>
      <c r="AA1169" s="1083"/>
      <c r="AB1169" s="1083"/>
      <c r="AC1169" s="1083"/>
      <c r="AD1169" s="1083"/>
      <c r="AE1169" s="1083"/>
    </row>
    <row r="1170" spans="2:31" s="1916" customFormat="1">
      <c r="B1170" s="1916" t="s">
        <v>1908</v>
      </c>
    </row>
    <row r="1171" spans="2:31" s="1916" customFormat="1"/>
    <row r="1172" spans="2:31" s="1916" customFormat="1">
      <c r="B1172" s="1916" t="s">
        <v>1909</v>
      </c>
      <c r="C1172" s="1916">
        <f>4.1*1.4*1.82</f>
        <v>10.4468</v>
      </c>
      <c r="D1172" s="1916" t="s">
        <v>2</v>
      </c>
      <c r="E1172" s="1916">
        <v>340.5</v>
      </c>
      <c r="F1172" s="1916">
        <f t="shared" ref="F1172:F1188" si="22">ROUND(C1172*E1172,2)</f>
        <v>3557.14</v>
      </c>
    </row>
    <row r="1173" spans="2:31" s="1916" customFormat="1">
      <c r="B1173" s="1916" t="s">
        <v>1910</v>
      </c>
      <c r="C1173" s="1916">
        <f>ROUND(C1172*1.35,2)</f>
        <v>14.1</v>
      </c>
      <c r="D1173" s="1916" t="s">
        <v>2</v>
      </c>
      <c r="E1173" s="1916">
        <v>165</v>
      </c>
      <c r="F1173" s="1916">
        <f t="shared" si="22"/>
        <v>2326.5</v>
      </c>
      <c r="H1173" s="1916">
        <f>0.8*0.8*0.8*1.25</f>
        <v>0.64</v>
      </c>
    </row>
    <row r="1174" spans="2:31" s="1916" customFormat="1">
      <c r="B1174" s="1916" t="s">
        <v>1911</v>
      </c>
      <c r="C1174" s="1916">
        <v>5.0199999999999996</v>
      </c>
      <c r="D1174" s="1916" t="s">
        <v>2</v>
      </c>
      <c r="E1174" s="1916">
        <f>+F808</f>
        <v>3500</v>
      </c>
      <c r="F1174" s="1916">
        <f t="shared" si="22"/>
        <v>17570</v>
      </c>
    </row>
    <row r="1175" spans="2:31" s="1916" customFormat="1">
      <c r="B1175" s="1916" t="s">
        <v>1912</v>
      </c>
      <c r="C1175" s="1916">
        <v>0.18</v>
      </c>
      <c r="D1175" s="1916" t="s">
        <v>126</v>
      </c>
      <c r="E1175" s="1916">
        <f>+F791</f>
        <v>1922.58</v>
      </c>
      <c r="F1175" s="1916">
        <f t="shared" si="22"/>
        <v>346.06</v>
      </c>
    </row>
    <row r="1176" spans="2:31" s="1916" customFormat="1"/>
    <row r="1177" spans="2:31" s="1916" customFormat="1">
      <c r="B1177" s="1916" t="s">
        <v>1916</v>
      </c>
    </row>
    <row r="1178" spans="2:31" s="1916" customFormat="1">
      <c r="B1178" s="1916" t="s">
        <v>901</v>
      </c>
      <c r="C1178" s="1916">
        <v>7.28</v>
      </c>
      <c r="D1178" s="1916" t="s">
        <v>11</v>
      </c>
      <c r="E1178" s="1916">
        <f>+F1132</f>
        <v>2379.5267899999999</v>
      </c>
      <c r="F1178" s="1916">
        <f t="shared" si="22"/>
        <v>17322.96</v>
      </c>
    </row>
    <row r="1179" spans="2:31" s="1916" customFormat="1">
      <c r="B1179" s="1916" t="s">
        <v>1944</v>
      </c>
      <c r="C1179" s="1916">
        <v>3.64</v>
      </c>
      <c r="D1179" s="1916" t="s">
        <v>11</v>
      </c>
      <c r="E1179" s="1916">
        <f>+F1132</f>
        <v>2379.5267899999999</v>
      </c>
      <c r="F1179" s="1916">
        <f t="shared" si="22"/>
        <v>8661.48</v>
      </c>
    </row>
    <row r="1180" spans="2:31" s="1916" customFormat="1">
      <c r="B1180" s="1916" t="s">
        <v>1945</v>
      </c>
      <c r="C1180" s="1916">
        <v>3.92</v>
      </c>
      <c r="D1180" s="1916" t="s">
        <v>11</v>
      </c>
      <c r="E1180" s="1916">
        <f>+F1132</f>
        <v>2379.5267899999999</v>
      </c>
      <c r="F1180" s="1916">
        <f t="shared" si="22"/>
        <v>9327.75</v>
      </c>
    </row>
    <row r="1181" spans="2:31" s="1916" customFormat="1">
      <c r="B1181" s="1916" t="s">
        <v>1947</v>
      </c>
    </row>
    <row r="1182" spans="2:31" s="1916" customFormat="1">
      <c r="B1182" s="1916" t="s">
        <v>1949</v>
      </c>
      <c r="C1182" s="1916">
        <v>4</v>
      </c>
      <c r="D1182" s="1916" t="s">
        <v>976</v>
      </c>
      <c r="E1182" s="1916">
        <v>1350.07</v>
      </c>
      <c r="F1182" s="1916">
        <f>+E1182*C1182</f>
        <v>5400.28</v>
      </c>
    </row>
    <row r="1183" spans="2:31" s="1916" customFormat="1">
      <c r="B1183" s="1916" t="s">
        <v>1948</v>
      </c>
      <c r="C1183" s="1916">
        <v>2</v>
      </c>
      <c r="D1183" s="1916" t="s">
        <v>976</v>
      </c>
      <c r="E1183" s="1916">
        <v>226.42</v>
      </c>
      <c r="F1183" s="1916">
        <f>+E1183*C1183</f>
        <v>452.84</v>
      </c>
    </row>
    <row r="1184" spans="2:31" s="1916" customFormat="1">
      <c r="B1184" s="1916" t="s">
        <v>1946</v>
      </c>
      <c r="C1184" s="1916">
        <f>0.9*1*0.7</f>
        <v>0.63</v>
      </c>
      <c r="D1184" s="1916" t="s">
        <v>2</v>
      </c>
      <c r="E1184" s="1916">
        <f>+F21</f>
        <v>1215</v>
      </c>
    </row>
    <row r="1185" spans="2:8" s="1916" customFormat="1">
      <c r="B1185" s="1916" t="s">
        <v>1913</v>
      </c>
      <c r="C1185" s="1916">
        <v>0.03</v>
      </c>
      <c r="D1185" s="1916" t="s">
        <v>2</v>
      </c>
      <c r="E1185" s="1916">
        <f>+E1174</f>
        <v>3500</v>
      </c>
      <c r="F1185" s="1916">
        <f t="shared" si="22"/>
        <v>105</v>
      </c>
    </row>
    <row r="1186" spans="2:8" s="1916" customFormat="1">
      <c r="B1186" s="1916" t="s">
        <v>1914</v>
      </c>
      <c r="C1186" s="1916">
        <v>0.01</v>
      </c>
      <c r="D1186" s="1916" t="s">
        <v>2</v>
      </c>
      <c r="E1186" s="1916">
        <f>+E1185*1.07</f>
        <v>3745</v>
      </c>
      <c r="F1186" s="1916">
        <f>ROUND(C1186*E1186,2)</f>
        <v>37.450000000000003</v>
      </c>
    </row>
    <row r="1187" spans="2:8" s="1916" customFormat="1">
      <c r="B1187" s="1916" t="s">
        <v>1951</v>
      </c>
      <c r="C1187" s="1916">
        <v>3</v>
      </c>
      <c r="D1187" s="1916" t="s">
        <v>3</v>
      </c>
      <c r="E1187" s="1916">
        <f>+F1202</f>
        <v>33145.550000000003</v>
      </c>
      <c r="F1187" s="1916">
        <f>ROUND(C1187*E1187,2)</f>
        <v>99436.65</v>
      </c>
    </row>
    <row r="1188" spans="2:8" s="1916" customFormat="1">
      <c r="B1188" s="1916" t="s">
        <v>1698</v>
      </c>
      <c r="C1188" s="1916">
        <v>1</v>
      </c>
      <c r="D1188" s="1916" t="s">
        <v>3</v>
      </c>
      <c r="E1188" s="1916">
        <v>2000</v>
      </c>
      <c r="F1188" s="1916">
        <f t="shared" si="22"/>
        <v>2000</v>
      </c>
    </row>
    <row r="1189" spans="2:8" s="1916" customFormat="1">
      <c r="E1189" s="1916" t="s">
        <v>1039</v>
      </c>
      <c r="F1189" s="1916">
        <f>SUM(F1172:F1188)</f>
        <v>166544.10999999999</v>
      </c>
    </row>
    <row r="1190" spans="2:8" s="1916" customFormat="1"/>
    <row r="1191" spans="2:8" s="1916" customFormat="1">
      <c r="B1191" s="1916" t="s">
        <v>1939</v>
      </c>
    </row>
    <row r="1192" spans="2:8" s="1916" customFormat="1">
      <c r="B1192" s="1916" t="s">
        <v>1940</v>
      </c>
      <c r="C1192" s="1916">
        <v>75</v>
      </c>
      <c r="D1192" s="1916" t="s">
        <v>800</v>
      </c>
      <c r="E1192" s="1916">
        <v>1000</v>
      </c>
      <c r="F1192" s="1916">
        <f>ROUND(C1192*E1192,2)</f>
        <v>75000</v>
      </c>
    </row>
    <row r="1193" spans="2:8" s="1916" customFormat="1">
      <c r="B1193" s="1916" t="s">
        <v>1941</v>
      </c>
      <c r="C1193" s="1916">
        <v>75</v>
      </c>
      <c r="D1193" s="1916" t="s">
        <v>800</v>
      </c>
      <c r="E1193" s="1916">
        <v>300</v>
      </c>
      <c r="F1193" s="1916">
        <f>ROUND(C1193*E1193,2)</f>
        <v>22500</v>
      </c>
    </row>
    <row r="1194" spans="2:8" s="1916" customFormat="1">
      <c r="B1194" s="1916" t="s">
        <v>1942</v>
      </c>
      <c r="C1194" s="1916">
        <v>50</v>
      </c>
      <c r="D1194" s="1916" t="s">
        <v>800</v>
      </c>
      <c r="E1194" s="1916">
        <v>35</v>
      </c>
      <c r="F1194" s="1916">
        <f>ROUND(C1194*E1194,2)</f>
        <v>1750</v>
      </c>
    </row>
    <row r="1195" spans="2:8" s="1916" customFormat="1">
      <c r="B1195" s="1916" t="s">
        <v>1943</v>
      </c>
      <c r="C1195" s="1916">
        <v>75</v>
      </c>
      <c r="D1195" s="1916" t="s">
        <v>800</v>
      </c>
      <c r="E1195" s="1916">
        <v>1000</v>
      </c>
      <c r="F1195" s="1916">
        <f>ROUND(C1195*E1195,2)</f>
        <v>75000</v>
      </c>
    </row>
    <row r="1196" spans="2:8" s="1916" customFormat="1">
      <c r="E1196" s="1916" t="s">
        <v>11</v>
      </c>
      <c r="F1196" s="1916">
        <f>ROUND(SUM(F1192:F1195),2)</f>
        <v>174250</v>
      </c>
    </row>
    <row r="1197" spans="2:8" s="1916" customFormat="1"/>
    <row r="1198" spans="2:8" s="1916" customFormat="1" ht="12.6" customHeight="1">
      <c r="B1198" s="1916" t="s">
        <v>1950</v>
      </c>
    </row>
    <row r="1199" spans="2:8" s="1916" customFormat="1" ht="12.6" customHeight="1">
      <c r="B1199" s="1916" t="s">
        <v>1682</v>
      </c>
      <c r="C1199" s="1916">
        <f>0.7*0.7*0.05</f>
        <v>2.4500000000000001E-2</v>
      </c>
      <c r="D1199" s="1916" t="s">
        <v>2</v>
      </c>
      <c r="E1199" s="1916">
        <f>+F303</f>
        <v>7531.68</v>
      </c>
      <c r="F1199" s="1916">
        <f>C1199*E1199</f>
        <v>184.52616</v>
      </c>
    </row>
    <row r="1200" spans="2:8" s="1916" customFormat="1" ht="12.6" customHeight="1">
      <c r="B1200" s="1916" t="s">
        <v>1859</v>
      </c>
      <c r="C1200" s="1916">
        <v>11.14</v>
      </c>
      <c r="D1200" s="1916" t="s">
        <v>126</v>
      </c>
      <c r="E1200" s="1916">
        <f>+F62</f>
        <v>2913</v>
      </c>
      <c r="F1200" s="1916">
        <f>C1200*E1200</f>
        <v>32450.82</v>
      </c>
      <c r="H1200" s="1916">
        <f>3*0.9*2</f>
        <v>5.4</v>
      </c>
    </row>
    <row r="1201" spans="2:31" s="1916" customFormat="1" ht="12.6" customHeight="1">
      <c r="B1201" s="1916" t="s">
        <v>1862</v>
      </c>
      <c r="C1201" s="1916">
        <f>1/(0.7*0.7)</f>
        <v>2.0408163265306101</v>
      </c>
      <c r="D1201" s="1916" t="s">
        <v>1</v>
      </c>
      <c r="E1201" s="1916">
        <v>250</v>
      </c>
      <c r="F1201" s="1916">
        <f>C1201*E1201</f>
        <v>510.20408163265301</v>
      </c>
    </row>
    <row r="1202" spans="2:31" s="1916" customFormat="1" ht="12.6" customHeight="1">
      <c r="E1202" s="1916" t="s">
        <v>1031</v>
      </c>
      <c r="F1202" s="1916">
        <f>ROUND(SUM(F1199:F1201),2)</f>
        <v>33145.550000000003</v>
      </c>
      <c r="H1202" s="1916">
        <v>8</v>
      </c>
      <c r="I1202" s="1916">
        <v>0.75</v>
      </c>
      <c r="J1202" s="1916">
        <f>+I1202*H1202</f>
        <v>6</v>
      </c>
    </row>
    <row r="1203" spans="2:31" s="1916" customFormat="1">
      <c r="J1203" s="1999">
        <f>0.526*J1202</f>
        <v>3.1560000000000001</v>
      </c>
    </row>
    <row r="1204" spans="2:31" s="1916" customFormat="1">
      <c r="B1204" s="1916" t="s">
        <v>900</v>
      </c>
    </row>
    <row r="1205" spans="2:31" s="1916" customFormat="1"/>
    <row r="1206" spans="2:31" s="1916" customFormat="1">
      <c r="B1206" s="1916" t="s">
        <v>1952</v>
      </c>
      <c r="C1206" s="1916">
        <v>0.28999999999999998</v>
      </c>
      <c r="D1206" s="1916" t="s">
        <v>2</v>
      </c>
      <c r="E1206" s="1916">
        <f>+F303</f>
        <v>7531.68</v>
      </c>
      <c r="F1206" s="1916">
        <f t="shared" ref="F1206:F1211" si="23">ROUND(C1206*E1206,2)</f>
        <v>2184.19</v>
      </c>
    </row>
    <row r="1207" spans="2:31" s="1916" customFormat="1">
      <c r="B1207" s="1916" t="s">
        <v>1953</v>
      </c>
      <c r="C1207" s="1916">
        <v>3.78</v>
      </c>
      <c r="D1207" s="1916" t="s">
        <v>11</v>
      </c>
      <c r="E1207" s="1916">
        <f>+F1094</f>
        <v>0</v>
      </c>
      <c r="F1207" s="1916">
        <f t="shared" si="23"/>
        <v>0</v>
      </c>
    </row>
    <row r="1208" spans="2:31" s="1916" customFormat="1">
      <c r="B1208" s="1916" t="s">
        <v>1954</v>
      </c>
      <c r="C1208" s="1916">
        <v>0.27</v>
      </c>
      <c r="D1208" s="1916" t="s">
        <v>126</v>
      </c>
      <c r="E1208" s="1916">
        <f>+F62</f>
        <v>2913</v>
      </c>
      <c r="F1208" s="3385">
        <f t="shared" si="23"/>
        <v>786.51</v>
      </c>
      <c r="H1208" s="1999"/>
    </row>
    <row r="1209" spans="2:31" s="1916" customFormat="1">
      <c r="B1209" s="1916" t="s">
        <v>377</v>
      </c>
      <c r="C1209" s="1916">
        <v>3.24</v>
      </c>
      <c r="D1209" s="1916" t="s">
        <v>11</v>
      </c>
      <c r="E1209" s="1916">
        <f>+C961</f>
        <v>0</v>
      </c>
      <c r="F1209" s="1916">
        <f t="shared" si="23"/>
        <v>0</v>
      </c>
    </row>
    <row r="1210" spans="2:31" s="1916" customFormat="1">
      <c r="B1210" s="1916" t="s">
        <v>1955</v>
      </c>
      <c r="C1210" s="1916">
        <v>1.58</v>
      </c>
      <c r="D1210" s="1916" t="s">
        <v>1896</v>
      </c>
      <c r="E1210" s="1916">
        <v>315.23</v>
      </c>
      <c r="F1210" s="3385">
        <f t="shared" si="23"/>
        <v>498.06</v>
      </c>
    </row>
    <row r="1211" spans="2:31" s="1916" customFormat="1">
      <c r="B1211" s="1916" t="s">
        <v>697</v>
      </c>
      <c r="C1211" s="1916">
        <v>1</v>
      </c>
      <c r="D1211" s="1916" t="s">
        <v>3</v>
      </c>
      <c r="E1211" s="1916">
        <v>450</v>
      </c>
      <c r="F1211" s="1916">
        <f t="shared" si="23"/>
        <v>450</v>
      </c>
    </row>
    <row r="1212" spans="2:31" s="1916" customFormat="1">
      <c r="E1212" s="1916" t="s">
        <v>1031</v>
      </c>
      <c r="F1212" s="1916">
        <f>SUM(F1206:F1211)</f>
        <v>3918.76</v>
      </c>
    </row>
    <row r="1213" spans="2:31" s="1916" customFormat="1">
      <c r="D1213" s="3386"/>
    </row>
    <row r="1214" spans="2:31">
      <c r="B1214" s="4896" t="s">
        <v>1159</v>
      </c>
      <c r="C1214" s="4896"/>
      <c r="D1214" s="4896"/>
      <c r="E1214" s="4896"/>
      <c r="F1214" s="4896"/>
      <c r="I1214" s="1083"/>
      <c r="J1214" s="1083"/>
      <c r="K1214" s="1083"/>
      <c r="L1214" s="1083"/>
      <c r="M1214" s="1083"/>
      <c r="N1214" s="1083"/>
      <c r="O1214" s="1083"/>
      <c r="P1214" s="1083"/>
      <c r="Q1214" s="1083"/>
      <c r="R1214" s="1083"/>
      <c r="S1214" s="1083"/>
      <c r="T1214" s="1083"/>
      <c r="U1214" s="1083"/>
      <c r="V1214" s="1083"/>
      <c r="W1214" s="1083"/>
      <c r="X1214" s="1083"/>
      <c r="Y1214" s="1083"/>
      <c r="Z1214" s="1083"/>
      <c r="AA1214" s="1083"/>
      <c r="AB1214" s="1083"/>
      <c r="AC1214" s="1083"/>
      <c r="AD1214" s="1083"/>
      <c r="AE1214" s="1083"/>
    </row>
    <row r="1215" spans="2:31" ht="20.25">
      <c r="B1215" s="1157"/>
      <c r="C1215" s="1628"/>
      <c r="D1215" s="1157"/>
      <c r="E1215" s="1157"/>
      <c r="F1215" s="1157"/>
      <c r="I1215" s="1083"/>
      <c r="J1215" s="1083"/>
      <c r="K1215" s="1083"/>
      <c r="L1215" s="1083"/>
      <c r="M1215" s="1083"/>
      <c r="N1215" s="1083"/>
      <c r="O1215" s="1083"/>
      <c r="P1215" s="1083"/>
      <c r="Q1215" s="1083"/>
      <c r="R1215" s="1083"/>
      <c r="S1215" s="1083"/>
      <c r="T1215" s="1083"/>
      <c r="U1215" s="1083"/>
      <c r="V1215" s="1083"/>
      <c r="W1215" s="1083"/>
      <c r="X1215" s="1083"/>
      <c r="Y1215" s="1083"/>
      <c r="Z1215" s="1083"/>
      <c r="AA1215" s="1083"/>
      <c r="AB1215" s="1083"/>
      <c r="AC1215" s="1083"/>
      <c r="AD1215" s="1083"/>
      <c r="AE1215" s="1083"/>
    </row>
    <row r="1216" spans="2:31">
      <c r="B1216" s="1158" t="s">
        <v>268</v>
      </c>
      <c r="C1216" s="1623">
        <v>2.2599999999999998</v>
      </c>
      <c r="D1216" s="1159" t="s">
        <v>269</v>
      </c>
      <c r="E1216" s="1160"/>
      <c r="F1216" s="1160"/>
      <c r="I1216" s="1083"/>
      <c r="J1216" s="1083"/>
      <c r="K1216" s="1083"/>
      <c r="L1216" s="1083"/>
      <c r="M1216" s="1083"/>
      <c r="N1216" s="1083"/>
      <c r="O1216" s="1083"/>
      <c r="P1216" s="1083"/>
      <c r="Q1216" s="1083"/>
      <c r="R1216" s="1083"/>
      <c r="S1216" s="1083"/>
      <c r="T1216" s="1083"/>
      <c r="U1216" s="1083"/>
      <c r="V1216" s="1083"/>
      <c r="W1216" s="1083"/>
      <c r="X1216" s="1083"/>
      <c r="Y1216" s="1083"/>
      <c r="Z1216" s="1083"/>
      <c r="AA1216" s="1083"/>
      <c r="AB1216" s="1083"/>
      <c r="AC1216" s="1083"/>
      <c r="AD1216" s="1083"/>
      <c r="AE1216" s="1083"/>
    </row>
    <row r="1217" spans="2:31" ht="13.5" thickBot="1">
      <c r="B1217" s="1161" t="s">
        <v>270</v>
      </c>
      <c r="C1217" s="1623"/>
      <c r="D1217" s="1159"/>
      <c r="E1217" s="1160"/>
      <c r="F1217" s="1160"/>
      <c r="I1217" s="1083"/>
      <c r="J1217" s="1083"/>
      <c r="K1217" s="1083"/>
      <c r="L1217" s="1083"/>
      <c r="M1217" s="1083"/>
      <c r="N1217" s="1083"/>
      <c r="O1217" s="1083"/>
      <c r="P1217" s="1083"/>
      <c r="Q1217" s="1083"/>
      <c r="R1217" s="1083"/>
      <c r="S1217" s="1083"/>
      <c r="T1217" s="1083"/>
      <c r="U1217" s="1083"/>
      <c r="V1217" s="1083"/>
      <c r="W1217" s="1083"/>
      <c r="X1217" s="1083"/>
      <c r="Y1217" s="1083"/>
      <c r="Z1217" s="1083"/>
      <c r="AA1217" s="1083"/>
      <c r="AB1217" s="1083"/>
      <c r="AC1217" s="1083"/>
      <c r="AD1217" s="1083"/>
      <c r="AE1217" s="1083"/>
    </row>
    <row r="1218" spans="2:31" ht="13.5" thickTop="1">
      <c r="B1218" s="1162" t="s">
        <v>271</v>
      </c>
      <c r="C1218" s="1629">
        <v>1.05</v>
      </c>
      <c r="D1218" s="1163" t="s">
        <v>2</v>
      </c>
      <c r="E1218" s="1164">
        <f>+E1060</f>
        <v>0</v>
      </c>
      <c r="F1218" s="1165">
        <f>C1218*E1218</f>
        <v>0</v>
      </c>
      <c r="I1218" s="1083"/>
      <c r="J1218" s="1083"/>
      <c r="K1218" s="1083"/>
      <c r="L1218" s="1083"/>
      <c r="M1218" s="1083"/>
      <c r="N1218" s="1083"/>
      <c r="O1218" s="1083"/>
      <c r="P1218" s="1083"/>
      <c r="Q1218" s="1083"/>
      <c r="R1218" s="1083"/>
      <c r="S1218" s="1083"/>
      <c r="T1218" s="1083"/>
      <c r="U1218" s="1083"/>
      <c r="V1218" s="1083"/>
      <c r="W1218" s="1083"/>
      <c r="X1218" s="1083"/>
      <c r="Y1218" s="1083"/>
      <c r="Z1218" s="1083"/>
      <c r="AA1218" s="1083"/>
      <c r="AB1218" s="1083"/>
      <c r="AC1218" s="1083"/>
      <c r="AD1218" s="1083"/>
      <c r="AE1218" s="1083"/>
    </row>
    <row r="1219" spans="2:31">
      <c r="B1219" s="3387" t="s">
        <v>272</v>
      </c>
      <c r="C1219" s="3388">
        <f>+C1216</f>
        <v>2.2599999999999998</v>
      </c>
      <c r="D1219" s="3389" t="s">
        <v>126</v>
      </c>
      <c r="E1219" s="3254" t="e">
        <f>+#REF!</f>
        <v>#REF!</v>
      </c>
      <c r="F1219" s="3390" t="e">
        <f>C1219*E1219</f>
        <v>#REF!</v>
      </c>
      <c r="I1219" s="1083"/>
      <c r="J1219" s="1083"/>
      <c r="K1219" s="1083"/>
      <c r="L1219" s="1083"/>
      <c r="M1219" s="1083"/>
      <c r="N1219" s="1083"/>
      <c r="O1219" s="1083"/>
      <c r="P1219" s="1083"/>
      <c r="Q1219" s="1083"/>
      <c r="R1219" s="1083"/>
      <c r="S1219" s="1083"/>
      <c r="T1219" s="1083"/>
      <c r="U1219" s="1083"/>
      <c r="V1219" s="1083"/>
      <c r="W1219" s="1083"/>
      <c r="X1219" s="1083"/>
      <c r="Y1219" s="1083"/>
      <c r="Z1219" s="1083"/>
      <c r="AA1219" s="1083"/>
      <c r="AB1219" s="1083"/>
      <c r="AC1219" s="1083"/>
      <c r="AD1219" s="1083"/>
      <c r="AE1219" s="1083"/>
    </row>
    <row r="1220" spans="2:31" ht="13.5" thickBot="1">
      <c r="B1220" s="3391"/>
      <c r="C1220" s="3392"/>
      <c r="D1220" s="3393"/>
      <c r="E1220" s="3394" t="s">
        <v>274</v>
      </c>
      <c r="F1220" s="3395" t="e">
        <f>SUM(F1218:F1219)</f>
        <v>#REF!</v>
      </c>
      <c r="I1220" s="1083"/>
      <c r="J1220" s="1083"/>
      <c r="K1220" s="1083"/>
      <c r="L1220" s="1083"/>
      <c r="M1220" s="1083"/>
      <c r="N1220" s="1083"/>
      <c r="O1220" s="1083"/>
      <c r="P1220" s="1083"/>
      <c r="Q1220" s="1083"/>
      <c r="R1220" s="1083"/>
      <c r="S1220" s="1083"/>
      <c r="T1220" s="1083"/>
      <c r="U1220" s="1083"/>
      <c r="V1220" s="1083"/>
      <c r="W1220" s="1083"/>
      <c r="X1220" s="1083"/>
      <c r="Y1220" s="1083"/>
      <c r="Z1220" s="1083"/>
      <c r="AA1220" s="1083"/>
      <c r="AB1220" s="1083"/>
      <c r="AC1220" s="1083"/>
      <c r="AD1220" s="1083"/>
      <c r="AE1220" s="1083"/>
    </row>
    <row r="1221" spans="2:31" ht="14.25" thickTop="1" thickBot="1">
      <c r="B1221" s="1166"/>
      <c r="C1221" s="1622"/>
      <c r="D1221" s="1166"/>
      <c r="E1221" s="1167" t="s">
        <v>275</v>
      </c>
      <c r="F1221" s="1168" t="e">
        <v>#REF!</v>
      </c>
      <c r="I1221" s="1083"/>
      <c r="J1221" s="1083"/>
      <c r="K1221" s="1083"/>
      <c r="L1221" s="1083"/>
      <c r="M1221" s="1083"/>
      <c r="N1221" s="1083"/>
      <c r="O1221" s="1083"/>
      <c r="P1221" s="1083"/>
      <c r="Q1221" s="1083"/>
      <c r="R1221" s="1083"/>
      <c r="S1221" s="1083"/>
      <c r="T1221" s="1083"/>
      <c r="U1221" s="1083"/>
      <c r="V1221" s="1083"/>
      <c r="W1221" s="1083"/>
      <c r="X1221" s="1083"/>
      <c r="Y1221" s="1083"/>
      <c r="Z1221" s="1083"/>
      <c r="AA1221" s="1083"/>
      <c r="AB1221" s="1083"/>
      <c r="AC1221" s="1083"/>
      <c r="AD1221" s="1083"/>
      <c r="AE1221" s="1083"/>
    </row>
    <row r="1222" spans="2:31" ht="14.25" thickTop="1" thickBot="1">
      <c r="B1222" s="1161" t="s">
        <v>276</v>
      </c>
      <c r="C1222" s="1623"/>
      <c r="D1222" s="1159"/>
      <c r="E1222" s="1160"/>
      <c r="F1222" s="1160"/>
      <c r="I1222" s="1083"/>
      <c r="J1222" s="1083"/>
      <c r="K1222" s="1083"/>
      <c r="L1222" s="1083"/>
      <c r="M1222" s="1083"/>
      <c r="N1222" s="1083"/>
      <c r="O1222" s="1083"/>
      <c r="P1222" s="1083"/>
      <c r="Q1222" s="1083"/>
      <c r="R1222" s="1083"/>
      <c r="S1222" s="1083"/>
      <c r="T1222" s="1083"/>
      <c r="U1222" s="1083"/>
      <c r="V1222" s="1083"/>
      <c r="W1222" s="1083"/>
      <c r="X1222" s="1083"/>
      <c r="Y1222" s="1083"/>
      <c r="Z1222" s="1083"/>
      <c r="AA1222" s="1083"/>
      <c r="AB1222" s="1083"/>
      <c r="AC1222" s="1083"/>
      <c r="AD1222" s="1083"/>
      <c r="AE1222" s="1083"/>
    </row>
    <row r="1223" spans="2:31" s="1235" customFormat="1" ht="24.75" thickTop="1">
      <c r="B1223" s="1231" t="s">
        <v>1158</v>
      </c>
      <c r="C1223" s="1232">
        <v>0.25</v>
      </c>
      <c r="D1223" s="1233" t="s">
        <v>3</v>
      </c>
      <c r="E1223" s="1169">
        <v>1770.16</v>
      </c>
      <c r="F1223" s="1234">
        <f>C1223*E1223</f>
        <v>442.54</v>
      </c>
    </row>
    <row r="1224" spans="2:31">
      <c r="B1224" s="1170" t="s">
        <v>280</v>
      </c>
      <c r="C1224" s="1624">
        <v>0.1</v>
      </c>
      <c r="D1224" s="1171" t="s">
        <v>183</v>
      </c>
      <c r="E1224" s="1172">
        <v>35</v>
      </c>
      <c r="F1224" s="3390">
        <f>C1224*E1224</f>
        <v>3.5</v>
      </c>
      <c r="I1224" s="1083"/>
      <c r="J1224" s="1083"/>
      <c r="K1224" s="1083"/>
      <c r="L1224" s="1083"/>
      <c r="M1224" s="1083"/>
      <c r="N1224" s="1083"/>
      <c r="O1224" s="1083"/>
      <c r="P1224" s="1083"/>
      <c r="Q1224" s="1083"/>
      <c r="R1224" s="1083"/>
      <c r="S1224" s="1083"/>
      <c r="T1224" s="1083"/>
      <c r="U1224" s="1083"/>
      <c r="V1224" s="1083"/>
      <c r="W1224" s="1083"/>
      <c r="X1224" s="1083"/>
      <c r="Y1224" s="1083"/>
      <c r="Z1224" s="1083"/>
      <c r="AA1224" s="1083"/>
      <c r="AB1224" s="1083"/>
      <c r="AC1224" s="1083"/>
      <c r="AD1224" s="1083"/>
      <c r="AE1224" s="1083"/>
    </row>
    <row r="1225" spans="2:31" ht="13.5" thickBot="1">
      <c r="B1225" s="3396" t="s">
        <v>63</v>
      </c>
      <c r="C1225" s="3397">
        <v>30</v>
      </c>
      <c r="D1225" s="3398" t="s">
        <v>46</v>
      </c>
      <c r="E1225" s="3399">
        <f>+SUM(F1223:F1224)</f>
        <v>446.04</v>
      </c>
      <c r="F1225" s="3400">
        <f>+(C1225/100)*E1225</f>
        <v>133.81</v>
      </c>
      <c r="I1225" s="1083"/>
      <c r="J1225" s="1083"/>
      <c r="K1225" s="1083"/>
      <c r="L1225" s="1083"/>
      <c r="M1225" s="1083"/>
      <c r="N1225" s="1083"/>
      <c r="O1225" s="1083"/>
      <c r="P1225" s="1083"/>
      <c r="Q1225" s="1083"/>
      <c r="R1225" s="1083"/>
      <c r="S1225" s="1083"/>
      <c r="T1225" s="1083"/>
      <c r="U1225" s="1083"/>
      <c r="V1225" s="1083"/>
      <c r="W1225" s="1083"/>
      <c r="X1225" s="1083"/>
      <c r="Y1225" s="1083"/>
      <c r="Z1225" s="1083"/>
      <c r="AA1225" s="1083"/>
      <c r="AB1225" s="1083"/>
      <c r="AC1225" s="1083"/>
      <c r="AD1225" s="1083"/>
      <c r="AE1225" s="1083"/>
    </row>
    <row r="1226" spans="2:31" ht="14.25" thickTop="1" thickBot="1">
      <c r="B1226" s="1173"/>
      <c r="C1226" s="1625"/>
      <c r="D1226" s="1174"/>
      <c r="E1226" s="1167" t="s">
        <v>275</v>
      </c>
      <c r="F1226" s="1168">
        <f>SUM(F1223:F1225)</f>
        <v>579.85</v>
      </c>
      <c r="I1226" s="1083"/>
      <c r="J1226" s="1083"/>
      <c r="K1226" s="1083"/>
      <c r="L1226" s="1083"/>
      <c r="M1226" s="1083"/>
      <c r="N1226" s="1083"/>
      <c r="O1226" s="1083"/>
      <c r="P1226" s="1083"/>
      <c r="Q1226" s="1083"/>
      <c r="R1226" s="1083"/>
      <c r="S1226" s="1083"/>
      <c r="T1226" s="1083"/>
      <c r="U1226" s="1083"/>
      <c r="V1226" s="1083"/>
      <c r="W1226" s="1083"/>
      <c r="X1226" s="1083"/>
      <c r="Y1226" s="1083"/>
      <c r="Z1226" s="1083"/>
      <c r="AA1226" s="1083"/>
      <c r="AB1226" s="1083"/>
      <c r="AC1226" s="1083"/>
      <c r="AD1226" s="1083"/>
      <c r="AE1226" s="1083"/>
    </row>
    <row r="1227" spans="2:31" ht="14.25" thickTop="1" thickBot="1">
      <c r="B1227" s="1166"/>
      <c r="C1227" s="1626"/>
      <c r="D1227" s="1175"/>
      <c r="E1227" s="1176"/>
      <c r="F1227" s="1177"/>
      <c r="I1227" s="1083"/>
      <c r="J1227" s="1083"/>
      <c r="K1227" s="1083"/>
      <c r="L1227" s="1083"/>
      <c r="M1227" s="1083"/>
      <c r="N1227" s="1083"/>
      <c r="O1227" s="1083"/>
      <c r="P1227" s="1083"/>
      <c r="Q1227" s="1083"/>
      <c r="R1227" s="1083"/>
      <c r="S1227" s="1083"/>
      <c r="T1227" s="1083"/>
      <c r="U1227" s="1083"/>
      <c r="V1227" s="1083"/>
      <c r="W1227" s="1083"/>
      <c r="X1227" s="1083"/>
      <c r="Y1227" s="1083"/>
      <c r="Z1227" s="1083"/>
      <c r="AA1227" s="1083"/>
      <c r="AB1227" s="1083"/>
      <c r="AC1227" s="1083"/>
      <c r="AD1227" s="1083"/>
      <c r="AE1227" s="1083"/>
    </row>
    <row r="1228" spans="2:31" ht="14.25" thickTop="1" thickBot="1">
      <c r="B1228" s="1166"/>
      <c r="C1228" s="4896" t="s">
        <v>281</v>
      </c>
      <c r="D1228" s="4896"/>
      <c r="E1228" s="4896"/>
      <c r="F1228" s="1178" t="e">
        <f>+F1221+F1226</f>
        <v>#REF!</v>
      </c>
      <c r="I1228" s="1083"/>
      <c r="J1228" s="1083"/>
      <c r="K1228" s="1083"/>
      <c r="L1228" s="1083"/>
      <c r="M1228" s="1083"/>
      <c r="N1228" s="1083"/>
      <c r="O1228" s="1083"/>
      <c r="P1228" s="1083"/>
      <c r="Q1228" s="1083"/>
      <c r="R1228" s="1083"/>
      <c r="S1228" s="1083"/>
      <c r="T1228" s="1083"/>
      <c r="U1228" s="1083"/>
      <c r="V1228" s="1083"/>
      <c r="W1228" s="1083"/>
      <c r="X1228" s="1083"/>
      <c r="Y1228" s="1083"/>
      <c r="Z1228" s="1083"/>
      <c r="AA1228" s="1083"/>
      <c r="AB1228" s="1083"/>
      <c r="AC1228" s="1083"/>
      <c r="AD1228" s="1083"/>
      <c r="AE1228" s="1083"/>
    </row>
    <row r="1229" spans="2:31" ht="13.5" thickTop="1">
      <c r="B1229" s="1179"/>
      <c r="C1229" s="1627"/>
      <c r="D1229" s="1179"/>
      <c r="E1229" s="1179"/>
      <c r="F1229" s="1179"/>
      <c r="I1229" s="1083"/>
      <c r="J1229" s="1083"/>
      <c r="K1229" s="1083"/>
      <c r="L1229" s="1083"/>
      <c r="M1229" s="1083"/>
      <c r="N1229" s="1083"/>
      <c r="O1229" s="1083"/>
      <c r="P1229" s="1083"/>
      <c r="Q1229" s="1083"/>
      <c r="R1229" s="1083"/>
      <c r="S1229" s="1083"/>
      <c r="T1229" s="1083"/>
      <c r="U1229" s="1083"/>
      <c r="V1229" s="1083"/>
      <c r="W1229" s="1083"/>
      <c r="X1229" s="1083"/>
      <c r="Y1229" s="1083"/>
      <c r="Z1229" s="1083"/>
      <c r="AA1229" s="1083"/>
      <c r="AB1229" s="1083"/>
      <c r="AC1229" s="1083"/>
      <c r="AD1229" s="1083"/>
      <c r="AE1229" s="1083"/>
    </row>
    <row r="1230" spans="2:31">
      <c r="B1230" s="4896" t="s">
        <v>1160</v>
      </c>
      <c r="C1230" s="4896"/>
      <c r="D1230" s="4896"/>
      <c r="E1230" s="4896"/>
      <c r="F1230" s="4896"/>
      <c r="I1230" s="1083"/>
      <c r="J1230" s="1083"/>
      <c r="K1230" s="1083"/>
      <c r="L1230" s="1083"/>
      <c r="M1230" s="1083"/>
      <c r="N1230" s="1083"/>
      <c r="O1230" s="1083"/>
      <c r="P1230" s="1083"/>
      <c r="Q1230" s="1083"/>
      <c r="R1230" s="1083"/>
      <c r="S1230" s="1083"/>
      <c r="T1230" s="1083"/>
      <c r="U1230" s="1083"/>
      <c r="V1230" s="1083"/>
      <c r="W1230" s="1083"/>
      <c r="X1230" s="1083"/>
      <c r="Y1230" s="1083"/>
      <c r="Z1230" s="1083"/>
      <c r="AA1230" s="1083"/>
      <c r="AB1230" s="1083"/>
      <c r="AC1230" s="1083"/>
      <c r="AD1230" s="1083"/>
      <c r="AE1230" s="1083"/>
    </row>
    <row r="1231" spans="2:31" ht="20.25">
      <c r="B1231" s="1157"/>
      <c r="C1231" s="1628"/>
      <c r="D1231" s="1157"/>
      <c r="E1231" s="1157"/>
      <c r="F1231" s="1157"/>
      <c r="I1231" s="1083"/>
      <c r="J1231" s="1083"/>
      <c r="K1231" s="1083"/>
      <c r="L1231" s="1083"/>
      <c r="M1231" s="1083"/>
      <c r="N1231" s="1083"/>
      <c r="O1231" s="1083"/>
      <c r="P1231" s="1083"/>
      <c r="Q1231" s="1083"/>
      <c r="R1231" s="1083"/>
      <c r="S1231" s="1083"/>
      <c r="T1231" s="1083"/>
      <c r="U1231" s="1083"/>
      <c r="V1231" s="1083"/>
      <c r="W1231" s="1083"/>
      <c r="X1231" s="1083"/>
      <c r="Y1231" s="1083"/>
      <c r="Z1231" s="1083"/>
      <c r="AA1231" s="1083"/>
      <c r="AB1231" s="1083"/>
      <c r="AC1231" s="1083"/>
      <c r="AD1231" s="1083"/>
      <c r="AE1231" s="1083"/>
    </row>
    <row r="1232" spans="2:31">
      <c r="B1232" s="1158" t="s">
        <v>268</v>
      </c>
      <c r="C1232" s="1623">
        <v>3.26</v>
      </c>
      <c r="D1232" s="1159" t="s">
        <v>269</v>
      </c>
      <c r="E1232" s="1160"/>
      <c r="F1232" s="1160"/>
      <c r="I1232" s="1083"/>
      <c r="J1232" s="1083"/>
      <c r="K1232" s="1083"/>
      <c r="L1232" s="1083"/>
      <c r="M1232" s="1083"/>
      <c r="N1232" s="1083"/>
      <c r="O1232" s="1083"/>
      <c r="P1232" s="1083"/>
      <c r="Q1232" s="1083"/>
      <c r="R1232" s="1083"/>
      <c r="S1232" s="1083"/>
      <c r="T1232" s="1083"/>
      <c r="U1232" s="1083"/>
      <c r="V1232" s="1083"/>
      <c r="W1232" s="1083"/>
      <c r="X1232" s="1083"/>
      <c r="Y1232" s="1083"/>
      <c r="Z1232" s="1083"/>
      <c r="AA1232" s="1083"/>
      <c r="AB1232" s="1083"/>
      <c r="AC1232" s="1083"/>
      <c r="AD1232" s="1083"/>
      <c r="AE1232" s="1083"/>
    </row>
    <row r="1233" spans="2:31" ht="13.5" thickBot="1">
      <c r="B1233" s="1161" t="s">
        <v>270</v>
      </c>
      <c r="C1233" s="1623"/>
      <c r="D1233" s="1159"/>
      <c r="E1233" s="1160"/>
      <c r="F1233" s="1160"/>
      <c r="I1233" s="1083"/>
      <c r="J1233" s="1083"/>
      <c r="K1233" s="1083"/>
      <c r="L1233" s="1083"/>
      <c r="M1233" s="1083"/>
      <c r="N1233" s="1083"/>
      <c r="O1233" s="1083"/>
      <c r="P1233" s="1083"/>
      <c r="Q1233" s="1083"/>
      <c r="R1233" s="1083"/>
      <c r="S1233" s="1083"/>
      <c r="T1233" s="1083"/>
      <c r="U1233" s="1083"/>
      <c r="V1233" s="1083"/>
      <c r="W1233" s="1083"/>
      <c r="X1233" s="1083"/>
      <c r="Y1233" s="1083"/>
      <c r="Z1233" s="1083"/>
      <c r="AA1233" s="1083"/>
      <c r="AB1233" s="1083"/>
      <c r="AC1233" s="1083"/>
      <c r="AD1233" s="1083"/>
      <c r="AE1233" s="1083"/>
    </row>
    <row r="1234" spans="2:31" ht="13.5" thickTop="1">
      <c r="B1234" s="1162" t="s">
        <v>271</v>
      </c>
      <c r="C1234" s="1629">
        <v>1.05</v>
      </c>
      <c r="D1234" s="1163" t="s">
        <v>2</v>
      </c>
      <c r="E1234" s="1164">
        <f>+E1218</f>
        <v>0</v>
      </c>
      <c r="F1234" s="1165">
        <f>C1234*E1234</f>
        <v>0</v>
      </c>
      <c r="I1234" s="1083"/>
      <c r="J1234" s="1083"/>
      <c r="K1234" s="1083"/>
      <c r="L1234" s="1083"/>
      <c r="M1234" s="1083"/>
      <c r="N1234" s="1083"/>
      <c r="O1234" s="1083"/>
      <c r="P1234" s="1083"/>
      <c r="Q1234" s="1083"/>
      <c r="R1234" s="1083"/>
      <c r="S1234" s="1083"/>
      <c r="T1234" s="1083"/>
      <c r="U1234" s="1083"/>
      <c r="V1234" s="1083"/>
      <c r="W1234" s="1083"/>
      <c r="X1234" s="1083"/>
      <c r="Y1234" s="1083"/>
      <c r="Z1234" s="1083"/>
      <c r="AA1234" s="1083"/>
      <c r="AB1234" s="1083"/>
      <c r="AC1234" s="1083"/>
      <c r="AD1234" s="1083"/>
      <c r="AE1234" s="1083"/>
    </row>
    <row r="1235" spans="2:31">
      <c r="B1235" s="3387" t="s">
        <v>272</v>
      </c>
      <c r="C1235" s="3388">
        <f>+C1232</f>
        <v>3.26</v>
      </c>
      <c r="D1235" s="3389" t="s">
        <v>126</v>
      </c>
      <c r="E1235" s="3254">
        <f>+E1200</f>
        <v>2913</v>
      </c>
      <c r="F1235" s="3390">
        <f>C1235*E1235</f>
        <v>9496.3799999999992</v>
      </c>
      <c r="I1235" s="1083"/>
      <c r="J1235" s="1083"/>
      <c r="K1235" s="1083"/>
      <c r="L1235" s="1083"/>
      <c r="M1235" s="1083"/>
      <c r="N1235" s="1083"/>
      <c r="O1235" s="1083"/>
      <c r="P1235" s="1083"/>
      <c r="Q1235" s="1083"/>
      <c r="R1235" s="1083"/>
      <c r="S1235" s="1083"/>
      <c r="T1235" s="1083"/>
      <c r="U1235" s="1083"/>
      <c r="V1235" s="1083"/>
      <c r="W1235" s="1083"/>
      <c r="X1235" s="1083"/>
      <c r="Y1235" s="1083"/>
      <c r="Z1235" s="1083"/>
      <c r="AA1235" s="1083"/>
      <c r="AB1235" s="1083"/>
      <c r="AC1235" s="1083"/>
      <c r="AD1235" s="1083"/>
      <c r="AE1235" s="1083"/>
    </row>
    <row r="1236" spans="2:31" ht="13.5" thickBot="1">
      <c r="B1236" s="3391"/>
      <c r="C1236" s="3392"/>
      <c r="D1236" s="3393"/>
      <c r="E1236" s="3394" t="s">
        <v>274</v>
      </c>
      <c r="F1236" s="3395">
        <f>SUM(F1234:F1235)</f>
        <v>9496.3799999999992</v>
      </c>
      <c r="I1236" s="1083"/>
      <c r="J1236" s="1083"/>
      <c r="K1236" s="1083"/>
      <c r="L1236" s="1083"/>
      <c r="M1236" s="1083"/>
      <c r="N1236" s="1083"/>
      <c r="O1236" s="1083"/>
      <c r="P1236" s="1083"/>
      <c r="Q1236" s="1083"/>
      <c r="R1236" s="1083"/>
      <c r="S1236" s="1083"/>
      <c r="T1236" s="1083"/>
      <c r="U1236" s="1083"/>
      <c r="V1236" s="1083"/>
      <c r="W1236" s="1083"/>
      <c r="X1236" s="1083"/>
      <c r="Y1236" s="1083"/>
      <c r="Z1236" s="1083"/>
      <c r="AA1236" s="1083"/>
      <c r="AB1236" s="1083"/>
      <c r="AC1236" s="1083"/>
      <c r="AD1236" s="1083"/>
      <c r="AE1236" s="1083"/>
    </row>
    <row r="1237" spans="2:31" ht="14.25" thickTop="1" thickBot="1">
      <c r="B1237" s="1166"/>
      <c r="C1237" s="1622"/>
      <c r="D1237" s="1166"/>
      <c r="E1237" s="1167" t="s">
        <v>275</v>
      </c>
      <c r="F1237" s="1168">
        <v>3323.73</v>
      </c>
      <c r="I1237" s="1083"/>
      <c r="J1237" s="1083"/>
      <c r="K1237" s="1083"/>
      <c r="L1237" s="1083"/>
      <c r="M1237" s="1083"/>
      <c r="N1237" s="1083"/>
      <c r="O1237" s="1083"/>
      <c r="P1237" s="1083"/>
      <c r="Q1237" s="1083"/>
      <c r="R1237" s="1083"/>
      <c r="S1237" s="1083"/>
      <c r="T1237" s="1083"/>
      <c r="U1237" s="1083"/>
      <c r="V1237" s="1083"/>
      <c r="W1237" s="1083"/>
      <c r="X1237" s="1083"/>
      <c r="Y1237" s="1083"/>
      <c r="Z1237" s="1083"/>
      <c r="AA1237" s="1083"/>
      <c r="AB1237" s="1083"/>
      <c r="AC1237" s="1083"/>
      <c r="AD1237" s="1083"/>
      <c r="AE1237" s="1083"/>
    </row>
    <row r="1238" spans="2:31" ht="14.25" thickTop="1" thickBot="1">
      <c r="B1238" s="1161" t="s">
        <v>276</v>
      </c>
      <c r="C1238" s="1623"/>
      <c r="D1238" s="1159"/>
      <c r="E1238" s="1160"/>
      <c r="F1238" s="1160"/>
      <c r="I1238" s="1083"/>
      <c r="J1238" s="1083"/>
      <c r="K1238" s="1083"/>
      <c r="L1238" s="1083"/>
      <c r="M1238" s="1083"/>
      <c r="N1238" s="1083"/>
      <c r="O1238" s="1083"/>
      <c r="P1238" s="1083"/>
      <c r="Q1238" s="1083"/>
      <c r="R1238" s="1083"/>
      <c r="S1238" s="1083"/>
      <c r="T1238" s="1083"/>
      <c r="U1238" s="1083"/>
      <c r="V1238" s="1083"/>
      <c r="W1238" s="1083"/>
      <c r="X1238" s="1083"/>
      <c r="Y1238" s="1083"/>
      <c r="Z1238" s="1083"/>
      <c r="AA1238" s="1083"/>
      <c r="AB1238" s="1083"/>
      <c r="AC1238" s="1083"/>
      <c r="AD1238" s="1083"/>
      <c r="AE1238" s="1083"/>
    </row>
    <row r="1239" spans="2:31" ht="13.5" thickTop="1">
      <c r="B1239" s="1916" t="s">
        <v>1956</v>
      </c>
      <c r="C1239" s="1232">
        <v>0.25</v>
      </c>
      <c r="D1239" s="1163" t="s">
        <v>3</v>
      </c>
      <c r="E1239" s="1169">
        <v>1770.16</v>
      </c>
      <c r="F1239" s="1165">
        <f>C1239*E1239</f>
        <v>442.54</v>
      </c>
      <c r="I1239" s="1083"/>
      <c r="J1239" s="1083"/>
      <c r="K1239" s="1083"/>
      <c r="L1239" s="1083"/>
      <c r="M1239" s="1083"/>
      <c r="N1239" s="1083"/>
      <c r="O1239" s="1083"/>
      <c r="P1239" s="1083"/>
      <c r="Q1239" s="1083"/>
      <c r="R1239" s="1083"/>
      <c r="S1239" s="1083"/>
      <c r="T1239" s="1083"/>
      <c r="U1239" s="1083"/>
      <c r="V1239" s="1083"/>
      <c r="W1239" s="1083"/>
      <c r="X1239" s="1083"/>
      <c r="Y1239" s="1083"/>
      <c r="Z1239" s="1083"/>
      <c r="AA1239" s="1083"/>
      <c r="AB1239" s="1083"/>
      <c r="AC1239" s="1083"/>
      <c r="AD1239" s="1083"/>
      <c r="AE1239" s="1083"/>
    </row>
    <row r="1240" spans="2:31">
      <c r="B1240" s="1170" t="s">
        <v>280</v>
      </c>
      <c r="C1240" s="1624">
        <v>0.1</v>
      </c>
      <c r="D1240" s="1171" t="s">
        <v>183</v>
      </c>
      <c r="E1240" s="1172">
        <v>35</v>
      </c>
      <c r="F1240" s="3390">
        <f>C1240*E1240</f>
        <v>3.5</v>
      </c>
      <c r="I1240" s="1083"/>
      <c r="J1240" s="1083"/>
      <c r="K1240" s="1083"/>
      <c r="L1240" s="1083"/>
      <c r="M1240" s="1083"/>
      <c r="N1240" s="1083"/>
      <c r="O1240" s="1083"/>
      <c r="P1240" s="1083"/>
      <c r="Q1240" s="1083"/>
      <c r="R1240" s="1083"/>
      <c r="S1240" s="1083"/>
      <c r="T1240" s="1083"/>
      <c r="U1240" s="1083"/>
      <c r="V1240" s="1083"/>
      <c r="W1240" s="1083"/>
      <c r="X1240" s="1083"/>
      <c r="Y1240" s="1083"/>
      <c r="Z1240" s="1083"/>
      <c r="AA1240" s="1083"/>
      <c r="AB1240" s="1083"/>
      <c r="AC1240" s="1083"/>
      <c r="AD1240" s="1083"/>
      <c r="AE1240" s="1083"/>
    </row>
    <row r="1241" spans="2:31" ht="13.5" thickBot="1">
      <c r="B1241" s="3396" t="s">
        <v>63</v>
      </c>
      <c r="C1241" s="3397">
        <v>30</v>
      </c>
      <c r="D1241" s="3398" t="s">
        <v>46</v>
      </c>
      <c r="E1241" s="3399">
        <f>+SUM(F1239:F1240)</f>
        <v>446.04</v>
      </c>
      <c r="F1241" s="3400">
        <f>+(C1241/100)*E1241</f>
        <v>133.81</v>
      </c>
      <c r="I1241" s="1083"/>
      <c r="J1241" s="1083"/>
      <c r="K1241" s="1083"/>
      <c r="L1241" s="1083"/>
      <c r="M1241" s="1083"/>
      <c r="N1241" s="1083"/>
      <c r="O1241" s="1083"/>
      <c r="P1241" s="1083"/>
      <c r="Q1241" s="1083"/>
      <c r="R1241" s="1083"/>
      <c r="S1241" s="1083"/>
      <c r="T1241" s="1083"/>
      <c r="U1241" s="1083"/>
      <c r="V1241" s="1083"/>
      <c r="W1241" s="1083"/>
      <c r="X1241" s="1083"/>
      <c r="Y1241" s="1083"/>
      <c r="Z1241" s="1083"/>
      <c r="AA1241" s="1083"/>
      <c r="AB1241" s="1083"/>
      <c r="AC1241" s="1083"/>
      <c r="AD1241" s="1083"/>
      <c r="AE1241" s="1083"/>
    </row>
    <row r="1242" spans="2:31" ht="14.25" thickTop="1" thickBot="1">
      <c r="B1242" s="1173"/>
      <c r="C1242" s="1625"/>
      <c r="D1242" s="1174"/>
      <c r="E1242" s="1167" t="s">
        <v>275</v>
      </c>
      <c r="F1242" s="1168">
        <f>SUM(F1239:F1241)</f>
        <v>579.85</v>
      </c>
      <c r="I1242" s="1083"/>
      <c r="J1242" s="1083"/>
      <c r="K1242" s="1083"/>
      <c r="L1242" s="1083"/>
      <c r="M1242" s="1083"/>
      <c r="N1242" s="1083"/>
      <c r="O1242" s="1083"/>
      <c r="P1242" s="1083"/>
      <c r="Q1242" s="1083"/>
      <c r="R1242" s="1083"/>
      <c r="S1242" s="1083"/>
      <c r="T1242" s="1083"/>
      <c r="U1242" s="1083"/>
      <c r="V1242" s="1083"/>
      <c r="W1242" s="1083"/>
      <c r="X1242" s="1083"/>
      <c r="Y1242" s="1083"/>
      <c r="Z1242" s="1083"/>
      <c r="AA1242" s="1083"/>
      <c r="AB1242" s="1083"/>
      <c r="AC1242" s="1083"/>
      <c r="AD1242" s="1083"/>
      <c r="AE1242" s="1083"/>
    </row>
    <row r="1243" spans="2:31" ht="14.25" thickTop="1" thickBot="1">
      <c r="B1243" s="1166"/>
      <c r="C1243" s="1626"/>
      <c r="D1243" s="1175"/>
      <c r="E1243" s="1176"/>
      <c r="F1243" s="1177"/>
      <c r="I1243" s="1083"/>
      <c r="J1243" s="1083"/>
      <c r="K1243" s="1083"/>
      <c r="L1243" s="1083"/>
      <c r="M1243" s="1083"/>
      <c r="N1243" s="1083"/>
      <c r="O1243" s="1083"/>
      <c r="P1243" s="1083"/>
      <c r="Q1243" s="1083"/>
      <c r="R1243" s="1083"/>
      <c r="S1243" s="1083"/>
      <c r="T1243" s="1083"/>
      <c r="U1243" s="1083"/>
      <c r="V1243" s="1083"/>
      <c r="W1243" s="1083"/>
      <c r="X1243" s="1083"/>
      <c r="Y1243" s="1083"/>
      <c r="Z1243" s="1083"/>
      <c r="AA1243" s="1083"/>
      <c r="AB1243" s="1083"/>
      <c r="AC1243" s="1083"/>
      <c r="AD1243" s="1083"/>
      <c r="AE1243" s="1083"/>
    </row>
    <row r="1244" spans="2:31" ht="14.25" thickTop="1" thickBot="1">
      <c r="B1244" s="1166"/>
      <c r="C1244" s="4896" t="s">
        <v>281</v>
      </c>
      <c r="D1244" s="4896"/>
      <c r="E1244" s="4896"/>
      <c r="F1244" s="1178">
        <f>+F1237+F1242</f>
        <v>3903.58</v>
      </c>
      <c r="I1244" s="1083"/>
      <c r="J1244" s="1083"/>
      <c r="K1244" s="1083"/>
      <c r="L1244" s="1083"/>
      <c r="M1244" s="1083"/>
      <c r="N1244" s="1083"/>
      <c r="O1244" s="1083"/>
      <c r="P1244" s="1083"/>
      <c r="Q1244" s="1083"/>
      <c r="R1244" s="1083"/>
      <c r="S1244" s="1083"/>
      <c r="T1244" s="1083"/>
      <c r="U1244" s="1083"/>
      <c r="V1244" s="1083"/>
      <c r="W1244" s="1083"/>
      <c r="X1244" s="1083"/>
      <c r="Y1244" s="1083"/>
      <c r="Z1244" s="1083"/>
      <c r="AA1244" s="1083"/>
      <c r="AB1244" s="1083"/>
      <c r="AC1244" s="1083"/>
      <c r="AD1244" s="1083"/>
      <c r="AE1244" s="1083"/>
    </row>
    <row r="1245" spans="2:31" ht="13.5" thickTop="1">
      <c r="B1245" s="1179"/>
      <c r="C1245" s="1627"/>
      <c r="D1245" s="1179"/>
      <c r="E1245" s="1179"/>
      <c r="F1245" s="1179"/>
      <c r="I1245" s="1083"/>
      <c r="J1245" s="1083"/>
      <c r="K1245" s="1083"/>
      <c r="L1245" s="1083"/>
      <c r="M1245" s="1083"/>
      <c r="N1245" s="1083"/>
      <c r="O1245" s="1083"/>
      <c r="P1245" s="1083"/>
      <c r="Q1245" s="1083"/>
      <c r="R1245" s="1083"/>
      <c r="S1245" s="1083"/>
      <c r="T1245" s="1083"/>
      <c r="U1245" s="1083"/>
      <c r="V1245" s="1083"/>
      <c r="W1245" s="1083"/>
      <c r="X1245" s="1083"/>
      <c r="Y1245" s="1083"/>
      <c r="Z1245" s="1083"/>
      <c r="AA1245" s="1083"/>
      <c r="AB1245" s="1083"/>
      <c r="AC1245" s="1083"/>
      <c r="AD1245" s="1083"/>
      <c r="AE1245" s="1083"/>
    </row>
    <row r="1246" spans="2:31" ht="13.5" thickBot="1">
      <c r="B1246" s="4896" t="s">
        <v>1161</v>
      </c>
      <c r="C1246" s="4896"/>
      <c r="D1246" s="4896"/>
      <c r="E1246" s="4896"/>
      <c r="F1246" s="4896"/>
      <c r="I1246" s="1083"/>
      <c r="J1246" s="1083"/>
      <c r="K1246" s="1083"/>
      <c r="L1246" s="1083"/>
      <c r="M1246" s="1083"/>
      <c r="N1246" s="1083"/>
      <c r="O1246" s="1083"/>
      <c r="P1246" s="1083"/>
      <c r="Q1246" s="1083"/>
      <c r="R1246" s="1083"/>
      <c r="S1246" s="1083"/>
      <c r="T1246" s="1083"/>
      <c r="U1246" s="1083"/>
      <c r="V1246" s="1083"/>
      <c r="W1246" s="1083"/>
      <c r="X1246" s="1083"/>
      <c r="Y1246" s="1083"/>
      <c r="Z1246" s="1083"/>
      <c r="AA1246" s="1083"/>
      <c r="AB1246" s="1083"/>
      <c r="AC1246" s="1083"/>
      <c r="AD1246" s="1083"/>
      <c r="AE1246" s="1083"/>
    </row>
    <row r="1247" spans="2:31" ht="13.5" thickTop="1">
      <c r="B1247" s="1180" t="s">
        <v>358</v>
      </c>
      <c r="C1247" s="1630">
        <v>1</v>
      </c>
      <c r="D1247" s="1916" t="s">
        <v>47</v>
      </c>
      <c r="E1247" s="1630">
        <v>425</v>
      </c>
      <c r="F1247" s="1916">
        <f>C1247*E1247</f>
        <v>425</v>
      </c>
      <c r="I1247" s="1083"/>
      <c r="J1247" s="1083"/>
      <c r="K1247" s="1083"/>
      <c r="L1247" s="1083"/>
      <c r="M1247" s="1083"/>
      <c r="N1247" s="1083"/>
      <c r="O1247" s="1083"/>
      <c r="P1247" s="1083"/>
      <c r="Q1247" s="1083"/>
      <c r="R1247" s="1083"/>
      <c r="S1247" s="1083"/>
      <c r="T1247" s="1083"/>
      <c r="U1247" s="1083"/>
      <c r="V1247" s="1083"/>
      <c r="W1247" s="1083"/>
      <c r="X1247" s="1083"/>
      <c r="Y1247" s="1083"/>
      <c r="Z1247" s="1083"/>
      <c r="AA1247" s="1083"/>
      <c r="AB1247" s="1083"/>
      <c r="AC1247" s="1083"/>
      <c r="AD1247" s="1083"/>
      <c r="AE1247" s="1083"/>
    </row>
    <row r="1248" spans="2:31">
      <c r="B1248" s="1181" t="s">
        <v>331</v>
      </c>
      <c r="C1248" s="1631">
        <v>2</v>
      </c>
      <c r="D1248" s="1916" t="s">
        <v>138</v>
      </c>
      <c r="E1248" s="1631">
        <v>196.87</v>
      </c>
      <c r="F1248" s="1916">
        <f>C1248*E1248</f>
        <v>393.74</v>
      </c>
      <c r="I1248" s="1083"/>
      <c r="J1248" s="1083"/>
      <c r="K1248" s="1083"/>
      <c r="L1248" s="1083"/>
      <c r="M1248" s="1083"/>
      <c r="N1248" s="1083"/>
      <c r="O1248" s="1083"/>
      <c r="P1248" s="1083"/>
      <c r="Q1248" s="1083"/>
      <c r="R1248" s="1083"/>
      <c r="S1248" s="1083"/>
      <c r="T1248" s="1083"/>
      <c r="U1248" s="1083"/>
      <c r="V1248" s="1083"/>
      <c r="W1248" s="1083"/>
      <c r="X1248" s="1083"/>
      <c r="Y1248" s="1083"/>
      <c r="Z1248" s="1083"/>
      <c r="AA1248" s="1083"/>
      <c r="AB1248" s="1083"/>
      <c r="AC1248" s="1083"/>
      <c r="AD1248" s="1083"/>
      <c r="AE1248" s="1083"/>
    </row>
    <row r="1249" spans="2:31">
      <c r="B1249" s="1916" t="s">
        <v>1162</v>
      </c>
      <c r="C1249" s="1631"/>
      <c r="D1249" s="1916"/>
      <c r="E1249" s="1631">
        <v>200</v>
      </c>
      <c r="F1249" s="1916">
        <f>0.15*F1248</f>
        <v>59.061</v>
      </c>
      <c r="I1249" s="1083"/>
      <c r="J1249" s="1083"/>
      <c r="K1249" s="1083"/>
      <c r="L1249" s="1083"/>
      <c r="M1249" s="1083"/>
      <c r="N1249" s="1083"/>
      <c r="O1249" s="1083"/>
      <c r="P1249" s="1083"/>
      <c r="Q1249" s="1083"/>
      <c r="R1249" s="1083"/>
      <c r="S1249" s="1083"/>
      <c r="T1249" s="1083"/>
      <c r="U1249" s="1083"/>
      <c r="V1249" s="1083"/>
      <c r="W1249" s="1083"/>
      <c r="X1249" s="1083"/>
      <c r="Y1249" s="1083"/>
      <c r="Z1249" s="1083"/>
      <c r="AA1249" s="1083"/>
      <c r="AB1249" s="1083"/>
      <c r="AC1249" s="1083"/>
      <c r="AD1249" s="1083"/>
      <c r="AE1249" s="1083"/>
    </row>
    <row r="1250" spans="2:31">
      <c r="B1250" s="1181" t="s">
        <v>1163</v>
      </c>
      <c r="C1250" s="1631">
        <v>1</v>
      </c>
      <c r="D1250" s="1916" t="s">
        <v>47</v>
      </c>
      <c r="E1250" s="1631">
        <v>100</v>
      </c>
      <c r="F1250" s="1916">
        <f>C1250*E1250</f>
        <v>100</v>
      </c>
      <c r="I1250" s="1083"/>
      <c r="J1250" s="1083"/>
      <c r="K1250" s="1083"/>
      <c r="L1250" s="1083"/>
      <c r="M1250" s="1083"/>
      <c r="N1250" s="1083"/>
      <c r="O1250" s="1083"/>
      <c r="P1250" s="1083"/>
      <c r="Q1250" s="1083"/>
      <c r="R1250" s="1083"/>
      <c r="S1250" s="1083"/>
      <c r="T1250" s="1083"/>
      <c r="U1250" s="1083"/>
      <c r="V1250" s="1083"/>
      <c r="W1250" s="1083"/>
      <c r="X1250" s="1083"/>
      <c r="Y1250" s="1083"/>
      <c r="Z1250" s="1083"/>
      <c r="AA1250" s="1083"/>
      <c r="AB1250" s="1083"/>
      <c r="AC1250" s="1083"/>
      <c r="AD1250" s="1083"/>
      <c r="AE1250" s="1083"/>
    </row>
    <row r="1251" spans="2:31">
      <c r="B1251" s="1181" t="s">
        <v>1163</v>
      </c>
      <c r="C1251" s="1631">
        <v>1</v>
      </c>
      <c r="D1251" s="1916" t="s">
        <v>47</v>
      </c>
      <c r="E1251" s="1631">
        <v>100</v>
      </c>
      <c r="F1251" s="1916">
        <f>C1251*E1251</f>
        <v>100</v>
      </c>
      <c r="I1251" s="1083"/>
      <c r="J1251" s="1083"/>
      <c r="K1251" s="1083"/>
      <c r="L1251" s="1083"/>
      <c r="M1251" s="1083"/>
      <c r="N1251" s="1083"/>
      <c r="O1251" s="1083"/>
      <c r="P1251" s="1083"/>
      <c r="Q1251" s="1083"/>
      <c r="R1251" s="1083"/>
      <c r="S1251" s="1083"/>
      <c r="T1251" s="1083"/>
      <c r="U1251" s="1083"/>
      <c r="V1251" s="1083"/>
      <c r="W1251" s="1083"/>
      <c r="X1251" s="1083"/>
      <c r="Y1251" s="1083"/>
      <c r="Z1251" s="1083"/>
      <c r="AA1251" s="1083"/>
      <c r="AB1251" s="1083"/>
      <c r="AC1251" s="1083"/>
      <c r="AD1251" s="1083"/>
      <c r="AE1251" s="1083"/>
    </row>
    <row r="1252" spans="2:31">
      <c r="B1252" s="1181" t="s">
        <v>330</v>
      </c>
      <c r="C1252" s="1631">
        <v>1</v>
      </c>
      <c r="D1252" s="1916" t="s">
        <v>47</v>
      </c>
      <c r="E1252" s="1631">
        <v>68.75</v>
      </c>
      <c r="F1252" s="1916">
        <f>C1252*E1252</f>
        <v>68.75</v>
      </c>
      <c r="I1252" s="1083"/>
      <c r="J1252" s="1083"/>
      <c r="K1252" s="1083"/>
      <c r="L1252" s="1083"/>
      <c r="M1252" s="1083"/>
      <c r="N1252" s="1083"/>
      <c r="O1252" s="1083"/>
      <c r="P1252" s="1083"/>
      <c r="Q1252" s="1083"/>
      <c r="R1252" s="1083"/>
      <c r="S1252" s="1083"/>
      <c r="T1252" s="1083"/>
      <c r="U1252" s="1083"/>
      <c r="V1252" s="1083"/>
      <c r="W1252" s="1083"/>
      <c r="X1252" s="1083"/>
      <c r="Y1252" s="1083"/>
      <c r="Z1252" s="1083"/>
      <c r="AA1252" s="1083"/>
      <c r="AB1252" s="1083"/>
      <c r="AC1252" s="1083"/>
      <c r="AD1252" s="1083"/>
      <c r="AE1252" s="1083"/>
    </row>
    <row r="1253" spans="2:31">
      <c r="B1253" s="1181" t="s">
        <v>330</v>
      </c>
      <c r="C1253" s="1631">
        <v>1</v>
      </c>
      <c r="D1253" s="1916" t="s">
        <v>47</v>
      </c>
      <c r="E1253" s="1631">
        <v>68.75</v>
      </c>
      <c r="F1253" s="1916">
        <f>C1253*E1253</f>
        <v>68.75</v>
      </c>
      <c r="I1253" s="1083"/>
      <c r="J1253" s="1083"/>
      <c r="K1253" s="1083"/>
      <c r="L1253" s="1083"/>
      <c r="M1253" s="1083"/>
      <c r="N1253" s="1083"/>
      <c r="O1253" s="1083"/>
      <c r="P1253" s="1083"/>
      <c r="Q1253" s="1083"/>
      <c r="R1253" s="1083"/>
      <c r="S1253" s="1083"/>
      <c r="T1253" s="1083"/>
      <c r="U1253" s="1083"/>
      <c r="V1253" s="1083"/>
      <c r="W1253" s="1083"/>
      <c r="X1253" s="1083"/>
      <c r="Y1253" s="1083"/>
      <c r="Z1253" s="1083"/>
      <c r="AA1253" s="1083"/>
      <c r="AB1253" s="1083"/>
      <c r="AC1253" s="1083"/>
      <c r="AD1253" s="1083"/>
      <c r="AE1253" s="1083"/>
    </row>
    <row r="1254" spans="2:31">
      <c r="B1254" s="1181" t="s">
        <v>1164</v>
      </c>
      <c r="C1254" s="1631"/>
      <c r="D1254" s="1916"/>
      <c r="E1254" s="1631"/>
      <c r="F1254" s="1916">
        <f>250/8</f>
        <v>31.25</v>
      </c>
      <c r="I1254" s="1083"/>
      <c r="J1254" s="1083"/>
      <c r="K1254" s="1083"/>
      <c r="L1254" s="1083"/>
      <c r="M1254" s="1083"/>
      <c r="N1254" s="1083"/>
      <c r="O1254" s="1083"/>
      <c r="P1254" s="1083"/>
      <c r="Q1254" s="1083"/>
      <c r="R1254" s="1083"/>
      <c r="S1254" s="1083"/>
      <c r="T1254" s="1083"/>
      <c r="U1254" s="1083"/>
      <c r="V1254" s="1083"/>
      <c r="W1254" s="1083"/>
      <c r="X1254" s="1083"/>
      <c r="Y1254" s="1083"/>
      <c r="Z1254" s="1083"/>
      <c r="AA1254" s="1083"/>
      <c r="AB1254" s="1083"/>
      <c r="AC1254" s="1083"/>
      <c r="AD1254" s="1083"/>
      <c r="AE1254" s="1083"/>
    </row>
    <row r="1255" spans="2:31" ht="13.5" thickBot="1">
      <c r="B1255" s="1916" t="s">
        <v>1165</v>
      </c>
      <c r="C1255" s="1632"/>
      <c r="D1255" s="1916"/>
      <c r="E1255" s="1916"/>
      <c r="F1255" s="1916">
        <f>200/8/1.035</f>
        <v>24.154589371980698</v>
      </c>
      <c r="I1255" s="1083"/>
      <c r="J1255" s="1083"/>
      <c r="K1255" s="1083"/>
      <c r="L1255" s="1083"/>
      <c r="M1255" s="1083"/>
      <c r="N1255" s="1083"/>
      <c r="O1255" s="1083"/>
      <c r="P1255" s="1083"/>
      <c r="Q1255" s="1083"/>
      <c r="R1255" s="1083"/>
      <c r="S1255" s="1083"/>
      <c r="T1255" s="1083"/>
      <c r="U1255" s="1083"/>
      <c r="V1255" s="1083"/>
      <c r="W1255" s="1083"/>
      <c r="X1255" s="1083"/>
      <c r="Y1255" s="1083"/>
      <c r="Z1255" s="1083"/>
      <c r="AA1255" s="1083"/>
      <c r="AB1255" s="1083"/>
      <c r="AC1255" s="1083"/>
      <c r="AD1255" s="1083"/>
      <c r="AE1255" s="1083"/>
    </row>
    <row r="1256" spans="2:31" ht="13.5" thickTop="1">
      <c r="B1256" s="1182"/>
      <c r="C1256" s="1633"/>
      <c r="D1256" s="1182"/>
      <c r="E1256" s="1183" t="s">
        <v>296</v>
      </c>
      <c r="F1256" s="1183">
        <f>SUM(F1247:F1255)</f>
        <v>1270.71</v>
      </c>
      <c r="I1256" s="1083"/>
      <c r="J1256" s="1083"/>
      <c r="K1256" s="1083"/>
      <c r="L1256" s="1083"/>
      <c r="M1256" s="1083"/>
      <c r="N1256" s="1083"/>
      <c r="O1256" s="1083"/>
      <c r="P1256" s="1083"/>
      <c r="Q1256" s="1083"/>
      <c r="R1256" s="1083"/>
      <c r="S1256" s="1083"/>
      <c r="T1256" s="1083"/>
      <c r="U1256" s="1083"/>
      <c r="V1256" s="1083"/>
      <c r="W1256" s="1083"/>
      <c r="X1256" s="1083"/>
      <c r="Y1256" s="1083"/>
      <c r="Z1256" s="1083"/>
      <c r="AA1256" s="1083"/>
      <c r="AB1256" s="1083"/>
      <c r="AC1256" s="1083"/>
      <c r="AD1256" s="1083"/>
      <c r="AE1256" s="1083"/>
    </row>
    <row r="1257" spans="2:31" ht="13.5" thickBot="1">
      <c r="B1257" s="1184" t="s">
        <v>1166</v>
      </c>
      <c r="C1257" s="1634">
        <v>0.64</v>
      </c>
      <c r="D1257" s="1185"/>
      <c r="E1257" s="1186"/>
      <c r="F1257" s="1186"/>
      <c r="I1257" s="1083"/>
      <c r="J1257" s="1083"/>
      <c r="K1257" s="1083"/>
      <c r="L1257" s="1083"/>
      <c r="M1257" s="1083"/>
      <c r="N1257" s="1083"/>
      <c r="O1257" s="1083"/>
      <c r="P1257" s="1083"/>
      <c r="Q1257" s="1083"/>
      <c r="R1257" s="1083"/>
      <c r="S1257" s="1083"/>
      <c r="T1257" s="1083"/>
      <c r="U1257" s="1083"/>
      <c r="V1257" s="1083"/>
      <c r="W1257" s="1083"/>
      <c r="X1257" s="1083"/>
      <c r="Y1257" s="1083"/>
      <c r="Z1257" s="1083"/>
      <c r="AA1257" s="1083"/>
      <c r="AB1257" s="1083"/>
      <c r="AC1257" s="1083"/>
      <c r="AD1257" s="1083"/>
      <c r="AE1257" s="1083"/>
    </row>
    <row r="1258" spans="2:31" ht="13.5" thickBot="1">
      <c r="B1258" s="1186"/>
      <c r="C1258" s="1635"/>
      <c r="D1258" s="1187"/>
      <c r="E1258" s="1188" t="s">
        <v>298</v>
      </c>
      <c r="F1258" s="1189">
        <f>ROUND(F1256/C1257,2)</f>
        <v>1985.48</v>
      </c>
      <c r="I1258" s="1083"/>
      <c r="J1258" s="1083"/>
      <c r="K1258" s="1083"/>
      <c r="L1258" s="1083"/>
      <c r="M1258" s="1083"/>
      <c r="N1258" s="1083"/>
      <c r="O1258" s="1083"/>
      <c r="P1258" s="1083"/>
      <c r="Q1258" s="1083"/>
      <c r="R1258" s="1083"/>
      <c r="S1258" s="1083"/>
      <c r="T1258" s="1083"/>
      <c r="U1258" s="1083"/>
      <c r="V1258" s="1083"/>
      <c r="W1258" s="1083"/>
      <c r="X1258" s="1083"/>
      <c r="Y1258" s="1083"/>
      <c r="Z1258" s="1083"/>
      <c r="AA1258" s="1083"/>
      <c r="AB1258" s="1083"/>
      <c r="AC1258" s="1083"/>
      <c r="AD1258" s="1083"/>
      <c r="AE1258" s="1083"/>
    </row>
    <row r="1259" spans="2:31">
      <c r="B1259" s="1179"/>
      <c r="C1259" s="1627"/>
      <c r="D1259" s="1179"/>
      <c r="E1259" s="1179"/>
      <c r="F1259" s="1179"/>
      <c r="I1259" s="1083"/>
      <c r="J1259" s="1083"/>
      <c r="K1259" s="1083"/>
      <c r="L1259" s="1083"/>
      <c r="M1259" s="1083"/>
      <c r="N1259" s="1083"/>
      <c r="O1259" s="1083"/>
      <c r="P1259" s="1083"/>
      <c r="Q1259" s="1083"/>
      <c r="R1259" s="1083"/>
      <c r="S1259" s="1083"/>
      <c r="T1259" s="1083"/>
      <c r="U1259" s="1083"/>
      <c r="V1259" s="1083"/>
      <c r="W1259" s="1083"/>
      <c r="X1259" s="1083"/>
      <c r="Y1259" s="1083"/>
      <c r="Z1259" s="1083"/>
      <c r="AA1259" s="1083"/>
      <c r="AB1259" s="1083"/>
      <c r="AC1259" s="1083"/>
      <c r="AD1259" s="1083"/>
      <c r="AE1259" s="1083"/>
    </row>
    <row r="1260" spans="2:31">
      <c r="B1260" s="1179"/>
      <c r="C1260" s="1627"/>
      <c r="D1260" s="1179"/>
      <c r="E1260" s="1190" t="s">
        <v>1167</v>
      </c>
      <c r="F1260" s="1916">
        <f>+F1256*8</f>
        <v>10165.68</v>
      </c>
      <c r="I1260" s="1083"/>
      <c r="J1260" s="1083"/>
      <c r="K1260" s="1083"/>
      <c r="L1260" s="1083"/>
      <c r="M1260" s="1083"/>
      <c r="N1260" s="1083"/>
      <c r="O1260" s="1083"/>
      <c r="P1260" s="1083"/>
      <c r="Q1260" s="1083"/>
      <c r="R1260" s="1083"/>
      <c r="S1260" s="1083"/>
      <c r="T1260" s="1083"/>
      <c r="U1260" s="1083"/>
      <c r="V1260" s="1083"/>
      <c r="W1260" s="1083"/>
      <c r="X1260" s="1083"/>
      <c r="Y1260" s="1083"/>
      <c r="Z1260" s="1083"/>
      <c r="AA1260" s="1083"/>
      <c r="AB1260" s="1083"/>
      <c r="AC1260" s="1083"/>
      <c r="AD1260" s="1083"/>
      <c r="AE1260" s="1083"/>
    </row>
    <row r="1261" spans="2:31">
      <c r="B1261" s="1179"/>
      <c r="C1261" s="1627"/>
      <c r="D1261" s="1179"/>
      <c r="E1261" s="1190"/>
      <c r="F1261" s="1191"/>
      <c r="I1261" s="1083"/>
      <c r="J1261" s="1083"/>
      <c r="K1261" s="1083"/>
      <c r="L1261" s="1083"/>
      <c r="M1261" s="1083"/>
      <c r="N1261" s="1083"/>
      <c r="O1261" s="1083"/>
      <c r="P1261" s="1083"/>
      <c r="Q1261" s="1083"/>
      <c r="R1261" s="1083"/>
      <c r="S1261" s="1083"/>
      <c r="T1261" s="1083"/>
      <c r="U1261" s="1083"/>
      <c r="V1261" s="1083"/>
      <c r="W1261" s="1083"/>
      <c r="X1261" s="1083"/>
      <c r="Y1261" s="1083"/>
      <c r="Z1261" s="1083"/>
      <c r="AA1261" s="1083"/>
      <c r="AB1261" s="1083"/>
      <c r="AC1261" s="1083"/>
      <c r="AD1261" s="1083"/>
      <c r="AE1261" s="1083"/>
    </row>
    <row r="1262" spans="2:31">
      <c r="B1262" s="4896" t="s">
        <v>1192</v>
      </c>
      <c r="C1262" s="4896"/>
      <c r="D1262" s="4896"/>
      <c r="E1262" s="4896"/>
      <c r="F1262" s="4896"/>
      <c r="I1262" s="1083"/>
      <c r="J1262" s="1083"/>
      <c r="K1262" s="1083"/>
      <c r="L1262" s="1083"/>
      <c r="M1262" s="1083"/>
      <c r="N1262" s="1083"/>
      <c r="O1262" s="1083"/>
      <c r="P1262" s="1083"/>
      <c r="Q1262" s="1083"/>
      <c r="R1262" s="1083"/>
      <c r="S1262" s="1083"/>
      <c r="T1262" s="1083"/>
      <c r="U1262" s="1083"/>
      <c r="V1262" s="1083"/>
      <c r="W1262" s="1083"/>
      <c r="X1262" s="1083"/>
      <c r="Y1262" s="1083"/>
      <c r="Z1262" s="1083"/>
      <c r="AA1262" s="1083"/>
      <c r="AB1262" s="1083"/>
      <c r="AC1262" s="1083"/>
      <c r="AD1262" s="1083"/>
      <c r="AE1262" s="1083"/>
    </row>
    <row r="1263" spans="2:31" ht="20.25">
      <c r="B1263" s="1157"/>
      <c r="C1263" s="1628"/>
      <c r="D1263" s="1157"/>
      <c r="E1263" s="1157"/>
      <c r="F1263" s="1157"/>
      <c r="I1263" s="1083"/>
      <c r="J1263" s="1083"/>
      <c r="K1263" s="1083"/>
      <c r="L1263" s="1083"/>
      <c r="M1263" s="1083"/>
      <c r="N1263" s="1083"/>
      <c r="O1263" s="1083"/>
      <c r="P1263" s="1083"/>
      <c r="Q1263" s="1083"/>
      <c r="R1263" s="1083"/>
      <c r="S1263" s="1083"/>
      <c r="T1263" s="1083"/>
      <c r="U1263" s="1083"/>
      <c r="V1263" s="1083"/>
      <c r="W1263" s="1083"/>
      <c r="X1263" s="1083"/>
      <c r="Y1263" s="1083"/>
      <c r="Z1263" s="1083"/>
      <c r="AA1263" s="1083"/>
      <c r="AB1263" s="1083"/>
      <c r="AC1263" s="1083"/>
      <c r="AD1263" s="1083"/>
      <c r="AE1263" s="1083"/>
    </row>
    <row r="1264" spans="2:31">
      <c r="B1264" s="1158" t="s">
        <v>268</v>
      </c>
      <c r="C1264" s="1623">
        <v>0.84</v>
      </c>
      <c r="D1264" s="1159" t="s">
        <v>269</v>
      </c>
      <c r="E1264" s="1160"/>
      <c r="F1264" s="1160"/>
      <c r="I1264" s="1083"/>
      <c r="J1264" s="1083"/>
      <c r="K1264" s="1083"/>
      <c r="L1264" s="1083"/>
      <c r="M1264" s="1083"/>
      <c r="N1264" s="1083"/>
      <c r="O1264" s="1083"/>
      <c r="P1264" s="1083"/>
      <c r="Q1264" s="1083"/>
      <c r="R1264" s="1083"/>
      <c r="S1264" s="1083"/>
      <c r="T1264" s="1083"/>
      <c r="U1264" s="1083"/>
      <c r="V1264" s="1083"/>
      <c r="W1264" s="1083"/>
      <c r="X1264" s="1083"/>
      <c r="Y1264" s="1083"/>
      <c r="Z1264" s="1083"/>
      <c r="AA1264" s="1083"/>
      <c r="AB1264" s="1083"/>
      <c r="AC1264" s="1083"/>
      <c r="AD1264" s="1083"/>
      <c r="AE1264" s="1083"/>
    </row>
    <row r="1265" spans="2:31" ht="13.5" thickBot="1">
      <c r="B1265" s="1161" t="s">
        <v>270</v>
      </c>
      <c r="C1265" s="1623"/>
      <c r="D1265" s="1159"/>
      <c r="E1265" s="1160"/>
      <c r="F1265" s="1160"/>
      <c r="I1265" s="1083"/>
      <c r="J1265" s="1083"/>
      <c r="K1265" s="1083"/>
      <c r="L1265" s="1083"/>
      <c r="M1265" s="1083"/>
      <c r="N1265" s="1083"/>
      <c r="O1265" s="1083"/>
      <c r="P1265" s="1083"/>
      <c r="Q1265" s="1083"/>
      <c r="R1265" s="1083"/>
      <c r="S1265" s="1083"/>
      <c r="T1265" s="1083"/>
      <c r="U1265" s="1083"/>
      <c r="V1265" s="1083"/>
      <c r="W1265" s="1083"/>
      <c r="X1265" s="1083"/>
      <c r="Y1265" s="1083"/>
      <c r="Z1265" s="1083"/>
      <c r="AA1265" s="1083"/>
      <c r="AB1265" s="1083"/>
      <c r="AC1265" s="1083"/>
      <c r="AD1265" s="1083"/>
      <c r="AE1265" s="1083"/>
    </row>
    <row r="1266" spans="2:31" ht="13.5" thickTop="1">
      <c r="B1266" s="1162" t="s">
        <v>271</v>
      </c>
      <c r="C1266" s="1629">
        <v>1.05</v>
      </c>
      <c r="D1266" s="1163" t="s">
        <v>2</v>
      </c>
      <c r="E1266" s="1164" t="e">
        <f>+#REF!</f>
        <v>#REF!</v>
      </c>
      <c r="F1266" s="1165" t="e">
        <f>C1266*E1266</f>
        <v>#REF!</v>
      </c>
      <c r="I1266" s="1083"/>
      <c r="J1266" s="1083"/>
      <c r="K1266" s="1083"/>
      <c r="L1266" s="1083"/>
      <c r="M1266" s="1083"/>
      <c r="N1266" s="1083"/>
      <c r="O1266" s="1083"/>
      <c r="P1266" s="1083"/>
      <c r="Q1266" s="1083"/>
      <c r="R1266" s="1083"/>
      <c r="S1266" s="1083"/>
      <c r="T1266" s="1083"/>
      <c r="U1266" s="1083"/>
      <c r="V1266" s="1083"/>
      <c r="W1266" s="1083"/>
      <c r="X1266" s="1083"/>
      <c r="Y1266" s="1083"/>
      <c r="Z1266" s="1083"/>
      <c r="AA1266" s="1083"/>
      <c r="AB1266" s="1083"/>
      <c r="AC1266" s="1083"/>
      <c r="AD1266" s="1083"/>
      <c r="AE1266" s="1083"/>
    </row>
    <row r="1267" spans="2:31">
      <c r="B1267" s="3387" t="s">
        <v>272</v>
      </c>
      <c r="C1267" s="3388">
        <f>+C1264</f>
        <v>0.84</v>
      </c>
      <c r="D1267" s="3389" t="s">
        <v>126</v>
      </c>
      <c r="E1267" s="3254">
        <f>+F62</f>
        <v>2913</v>
      </c>
      <c r="F1267" s="3390">
        <f>C1267*E1267</f>
        <v>2446.92</v>
      </c>
      <c r="I1267" s="1083"/>
      <c r="J1267" s="1083"/>
      <c r="K1267" s="1083"/>
      <c r="L1267" s="1083"/>
      <c r="M1267" s="1083"/>
      <c r="N1267" s="1083"/>
      <c r="O1267" s="1083"/>
      <c r="P1267" s="1083"/>
      <c r="Q1267" s="1083"/>
      <c r="R1267" s="1083"/>
      <c r="S1267" s="1083"/>
      <c r="T1267" s="1083"/>
      <c r="U1267" s="1083"/>
      <c r="V1267" s="1083"/>
      <c r="W1267" s="1083"/>
      <c r="X1267" s="1083"/>
      <c r="Y1267" s="1083"/>
      <c r="Z1267" s="1083"/>
      <c r="AA1267" s="1083"/>
      <c r="AB1267" s="1083"/>
      <c r="AC1267" s="1083"/>
      <c r="AD1267" s="1083"/>
      <c r="AE1267" s="1083"/>
    </row>
    <row r="1268" spans="2:31" ht="13.5" thickBot="1">
      <c r="B1268" s="3391"/>
      <c r="C1268" s="3392"/>
      <c r="D1268" s="3393"/>
      <c r="E1268" s="3394" t="s">
        <v>274</v>
      </c>
      <c r="F1268" s="3395" t="e">
        <f>SUM(F1266:F1267)</f>
        <v>#REF!</v>
      </c>
    </row>
    <row r="1269" spans="2:31" ht="14.25" thickTop="1" thickBot="1">
      <c r="B1269" s="1166"/>
      <c r="C1269" s="1622">
        <v>1.64</v>
      </c>
      <c r="D1269" s="1166"/>
      <c r="E1269" s="1167" t="s">
        <v>1194</v>
      </c>
      <c r="F1269" s="1168" t="e">
        <f>+C1269*F1268</f>
        <v>#REF!</v>
      </c>
    </row>
    <row r="1270" spans="2:31" ht="14.25" thickTop="1" thickBot="1">
      <c r="B1270" s="1161" t="s">
        <v>276</v>
      </c>
      <c r="C1270" s="1623"/>
      <c r="D1270" s="1159"/>
      <c r="E1270" s="1160"/>
      <c r="F1270" s="1160"/>
    </row>
    <row r="1271" spans="2:31" s="1235" customFormat="1" ht="27.75" customHeight="1" thickTop="1">
      <c r="B1271" s="1231" t="s">
        <v>1158</v>
      </c>
      <c r="C1271" s="1232">
        <v>2</v>
      </c>
      <c r="D1271" s="1233" t="s">
        <v>3</v>
      </c>
      <c r="E1271" s="1227">
        <v>750</v>
      </c>
      <c r="F1271" s="1234">
        <f>C1271*E1271</f>
        <v>1500</v>
      </c>
      <c r="I1271" s="1916"/>
      <c r="J1271" s="1916"/>
      <c r="K1271" s="1916"/>
      <c r="L1271" s="1916"/>
      <c r="M1271" s="1916"/>
      <c r="N1271" s="1916"/>
      <c r="O1271" s="1916"/>
      <c r="P1271" s="1916"/>
      <c r="Q1271" s="1916"/>
      <c r="R1271" s="1916"/>
      <c r="S1271" s="1916"/>
      <c r="T1271" s="1916"/>
      <c r="U1271" s="1916"/>
      <c r="V1271" s="1916"/>
      <c r="W1271" s="1916"/>
      <c r="X1271" s="1916"/>
      <c r="Y1271" s="1916"/>
      <c r="Z1271" s="1916"/>
      <c r="AA1271" s="1916"/>
      <c r="AB1271" s="1916"/>
      <c r="AC1271" s="1916"/>
      <c r="AD1271" s="1916"/>
      <c r="AE1271" s="1916"/>
    </row>
    <row r="1272" spans="2:31">
      <c r="B1272" s="1170" t="s">
        <v>278</v>
      </c>
      <c r="C1272" s="1636">
        <v>1.03</v>
      </c>
      <c r="D1272" s="1171" t="s">
        <v>279</v>
      </c>
      <c r="E1272" s="1229">
        <v>45</v>
      </c>
      <c r="F1272" s="1230">
        <f>+E1272*C1272</f>
        <v>46.35</v>
      </c>
    </row>
    <row r="1273" spans="2:31">
      <c r="B1273" s="1170" t="s">
        <v>280</v>
      </c>
      <c r="C1273" s="1624">
        <v>2</v>
      </c>
      <c r="D1273" s="1171" t="s">
        <v>183</v>
      </c>
      <c r="E1273" s="1228">
        <v>45</v>
      </c>
      <c r="F1273" s="1230">
        <f>+E1273*C1273</f>
        <v>90</v>
      </c>
    </row>
    <row r="1274" spans="2:31" ht="13.5" thickBot="1">
      <c r="B1274" s="3396" t="s">
        <v>63</v>
      </c>
      <c r="C1274" s="3397">
        <v>1</v>
      </c>
      <c r="D1274" s="3398" t="s">
        <v>42</v>
      </c>
      <c r="E1274" s="3401">
        <v>1200</v>
      </c>
      <c r="F1274" s="3400">
        <f>+(C1274)*E1274</f>
        <v>1200</v>
      </c>
    </row>
    <row r="1275" spans="2:31" ht="14.25" thickTop="1" thickBot="1">
      <c r="B1275" s="1173"/>
      <c r="C1275" s="1625"/>
      <c r="D1275" s="1174"/>
      <c r="E1275" s="1167" t="s">
        <v>1195</v>
      </c>
      <c r="F1275" s="1168">
        <f>SUM(F1271:F1274)</f>
        <v>2836.35</v>
      </c>
    </row>
    <row r="1276" spans="2:31" ht="14.25" thickTop="1" thickBot="1">
      <c r="B1276" s="1166"/>
      <c r="C1276" s="1626"/>
      <c r="D1276" s="1175"/>
      <c r="E1276" s="1176"/>
      <c r="F1276" s="1177"/>
    </row>
    <row r="1277" spans="2:31" ht="14.25" thickTop="1" thickBot="1">
      <c r="B1277" s="1166"/>
      <c r="C1277" s="4896" t="s">
        <v>281</v>
      </c>
      <c r="D1277" s="4896"/>
      <c r="E1277" s="4896"/>
      <c r="F1277" s="1178" t="e">
        <f>+F1269+F1275</f>
        <v>#REF!</v>
      </c>
    </row>
    <row r="1278" spans="2:31" ht="13.5" thickTop="1">
      <c r="B1278" s="1166"/>
      <c r="C1278" s="1637"/>
      <c r="D1278" s="1225"/>
      <c r="E1278" s="1225"/>
      <c r="F1278" s="1226"/>
    </row>
    <row r="1279" spans="2:31" ht="13.5" thickBot="1">
      <c r="B1279" s="349" t="s">
        <v>38</v>
      </c>
      <c r="C1279" s="1638"/>
      <c r="D1279" s="351"/>
      <c r="E1279" s="352"/>
      <c r="F1279" s="353"/>
    </row>
    <row r="1280" spans="2:31" ht="13.5" thickTop="1">
      <c r="B1280" s="354" t="s">
        <v>282</v>
      </c>
      <c r="C1280" s="1639">
        <v>0.77</v>
      </c>
      <c r="D1280" s="356" t="s">
        <v>2</v>
      </c>
      <c r="E1280" s="355">
        <v>240.23</v>
      </c>
      <c r="F1280" s="3402">
        <f>C1280*E1280</f>
        <v>184.98</v>
      </c>
    </row>
    <row r="1281" spans="2:31" ht="13.5" thickBot="1">
      <c r="B1281" s="3403"/>
      <c r="C1281" s="3404"/>
      <c r="D1281" s="3405"/>
      <c r="E1281" s="3405"/>
      <c r="F1281" s="3406">
        <f>F1280</f>
        <v>184.98</v>
      </c>
    </row>
    <row r="1282" spans="2:31" ht="13.5" thickTop="1">
      <c r="B1282" s="361"/>
      <c r="C1282" s="1640"/>
      <c r="D1282" s="361"/>
      <c r="E1282" s="361"/>
      <c r="F1282" s="361"/>
    </row>
    <row r="1283" spans="2:31" ht="13.5" thickBot="1">
      <c r="B1283" s="361"/>
      <c r="C1283" s="1640"/>
      <c r="D1283" s="361"/>
      <c r="E1283" s="361"/>
      <c r="F1283" s="361"/>
    </row>
    <row r="1284" spans="2:31" ht="14.25" thickTop="1" thickBot="1">
      <c r="B1284" s="361"/>
      <c r="C1284" s="1640"/>
      <c r="D1284" s="362"/>
      <c r="E1284" s="363" t="s">
        <v>1196</v>
      </c>
      <c r="F1284" s="364" t="e">
        <f>F1281+F1277</f>
        <v>#REF!</v>
      </c>
    </row>
    <row r="1285" spans="2:31" ht="13.5" thickTop="1">
      <c r="B1285" s="1166"/>
      <c r="C1285" s="1637"/>
      <c r="D1285" s="1225"/>
      <c r="E1285" s="1225"/>
      <c r="F1285" s="1226"/>
    </row>
    <row r="1286" spans="2:31">
      <c r="B1286" s="1166"/>
      <c r="C1286" s="1637"/>
      <c r="D1286" s="1225"/>
      <c r="E1286" s="1225"/>
      <c r="F1286" s="1226"/>
    </row>
    <row r="1287" spans="2:31" s="3407" customFormat="1" ht="42" customHeight="1">
      <c r="B1287" s="3297"/>
      <c r="C1287" s="4896" t="s">
        <v>1168</v>
      </c>
      <c r="D1287" s="4896"/>
      <c r="E1287" s="4896"/>
      <c r="F1287" s="4896"/>
      <c r="G1287" s="4896"/>
      <c r="H1287" s="1192"/>
      <c r="I1287" s="1916"/>
      <c r="J1287" s="1916"/>
      <c r="K1287" s="1916"/>
      <c r="L1287" s="1916"/>
      <c r="M1287" s="1916"/>
      <c r="N1287" s="1916"/>
      <c r="O1287" s="1916"/>
      <c r="P1287" s="1916"/>
      <c r="Q1287" s="1916"/>
      <c r="R1287" s="1916"/>
      <c r="S1287" s="1916"/>
      <c r="T1287" s="1916"/>
      <c r="U1287" s="1916"/>
      <c r="V1287" s="1916"/>
      <c r="W1287" s="1916"/>
      <c r="X1287" s="1916"/>
      <c r="Y1287" s="1916"/>
      <c r="Z1287" s="1916"/>
      <c r="AA1287" s="1916"/>
      <c r="AB1287" s="1916"/>
      <c r="AC1287" s="1916"/>
      <c r="AD1287" s="1916"/>
      <c r="AE1287" s="1916"/>
    </row>
    <row r="1288" spans="2:31" s="3407" customFormat="1" ht="20.25">
      <c r="B1288" s="3297"/>
      <c r="C1288" s="1641"/>
      <c r="D1288" s="1193"/>
      <c r="E1288" s="1193"/>
      <c r="F1288" s="1193"/>
      <c r="G1288" s="1193"/>
      <c r="H1288" s="1192"/>
      <c r="I1288" s="1916"/>
      <c r="J1288" s="1916"/>
      <c r="K1288" s="1916"/>
      <c r="L1288" s="1916"/>
      <c r="M1288" s="1916"/>
      <c r="N1288" s="1916"/>
      <c r="O1288" s="1916"/>
      <c r="P1288" s="1916"/>
      <c r="Q1288" s="1916"/>
      <c r="R1288" s="1916"/>
      <c r="S1288" s="1916"/>
      <c r="T1288" s="1916"/>
      <c r="U1288" s="1916"/>
      <c r="V1288" s="1916"/>
      <c r="W1288" s="1916"/>
      <c r="X1288" s="1916"/>
      <c r="Y1288" s="1916"/>
      <c r="Z1288" s="1916"/>
      <c r="AA1288" s="1916"/>
      <c r="AB1288" s="1916"/>
      <c r="AC1288" s="1916"/>
      <c r="AD1288" s="1916"/>
      <c r="AE1288" s="1916"/>
    </row>
    <row r="1289" spans="2:31" s="3407" customFormat="1">
      <c r="B1289" s="3297"/>
      <c r="C1289" s="1642" t="s">
        <v>268</v>
      </c>
      <c r="D1289" s="1194">
        <v>0.51</v>
      </c>
      <c r="E1289" s="1195" t="s">
        <v>269</v>
      </c>
      <c r="F1289" s="1196"/>
      <c r="G1289" s="1196"/>
      <c r="H1289" s="1192"/>
      <c r="I1289" s="1916"/>
      <c r="J1289" s="1916"/>
      <c r="K1289" s="1916"/>
      <c r="L1289" s="1916"/>
      <c r="M1289" s="1916"/>
      <c r="N1289" s="1916"/>
      <c r="O1289" s="1916"/>
      <c r="P1289" s="1916"/>
      <c r="Q1289" s="1916"/>
      <c r="R1289" s="1916"/>
      <c r="S1289" s="1916"/>
      <c r="T1289" s="1916"/>
      <c r="U1289" s="1916"/>
      <c r="V1289" s="1916"/>
      <c r="W1289" s="1916"/>
      <c r="X1289" s="1916"/>
      <c r="Y1289" s="1916"/>
      <c r="Z1289" s="1916"/>
      <c r="AA1289" s="1916"/>
      <c r="AB1289" s="1916"/>
      <c r="AC1289" s="1916"/>
      <c r="AD1289" s="1916"/>
      <c r="AE1289" s="1916"/>
    </row>
    <row r="1290" spans="2:31" s="3407" customFormat="1">
      <c r="B1290" s="3297"/>
      <c r="C1290" s="1643" t="s">
        <v>270</v>
      </c>
      <c r="D1290" s="1194"/>
      <c r="E1290" s="1195"/>
      <c r="F1290" s="1196"/>
      <c r="G1290" s="1196"/>
      <c r="H1290" s="1192"/>
      <c r="I1290" s="1916"/>
      <c r="J1290" s="1916"/>
      <c r="K1290" s="1916"/>
      <c r="L1290" s="1916"/>
      <c r="M1290" s="1916"/>
      <c r="N1290" s="1916"/>
      <c r="O1290" s="1916"/>
      <c r="P1290" s="1916"/>
      <c r="Q1290" s="1916"/>
      <c r="R1290" s="1916"/>
      <c r="S1290" s="1916"/>
      <c r="T1290" s="1916"/>
      <c r="U1290" s="1916"/>
      <c r="V1290" s="1916"/>
      <c r="W1290" s="1916"/>
      <c r="X1290" s="1916"/>
      <c r="Y1290" s="1916"/>
      <c r="Z1290" s="1916"/>
      <c r="AA1290" s="1916"/>
      <c r="AB1290" s="1916"/>
      <c r="AC1290" s="1916"/>
      <c r="AD1290" s="1916"/>
      <c r="AE1290" s="1916"/>
    </row>
    <row r="1291" spans="2:31" s="3407" customFormat="1">
      <c r="B1291" s="3297"/>
      <c r="C1291" s="3408" t="s">
        <v>271</v>
      </c>
      <c r="D1291" s="3409">
        <v>1.05</v>
      </c>
      <c r="E1291" s="3410" t="s">
        <v>2</v>
      </c>
      <c r="F1291" s="3411">
        <f>+F1226</f>
        <v>579.85</v>
      </c>
      <c r="G1291" s="3412">
        <f>D1291*F1291</f>
        <v>608.84</v>
      </c>
      <c r="H1291" s="1192"/>
      <c r="I1291" s="1916"/>
      <c r="J1291" s="1916"/>
      <c r="K1291" s="1916"/>
      <c r="L1291" s="1916"/>
      <c r="M1291" s="1916"/>
      <c r="N1291" s="1916"/>
      <c r="O1291" s="1916"/>
      <c r="P1291" s="1916"/>
      <c r="Q1291" s="1916"/>
      <c r="R1291" s="1916"/>
      <c r="S1291" s="1916"/>
      <c r="T1291" s="1916"/>
      <c r="U1291" s="1916"/>
      <c r="V1291" s="1916"/>
      <c r="W1291" s="1916"/>
      <c r="X1291" s="1916"/>
      <c r="Y1291" s="1916"/>
      <c r="Z1291" s="1916"/>
      <c r="AA1291" s="1916"/>
      <c r="AB1291" s="1916"/>
      <c r="AC1291" s="1916"/>
      <c r="AD1291" s="1916"/>
      <c r="AE1291" s="1916"/>
    </row>
    <row r="1292" spans="2:31" s="3407" customFormat="1">
      <c r="B1292" s="3297"/>
      <c r="C1292" s="3408" t="s">
        <v>272</v>
      </c>
      <c r="D1292" s="3413">
        <v>0.51</v>
      </c>
      <c r="E1292" s="3410" t="s">
        <v>126</v>
      </c>
      <c r="F1292" s="3411">
        <f>+F1227</f>
        <v>0</v>
      </c>
      <c r="G1292" s="3412">
        <f>D1292*F1292</f>
        <v>0</v>
      </c>
      <c r="H1292" s="1192"/>
      <c r="I1292" s="1916"/>
      <c r="J1292" s="1916"/>
      <c r="K1292" s="1916"/>
      <c r="L1292" s="1916"/>
      <c r="M1292" s="1916"/>
      <c r="N1292" s="1916"/>
      <c r="O1292" s="1916"/>
      <c r="P1292" s="1916"/>
      <c r="Q1292" s="1916"/>
      <c r="R1292" s="1916"/>
      <c r="S1292" s="1916"/>
      <c r="T1292" s="1916"/>
      <c r="U1292" s="1916"/>
      <c r="V1292" s="1916"/>
      <c r="W1292" s="1916"/>
      <c r="X1292" s="1916"/>
      <c r="Y1292" s="1916"/>
      <c r="Z1292" s="1916"/>
      <c r="AA1292" s="1916"/>
      <c r="AB1292" s="1916"/>
      <c r="AC1292" s="1916"/>
      <c r="AD1292" s="1916"/>
      <c r="AE1292" s="1916"/>
    </row>
    <row r="1293" spans="2:31" s="3407" customFormat="1">
      <c r="B1293" s="3297"/>
      <c r="C1293" s="3408" t="s">
        <v>273</v>
      </c>
      <c r="D1293" s="3413">
        <v>0.97</v>
      </c>
      <c r="E1293" s="3410" t="s">
        <v>118</v>
      </c>
      <c r="F1293" s="3411" t="e">
        <f>+F1228</f>
        <v>#REF!</v>
      </c>
      <c r="G1293" s="3412" t="e">
        <f>D1293*F1293</f>
        <v>#REF!</v>
      </c>
      <c r="H1293" s="1192"/>
      <c r="I1293" s="1916"/>
      <c r="J1293" s="1916"/>
      <c r="K1293" s="1916"/>
      <c r="L1293" s="1916"/>
      <c r="M1293" s="1916"/>
      <c r="N1293" s="1916"/>
      <c r="O1293" s="1916"/>
      <c r="P1293" s="1916"/>
      <c r="Q1293" s="1916"/>
      <c r="R1293" s="1916"/>
      <c r="S1293" s="1916"/>
      <c r="T1293" s="1916"/>
      <c r="U1293" s="1916"/>
      <c r="V1293" s="1916"/>
      <c r="W1293" s="1916"/>
      <c r="X1293" s="1916"/>
      <c r="Y1293" s="1916"/>
      <c r="Z1293" s="1916"/>
      <c r="AA1293" s="1916"/>
      <c r="AB1293" s="1916"/>
      <c r="AC1293" s="1916"/>
      <c r="AD1293" s="1916"/>
      <c r="AE1293" s="1916"/>
    </row>
    <row r="1294" spans="2:31" s="3407" customFormat="1">
      <c r="B1294" s="3297"/>
      <c r="C1294" s="3408"/>
      <c r="D1294" s="3409"/>
      <c r="E1294" s="3409"/>
      <c r="F1294" s="3414" t="s">
        <v>274</v>
      </c>
      <c r="G1294" s="3415" t="e">
        <f>SUM(G1291:G1293)</f>
        <v>#REF!</v>
      </c>
      <c r="H1294" s="1192"/>
      <c r="I1294" s="1916"/>
      <c r="J1294" s="1916"/>
      <c r="K1294" s="1916"/>
      <c r="L1294" s="1916"/>
      <c r="M1294" s="1916"/>
      <c r="N1294" s="1916"/>
      <c r="O1294" s="1916"/>
      <c r="P1294" s="1916"/>
      <c r="Q1294" s="1916"/>
      <c r="R1294" s="1916"/>
      <c r="S1294" s="1916"/>
      <c r="T1294" s="1916"/>
      <c r="U1294" s="1916"/>
      <c r="V1294" s="1916"/>
      <c r="W1294" s="1916"/>
      <c r="X1294" s="1916"/>
      <c r="Y1294" s="1916"/>
      <c r="Z1294" s="1916"/>
      <c r="AA1294" s="1916"/>
      <c r="AB1294" s="1916"/>
      <c r="AC1294" s="1916"/>
      <c r="AD1294" s="1916"/>
      <c r="AE1294" s="1916"/>
    </row>
    <row r="1295" spans="2:31" s="3407" customFormat="1">
      <c r="B1295" s="3297"/>
      <c r="C1295" s="3408"/>
      <c r="D1295" s="3409"/>
      <c r="E1295" s="3409"/>
      <c r="F1295" s="3414" t="s">
        <v>275</v>
      </c>
      <c r="G1295" s="3415" t="e">
        <f>(0.6*0.75+0.3*0.45)/2*1.45*G1294</f>
        <v>#REF!</v>
      </c>
      <c r="H1295" s="1192"/>
      <c r="I1295" s="1916"/>
      <c r="J1295" s="1916"/>
      <c r="K1295" s="1916"/>
      <c r="L1295" s="1916"/>
      <c r="M1295" s="1916"/>
      <c r="N1295" s="1916"/>
      <c r="O1295" s="1916"/>
      <c r="P1295" s="1916"/>
      <c r="Q1295" s="1916"/>
      <c r="R1295" s="1916"/>
      <c r="S1295" s="1916"/>
      <c r="T1295" s="1916"/>
      <c r="U1295" s="1916"/>
      <c r="V1295" s="1916"/>
      <c r="W1295" s="1916"/>
      <c r="X1295" s="1916"/>
      <c r="Y1295" s="1916"/>
      <c r="Z1295" s="1916"/>
      <c r="AA1295" s="1916"/>
      <c r="AB1295" s="1916"/>
      <c r="AC1295" s="1916"/>
      <c r="AD1295" s="1916"/>
      <c r="AE1295" s="1916"/>
    </row>
    <row r="1296" spans="2:31" s="3407" customFormat="1">
      <c r="B1296" s="3297"/>
      <c r="C1296" s="3416" t="s">
        <v>276</v>
      </c>
      <c r="D1296" s="3417"/>
      <c r="E1296" s="3418"/>
      <c r="F1296" s="3409"/>
      <c r="G1296" s="3409"/>
      <c r="H1296" s="1192"/>
      <c r="I1296" s="1916"/>
      <c r="J1296" s="1916"/>
      <c r="K1296" s="1916"/>
      <c r="L1296" s="1916"/>
      <c r="M1296" s="1916"/>
      <c r="N1296" s="1916"/>
      <c r="O1296" s="1916"/>
      <c r="P1296" s="1916"/>
      <c r="Q1296" s="1916"/>
      <c r="R1296" s="1916"/>
      <c r="S1296" s="1916"/>
      <c r="T1296" s="1916"/>
      <c r="U1296" s="1916"/>
      <c r="V1296" s="1916"/>
      <c r="W1296" s="1916"/>
      <c r="X1296" s="1916"/>
      <c r="Y1296" s="1916"/>
      <c r="Z1296" s="1916"/>
      <c r="AA1296" s="1916"/>
      <c r="AB1296" s="1916"/>
      <c r="AC1296" s="1916"/>
      <c r="AD1296" s="1916"/>
      <c r="AE1296" s="1916"/>
    </row>
    <row r="1297" spans="2:31" s="3407" customFormat="1">
      <c r="B1297" s="3297"/>
      <c r="C1297" s="3408" t="s">
        <v>1158</v>
      </c>
      <c r="D1297" s="3419">
        <v>1</v>
      </c>
      <c r="E1297" s="3410" t="s">
        <v>3</v>
      </c>
      <c r="F1297" s="3412">
        <v>1850</v>
      </c>
      <c r="G1297" s="3412">
        <f>D1297*F1297</f>
        <v>1850</v>
      </c>
      <c r="H1297" s="1192"/>
      <c r="I1297" s="1916"/>
      <c r="J1297" s="1916"/>
      <c r="K1297" s="1916"/>
      <c r="L1297" s="1916"/>
      <c r="M1297" s="1916"/>
      <c r="N1297" s="1916"/>
      <c r="O1297" s="1916"/>
      <c r="P1297" s="1916"/>
      <c r="Q1297" s="1916"/>
      <c r="R1297" s="1916"/>
      <c r="S1297" s="1916"/>
      <c r="T1297" s="1916"/>
      <c r="U1297" s="1916"/>
      <c r="V1297" s="1916"/>
      <c r="W1297" s="1916"/>
      <c r="X1297" s="1916"/>
      <c r="Y1297" s="1916"/>
      <c r="Z1297" s="1916"/>
      <c r="AA1297" s="1916"/>
      <c r="AB1297" s="1916"/>
      <c r="AC1297" s="1916"/>
      <c r="AD1297" s="1916"/>
      <c r="AE1297" s="1916"/>
    </row>
    <row r="1298" spans="2:31" s="3407" customFormat="1">
      <c r="B1298" s="3297"/>
      <c r="C1298" s="3408" t="s">
        <v>278</v>
      </c>
      <c r="D1298" s="3419">
        <v>3.46</v>
      </c>
      <c r="E1298" s="3410" t="s">
        <v>279</v>
      </c>
      <c r="F1298" s="3420">
        <v>45</v>
      </c>
      <c r="G1298" s="3412">
        <f>D1298*F1298</f>
        <v>155.69999999999999</v>
      </c>
      <c r="H1298" s="1192"/>
      <c r="I1298" s="1916"/>
      <c r="J1298" s="1916"/>
      <c r="K1298" s="1916"/>
      <c r="L1298" s="1916"/>
      <c r="M1298" s="1916"/>
      <c r="N1298" s="1916"/>
      <c r="O1298" s="1916"/>
      <c r="P1298" s="1916"/>
      <c r="Q1298" s="1916"/>
      <c r="R1298" s="1916"/>
      <c r="S1298" s="1916"/>
      <c r="T1298" s="1916"/>
      <c r="U1298" s="1916"/>
      <c r="V1298" s="1916"/>
      <c r="W1298" s="1916"/>
      <c r="X1298" s="1916"/>
      <c r="Y1298" s="1916"/>
      <c r="Z1298" s="1916"/>
      <c r="AA1298" s="1916"/>
      <c r="AB1298" s="1916"/>
      <c r="AC1298" s="1916"/>
      <c r="AD1298" s="1916"/>
      <c r="AE1298" s="1916"/>
    </row>
    <row r="1299" spans="2:31" s="3407" customFormat="1">
      <c r="B1299" s="3297"/>
      <c r="C1299" s="3408" t="s">
        <v>280</v>
      </c>
      <c r="D1299" s="3409">
        <v>0.1</v>
      </c>
      <c r="E1299" s="3410" t="s">
        <v>183</v>
      </c>
      <c r="F1299" s="3411">
        <v>15.78</v>
      </c>
      <c r="G1299" s="3412">
        <f>D1299*F1299</f>
        <v>1.58</v>
      </c>
      <c r="H1299" s="1192"/>
      <c r="I1299" s="1916"/>
      <c r="J1299" s="1916"/>
      <c r="K1299" s="1916"/>
      <c r="L1299" s="1916"/>
      <c r="M1299" s="1916"/>
      <c r="N1299" s="1916"/>
      <c r="O1299" s="1916"/>
      <c r="P1299" s="1916"/>
      <c r="Q1299" s="1916"/>
      <c r="R1299" s="1916"/>
      <c r="S1299" s="1916"/>
      <c r="T1299" s="1916"/>
      <c r="U1299" s="1916"/>
      <c r="V1299" s="1916"/>
      <c r="W1299" s="1916"/>
      <c r="X1299" s="1916"/>
      <c r="Y1299" s="1916"/>
      <c r="Z1299" s="1916"/>
      <c r="AA1299" s="1916"/>
      <c r="AB1299" s="1916"/>
      <c r="AC1299" s="1916"/>
      <c r="AD1299" s="1916"/>
      <c r="AE1299" s="1916"/>
    </row>
    <row r="1300" spans="2:31" s="3407" customFormat="1">
      <c r="B1300" s="3297"/>
      <c r="C1300" s="3408" t="s">
        <v>63</v>
      </c>
      <c r="D1300" s="3421">
        <v>30</v>
      </c>
      <c r="E1300" s="3422" t="s">
        <v>46</v>
      </c>
      <c r="F1300" s="3412">
        <f>+SUM(G1297:G1299)</f>
        <v>2007.28</v>
      </c>
      <c r="G1300" s="3412">
        <f>+(D1300/100)*F1300</f>
        <v>602.17999999999995</v>
      </c>
      <c r="H1300" s="1192"/>
      <c r="I1300" s="1916"/>
      <c r="J1300" s="1916"/>
      <c r="K1300" s="1916"/>
      <c r="L1300" s="1916"/>
      <c r="M1300" s="1916"/>
      <c r="N1300" s="1916"/>
      <c r="O1300" s="1916"/>
      <c r="P1300" s="1916"/>
      <c r="Q1300" s="1916"/>
      <c r="R1300" s="1916"/>
      <c r="S1300" s="1916"/>
      <c r="T1300" s="1916"/>
      <c r="U1300" s="1916"/>
      <c r="V1300" s="1916"/>
      <c r="W1300" s="1916"/>
      <c r="X1300" s="1916"/>
      <c r="Y1300" s="1916"/>
      <c r="Z1300" s="1916"/>
      <c r="AA1300" s="1916"/>
      <c r="AB1300" s="1916"/>
      <c r="AC1300" s="1916"/>
      <c r="AD1300" s="1916"/>
      <c r="AE1300" s="1916"/>
    </row>
    <row r="1301" spans="2:31" s="3407" customFormat="1">
      <c r="B1301" s="3297"/>
      <c r="C1301" s="3408"/>
      <c r="D1301" s="3409"/>
      <c r="E1301" s="3409"/>
      <c r="F1301" s="3414" t="s">
        <v>275</v>
      </c>
      <c r="G1301" s="3415">
        <f>SUM(G1297:G1300)</f>
        <v>2609.46</v>
      </c>
      <c r="H1301" s="1192"/>
      <c r="I1301" s="1916"/>
      <c r="J1301" s="1916"/>
      <c r="K1301" s="1916"/>
      <c r="L1301" s="1916"/>
      <c r="M1301" s="1916"/>
      <c r="N1301" s="1916"/>
      <c r="O1301" s="1916"/>
      <c r="P1301" s="1916"/>
      <c r="Q1301" s="1916"/>
      <c r="R1301" s="1916"/>
      <c r="S1301" s="1916"/>
      <c r="T1301" s="1916"/>
      <c r="U1301" s="1916"/>
      <c r="V1301" s="1916"/>
      <c r="W1301" s="1916"/>
      <c r="X1301" s="1916"/>
      <c r="Y1301" s="1916"/>
      <c r="Z1301" s="1916"/>
      <c r="AA1301" s="1916"/>
      <c r="AB1301" s="1916"/>
      <c r="AC1301" s="1916"/>
      <c r="AD1301" s="1916"/>
      <c r="AE1301" s="1916"/>
    </row>
    <row r="1302" spans="2:31" s="3407" customFormat="1">
      <c r="B1302" s="3297"/>
      <c r="C1302" s="3408"/>
      <c r="D1302" s="3423"/>
      <c r="E1302" s="3423"/>
      <c r="F1302" s="3423"/>
      <c r="G1302" s="3415"/>
      <c r="H1302" s="1192"/>
      <c r="I1302" s="1916"/>
      <c r="J1302" s="1916"/>
      <c r="K1302" s="1916"/>
      <c r="L1302" s="1916"/>
      <c r="M1302" s="1916"/>
      <c r="N1302" s="1916"/>
      <c r="O1302" s="1916"/>
      <c r="P1302" s="1916"/>
      <c r="Q1302" s="1916"/>
      <c r="R1302" s="1916"/>
      <c r="S1302" s="1916"/>
      <c r="T1302" s="1916"/>
      <c r="U1302" s="1916"/>
      <c r="V1302" s="1916"/>
      <c r="W1302" s="1916"/>
      <c r="X1302" s="1916"/>
      <c r="Y1302" s="1916"/>
      <c r="Z1302" s="1916"/>
      <c r="AA1302" s="1916"/>
      <c r="AB1302" s="1916"/>
      <c r="AC1302" s="1916"/>
      <c r="AD1302" s="1916"/>
      <c r="AE1302" s="1916"/>
    </row>
    <row r="1303" spans="2:31" s="3407" customFormat="1">
      <c r="B1303" s="3297"/>
      <c r="C1303" s="3416" t="s">
        <v>1169</v>
      </c>
      <c r="D1303" s="3417"/>
      <c r="E1303" s="3418"/>
      <c r="F1303" s="3409"/>
      <c r="G1303" s="3409"/>
      <c r="H1303" s="1192"/>
      <c r="I1303" s="1916"/>
      <c r="J1303" s="1916"/>
      <c r="K1303" s="1916"/>
      <c r="L1303" s="1916"/>
      <c r="M1303" s="1916"/>
      <c r="N1303" s="1916"/>
      <c r="O1303" s="1916"/>
      <c r="P1303" s="1916"/>
      <c r="Q1303" s="1916"/>
      <c r="R1303" s="1916"/>
      <c r="S1303" s="1916"/>
      <c r="T1303" s="1916"/>
      <c r="U1303" s="1916"/>
      <c r="V1303" s="1916"/>
      <c r="W1303" s="1916"/>
      <c r="X1303" s="1916"/>
      <c r="Y1303" s="1916"/>
      <c r="Z1303" s="1916"/>
      <c r="AA1303" s="1916"/>
      <c r="AB1303" s="1916"/>
      <c r="AC1303" s="1916"/>
      <c r="AD1303" s="1916"/>
      <c r="AE1303" s="1916"/>
    </row>
    <row r="1304" spans="2:31" s="3407" customFormat="1">
      <c r="B1304" s="3297"/>
      <c r="C1304" s="3408" t="s">
        <v>1170</v>
      </c>
      <c r="D1304" s="3419">
        <v>0.42</v>
      </c>
      <c r="E1304" s="3410" t="s">
        <v>2</v>
      </c>
      <c r="F1304" s="3412">
        <f>+F1239</f>
        <v>442.54</v>
      </c>
      <c r="G1304" s="3412">
        <f>D1304*F1304</f>
        <v>185.87</v>
      </c>
      <c r="H1304" s="1192"/>
      <c r="I1304" s="1916"/>
      <c r="J1304" s="1916"/>
      <c r="K1304" s="1916"/>
      <c r="L1304" s="1916"/>
      <c r="M1304" s="1916"/>
      <c r="N1304" s="1916"/>
      <c r="O1304" s="1916"/>
      <c r="P1304" s="1916"/>
      <c r="Q1304" s="1916"/>
      <c r="R1304" s="1916"/>
      <c r="S1304" s="1916"/>
      <c r="T1304" s="1916"/>
      <c r="U1304" s="1916"/>
      <c r="V1304" s="1916"/>
      <c r="W1304" s="1916"/>
      <c r="X1304" s="1916"/>
      <c r="Y1304" s="1916"/>
      <c r="Z1304" s="1916"/>
      <c r="AA1304" s="1916"/>
      <c r="AB1304" s="1916"/>
      <c r="AC1304" s="1916"/>
      <c r="AD1304" s="1916"/>
      <c r="AE1304" s="1916"/>
    </row>
    <row r="1305" spans="2:31" s="3407" customFormat="1">
      <c r="B1305" s="3297"/>
      <c r="C1305" s="3408" t="s">
        <v>1171</v>
      </c>
      <c r="D1305" s="3419">
        <f>D1304*1.2</f>
        <v>0.504</v>
      </c>
      <c r="E1305" s="3410" t="s">
        <v>2</v>
      </c>
      <c r="F1305" s="3420">
        <v>90</v>
      </c>
      <c r="G1305" s="3412">
        <f>D1305*F1305</f>
        <v>45.36</v>
      </c>
      <c r="H1305" s="1192"/>
      <c r="I1305" s="1916"/>
      <c r="J1305" s="1916"/>
      <c r="K1305" s="1916"/>
      <c r="L1305" s="1916"/>
      <c r="M1305" s="1916"/>
      <c r="N1305" s="1916"/>
      <c r="O1305" s="1916"/>
      <c r="P1305" s="1916"/>
      <c r="Q1305" s="1916"/>
      <c r="R1305" s="1916"/>
      <c r="S1305" s="1916"/>
      <c r="T1305" s="1916"/>
      <c r="U1305" s="1916"/>
      <c r="V1305" s="1916"/>
      <c r="W1305" s="1916"/>
      <c r="X1305" s="1916"/>
      <c r="Y1305" s="1916"/>
      <c r="Z1305" s="1916"/>
      <c r="AA1305" s="1916"/>
      <c r="AB1305" s="1916"/>
      <c r="AC1305" s="1916"/>
      <c r="AD1305" s="1916"/>
      <c r="AE1305" s="1916"/>
    </row>
    <row r="1306" spans="2:31" s="3407" customFormat="1">
      <c r="B1306" s="3297"/>
      <c r="C1306" s="3408"/>
      <c r="D1306" s="3409"/>
      <c r="E1306" s="3409"/>
      <c r="F1306" s="3414" t="s">
        <v>275</v>
      </c>
      <c r="G1306" s="3415">
        <f>SUM(G1304:G1305)</f>
        <v>231.23</v>
      </c>
      <c r="H1306" s="1192"/>
      <c r="I1306" s="1916"/>
      <c r="J1306" s="1916"/>
      <c r="K1306" s="1916"/>
      <c r="L1306" s="1916"/>
      <c r="M1306" s="1916"/>
      <c r="N1306" s="1916"/>
      <c r="O1306" s="1916"/>
      <c r="P1306" s="1916"/>
      <c r="Q1306" s="1916"/>
      <c r="R1306" s="1916"/>
      <c r="S1306" s="1916"/>
      <c r="T1306" s="1916"/>
      <c r="U1306" s="1916"/>
      <c r="V1306" s="1916"/>
      <c r="W1306" s="1916"/>
      <c r="X1306" s="1916"/>
      <c r="Y1306" s="1916"/>
      <c r="Z1306" s="1916"/>
      <c r="AA1306" s="1916"/>
      <c r="AB1306" s="1916"/>
      <c r="AC1306" s="1916"/>
      <c r="AD1306" s="1916"/>
      <c r="AE1306" s="1916"/>
    </row>
    <row r="1307" spans="2:31" s="3407" customFormat="1">
      <c r="B1307" s="3297"/>
      <c r="C1307" s="3408"/>
      <c r="D1307" s="3409"/>
      <c r="E1307" s="3409"/>
      <c r="F1307" s="3414"/>
      <c r="G1307" s="3415"/>
      <c r="H1307" s="1192"/>
      <c r="I1307" s="1916"/>
      <c r="J1307" s="1916"/>
      <c r="K1307" s="1916"/>
      <c r="L1307" s="1916"/>
      <c r="M1307" s="1916"/>
      <c r="N1307" s="1916"/>
      <c r="O1307" s="1916"/>
      <c r="P1307" s="1916"/>
      <c r="Q1307" s="1916"/>
      <c r="R1307" s="1916"/>
      <c r="S1307" s="1916"/>
      <c r="T1307" s="1916"/>
      <c r="U1307" s="1916"/>
      <c r="V1307" s="1916"/>
      <c r="W1307" s="1916"/>
      <c r="X1307" s="1916"/>
      <c r="Y1307" s="1916"/>
      <c r="Z1307" s="1916"/>
      <c r="AA1307" s="1916"/>
      <c r="AB1307" s="1916"/>
      <c r="AC1307" s="1916"/>
      <c r="AD1307" s="1916"/>
      <c r="AE1307" s="1916"/>
    </row>
    <row r="1308" spans="2:31" s="3407" customFormat="1">
      <c r="B1308" s="3297"/>
      <c r="C1308" s="3416" t="s">
        <v>1172</v>
      </c>
      <c r="D1308" s="3417"/>
      <c r="E1308" s="3418"/>
      <c r="F1308" s="3409"/>
      <c r="G1308" s="3409"/>
      <c r="H1308" s="1192"/>
      <c r="I1308" s="1916"/>
      <c r="J1308" s="1916"/>
      <c r="K1308" s="1916"/>
      <c r="L1308" s="1916"/>
      <c r="M1308" s="1916"/>
      <c r="N1308" s="1916"/>
      <c r="O1308" s="1916"/>
      <c r="P1308" s="1916"/>
      <c r="Q1308" s="1916"/>
      <c r="R1308" s="1916"/>
      <c r="S1308" s="1916"/>
      <c r="T1308" s="1916"/>
      <c r="U1308" s="1916"/>
      <c r="V1308" s="1916"/>
      <c r="W1308" s="1916"/>
      <c r="X1308" s="1916"/>
      <c r="Y1308" s="1916"/>
      <c r="Z1308" s="1916"/>
      <c r="AA1308" s="1916"/>
      <c r="AB1308" s="1916"/>
      <c r="AC1308" s="1916"/>
      <c r="AD1308" s="1916"/>
      <c r="AE1308" s="1916"/>
    </row>
    <row r="1309" spans="2:31" s="3407" customFormat="1">
      <c r="B1309" s="3297"/>
      <c r="C1309" s="3416"/>
      <c r="D1309" s="3417"/>
      <c r="E1309" s="3418"/>
      <c r="F1309" s="3409"/>
      <c r="G1309" s="3409"/>
      <c r="H1309" s="1192"/>
      <c r="I1309" s="1916"/>
      <c r="J1309" s="1916"/>
      <c r="K1309" s="1916"/>
      <c r="L1309" s="1916"/>
      <c r="M1309" s="1916"/>
      <c r="N1309" s="1916"/>
      <c r="O1309" s="1916"/>
      <c r="P1309" s="1916"/>
      <c r="Q1309" s="1916"/>
      <c r="R1309" s="1916"/>
      <c r="S1309" s="1916"/>
      <c r="T1309" s="1916"/>
      <c r="U1309" s="1916"/>
      <c r="V1309" s="1916"/>
      <c r="W1309" s="1916"/>
      <c r="X1309" s="1916"/>
      <c r="Y1309" s="1916"/>
      <c r="Z1309" s="1916"/>
      <c r="AA1309" s="1916"/>
      <c r="AB1309" s="1916"/>
      <c r="AC1309" s="1916"/>
      <c r="AD1309" s="1916"/>
      <c r="AE1309" s="1916"/>
    </row>
    <row r="1310" spans="2:31" s="3407" customFormat="1" ht="38.25">
      <c r="B1310" s="3297"/>
      <c r="C1310" s="3424" t="s">
        <v>1173</v>
      </c>
      <c r="D1310" s="3425"/>
      <c r="E1310" s="3426"/>
      <c r="F1310" s="3427"/>
      <c r="G1310" s="3428"/>
      <c r="H1310" s="1192"/>
      <c r="I1310" s="1916"/>
      <c r="J1310" s="1916"/>
      <c r="K1310" s="1916"/>
      <c r="L1310" s="1916"/>
      <c r="M1310" s="1916"/>
      <c r="N1310" s="1916"/>
      <c r="O1310" s="1916"/>
      <c r="P1310" s="1916"/>
      <c r="Q1310" s="1916"/>
      <c r="R1310" s="1916"/>
      <c r="S1310" s="1916"/>
      <c r="T1310" s="1916"/>
      <c r="U1310" s="1916"/>
      <c r="V1310" s="1916"/>
      <c r="W1310" s="1916"/>
      <c r="X1310" s="1916"/>
      <c r="Y1310" s="1916"/>
      <c r="Z1310" s="1916"/>
      <c r="AA1310" s="1916"/>
      <c r="AB1310" s="1916"/>
      <c r="AC1310" s="1916"/>
      <c r="AD1310" s="1916"/>
      <c r="AE1310" s="1916"/>
    </row>
    <row r="1311" spans="2:31" s="3407" customFormat="1">
      <c r="B1311" s="3297"/>
      <c r="C1311" s="3429" t="s">
        <v>151</v>
      </c>
      <c r="D1311" s="3425">
        <f>0.42*0.45</f>
        <v>0.19</v>
      </c>
      <c r="E1311" s="3426" t="s">
        <v>2</v>
      </c>
      <c r="F1311" s="3427">
        <f>935.52</f>
        <v>935.52</v>
      </c>
      <c r="G1311" s="3428">
        <f>ROUND(F1311*D1311,2)</f>
        <v>177.75</v>
      </c>
      <c r="H1311" s="1192"/>
      <c r="I1311" s="1916"/>
      <c r="J1311" s="1916"/>
      <c r="K1311" s="1916"/>
      <c r="L1311" s="1916"/>
      <c r="M1311" s="1916"/>
      <c r="N1311" s="1916"/>
      <c r="O1311" s="1916"/>
      <c r="P1311" s="1916"/>
      <c r="Q1311" s="1916"/>
      <c r="R1311" s="1916"/>
      <c r="S1311" s="1916"/>
      <c r="T1311" s="1916"/>
      <c r="U1311" s="1916"/>
      <c r="V1311" s="1916"/>
      <c r="W1311" s="1916"/>
      <c r="X1311" s="1916"/>
      <c r="Y1311" s="1916"/>
      <c r="Z1311" s="1916"/>
      <c r="AA1311" s="1916"/>
      <c r="AB1311" s="1916"/>
      <c r="AC1311" s="1916"/>
      <c r="AD1311" s="1916"/>
      <c r="AE1311" s="1916"/>
    </row>
    <row r="1312" spans="2:31" s="3407" customFormat="1">
      <c r="B1312" s="3297"/>
      <c r="C1312" s="3429" t="s">
        <v>124</v>
      </c>
      <c r="D1312" s="3425">
        <f>0.42*0.9</f>
        <v>0.38</v>
      </c>
      <c r="E1312" s="3426" t="s">
        <v>2</v>
      </c>
      <c r="F1312" s="3427">
        <f>+F1311</f>
        <v>935.52</v>
      </c>
      <c r="G1312" s="3428">
        <f>ROUND(F1312*D1312,2)</f>
        <v>355.5</v>
      </c>
      <c r="H1312" s="1192"/>
      <c r="I1312" s="1916"/>
      <c r="J1312" s="1916"/>
      <c r="K1312" s="1916"/>
      <c r="L1312" s="1916"/>
      <c r="M1312" s="1916"/>
      <c r="N1312" s="1916"/>
      <c r="O1312" s="1916"/>
      <c r="P1312" s="1916"/>
      <c r="Q1312" s="1916"/>
      <c r="R1312" s="1916"/>
      <c r="S1312" s="1916"/>
      <c r="T1312" s="1916"/>
      <c r="U1312" s="1916"/>
      <c r="V1312" s="1916"/>
      <c r="W1312" s="1916"/>
      <c r="X1312" s="1916"/>
      <c r="Y1312" s="1916"/>
      <c r="Z1312" s="1916"/>
      <c r="AA1312" s="1916"/>
      <c r="AB1312" s="1916"/>
      <c r="AC1312" s="1916"/>
      <c r="AD1312" s="1916"/>
      <c r="AE1312" s="1916"/>
    </row>
    <row r="1313" spans="1:31" s="3407" customFormat="1">
      <c r="B1313" s="3297"/>
      <c r="C1313" s="3429" t="s">
        <v>142</v>
      </c>
      <c r="D1313" s="3425">
        <f>0.42*13</f>
        <v>5.46</v>
      </c>
      <c r="E1313" s="3426" t="s">
        <v>1026</v>
      </c>
      <c r="F1313" s="3427">
        <f>49.77</f>
        <v>49.77</v>
      </c>
      <c r="G1313" s="3428">
        <f>ROUND(F1313*D1313,2)</f>
        <v>271.74</v>
      </c>
      <c r="H1313" s="1192"/>
      <c r="I1313" s="1916"/>
      <c r="J1313" s="1916"/>
      <c r="K1313" s="1916"/>
      <c r="L1313" s="1916"/>
      <c r="M1313" s="1916"/>
      <c r="N1313" s="1916"/>
      <c r="O1313" s="1916"/>
      <c r="P1313" s="1916"/>
      <c r="Q1313" s="1916"/>
      <c r="R1313" s="1916"/>
      <c r="S1313" s="1916"/>
      <c r="T1313" s="1916"/>
      <c r="U1313" s="1916"/>
      <c r="V1313" s="1916"/>
      <c r="W1313" s="1916"/>
      <c r="X1313" s="1916"/>
      <c r="Y1313" s="1916"/>
      <c r="Z1313" s="1916"/>
      <c r="AA1313" s="1916"/>
      <c r="AB1313" s="1916"/>
      <c r="AC1313" s="1916"/>
      <c r="AD1313" s="1916"/>
      <c r="AE1313" s="1916"/>
    </row>
    <row r="1314" spans="1:31" s="3407" customFormat="1">
      <c r="B1314" s="3297"/>
      <c r="C1314" s="3429" t="s">
        <v>1174</v>
      </c>
      <c r="D1314" s="3425">
        <f>0.42*0.51</f>
        <v>0.21</v>
      </c>
      <c r="E1314" s="3426" t="s">
        <v>126</v>
      </c>
      <c r="F1314" s="3427">
        <f>111.8</f>
        <v>111.8</v>
      </c>
      <c r="G1314" s="3428">
        <f>ROUND(F1314*D1314,2)</f>
        <v>23.48</v>
      </c>
      <c r="H1314" s="1192"/>
      <c r="I1314" s="1916"/>
      <c r="J1314" s="1916"/>
      <c r="K1314" s="1916"/>
      <c r="L1314" s="1916"/>
      <c r="M1314" s="1916"/>
      <c r="N1314" s="1916"/>
      <c r="O1314" s="1916"/>
      <c r="P1314" s="1916"/>
      <c r="Q1314" s="1916"/>
      <c r="R1314" s="1916"/>
      <c r="S1314" s="1916"/>
      <c r="T1314" s="1916"/>
      <c r="U1314" s="1916"/>
      <c r="V1314" s="1916"/>
      <c r="W1314" s="1916"/>
      <c r="X1314" s="1916"/>
      <c r="Y1314" s="1916"/>
      <c r="Z1314" s="1916"/>
      <c r="AA1314" s="1916"/>
      <c r="AB1314" s="1916"/>
      <c r="AC1314" s="1916"/>
      <c r="AD1314" s="1916"/>
      <c r="AE1314" s="1916"/>
    </row>
    <row r="1315" spans="1:31" s="3407" customFormat="1">
      <c r="B1315" s="3297"/>
      <c r="C1315" s="3408"/>
      <c r="D1315" s="3409"/>
      <c r="E1315" s="3409"/>
      <c r="F1315" s="3414"/>
      <c r="G1315" s="3415"/>
      <c r="H1315" s="1192"/>
      <c r="I1315" s="1916"/>
      <c r="J1315" s="1916"/>
      <c r="K1315" s="1916"/>
      <c r="L1315" s="1916"/>
      <c r="M1315" s="1916"/>
      <c r="N1315" s="1916"/>
      <c r="O1315" s="1916"/>
      <c r="P1315" s="1916"/>
      <c r="Q1315" s="1916"/>
      <c r="R1315" s="1916"/>
      <c r="S1315" s="1916"/>
      <c r="T1315" s="1916"/>
      <c r="U1315" s="1916"/>
      <c r="V1315" s="1916"/>
      <c r="W1315" s="1916"/>
      <c r="X1315" s="1916"/>
      <c r="Y1315" s="1916"/>
      <c r="Z1315" s="1916"/>
      <c r="AA1315" s="1916"/>
      <c r="AB1315" s="1916"/>
      <c r="AC1315" s="1916"/>
      <c r="AD1315" s="1916"/>
      <c r="AE1315" s="1916"/>
    </row>
    <row r="1316" spans="1:31" s="3407" customFormat="1">
      <c r="B1316" s="3297"/>
      <c r="C1316" s="3408"/>
      <c r="D1316" s="3409"/>
      <c r="E1316" s="3409"/>
      <c r="F1316" s="3414"/>
      <c r="G1316" s="3415"/>
      <c r="H1316" s="1192"/>
      <c r="I1316" s="1916"/>
      <c r="J1316" s="1916"/>
      <c r="K1316" s="1916"/>
      <c r="L1316" s="1916"/>
      <c r="M1316" s="1916"/>
      <c r="N1316" s="1916"/>
      <c r="O1316" s="1916"/>
      <c r="P1316" s="1916"/>
      <c r="Q1316" s="1916"/>
      <c r="R1316" s="1916"/>
      <c r="S1316" s="1916"/>
      <c r="T1316" s="1916"/>
      <c r="U1316" s="1916"/>
      <c r="V1316" s="1916"/>
      <c r="W1316" s="1916"/>
      <c r="X1316" s="1916"/>
      <c r="Y1316" s="1916"/>
      <c r="Z1316" s="1916"/>
      <c r="AA1316" s="1916"/>
      <c r="AB1316" s="1916"/>
      <c r="AC1316" s="1916"/>
      <c r="AD1316" s="1916"/>
      <c r="AE1316" s="1916"/>
    </row>
    <row r="1317" spans="1:31" s="3407" customFormat="1" ht="38.25">
      <c r="B1317" s="3297"/>
      <c r="C1317" s="3424" t="s">
        <v>1175</v>
      </c>
      <c r="D1317" s="3425"/>
      <c r="E1317" s="3426"/>
      <c r="F1317" s="3427"/>
      <c r="G1317" s="3428"/>
      <c r="H1317" s="1192"/>
      <c r="I1317" s="1916"/>
      <c r="J1317" s="1916"/>
      <c r="K1317" s="1916"/>
      <c r="L1317" s="1916"/>
      <c r="M1317" s="1916"/>
      <c r="N1317" s="1916"/>
      <c r="O1317" s="1916"/>
      <c r="P1317" s="1916"/>
      <c r="Q1317" s="1916"/>
      <c r="R1317" s="1916"/>
      <c r="S1317" s="1916"/>
      <c r="T1317" s="1916"/>
      <c r="U1317" s="1916"/>
      <c r="V1317" s="1916"/>
      <c r="W1317" s="1916"/>
      <c r="X1317" s="1916"/>
      <c r="Y1317" s="1916"/>
      <c r="Z1317" s="1916"/>
      <c r="AA1317" s="1916"/>
      <c r="AB1317" s="1916"/>
      <c r="AC1317" s="1916"/>
      <c r="AD1317" s="1916"/>
      <c r="AE1317" s="1916"/>
    </row>
    <row r="1318" spans="1:31" s="3407" customFormat="1">
      <c r="B1318" s="3297"/>
      <c r="C1318" s="3429" t="s">
        <v>151</v>
      </c>
      <c r="D1318" s="3425">
        <f>+D1311</f>
        <v>0.19</v>
      </c>
      <c r="E1318" s="3426" t="s">
        <v>2</v>
      </c>
      <c r="F1318" s="3427">
        <v>2069.1999999999998</v>
      </c>
      <c r="G1318" s="3428">
        <f>ROUND(F1318*D1318,2)</f>
        <v>393.15</v>
      </c>
      <c r="H1318" s="1192"/>
      <c r="I1318" s="1916"/>
      <c r="J1318" s="1916"/>
      <c r="K1318" s="1916"/>
      <c r="L1318" s="1916"/>
      <c r="M1318" s="1916"/>
      <c r="N1318" s="1916"/>
      <c r="O1318" s="1916"/>
      <c r="P1318" s="1916"/>
      <c r="Q1318" s="1916"/>
      <c r="R1318" s="1916"/>
      <c r="S1318" s="1916"/>
      <c r="T1318" s="1916"/>
      <c r="U1318" s="1916"/>
      <c r="V1318" s="1916"/>
      <c r="W1318" s="1916"/>
      <c r="X1318" s="1916"/>
      <c r="Y1318" s="1916"/>
      <c r="Z1318" s="1916"/>
      <c r="AA1318" s="1916"/>
      <c r="AB1318" s="1916"/>
      <c r="AC1318" s="1916"/>
      <c r="AD1318" s="1916"/>
      <c r="AE1318" s="1916"/>
    </row>
    <row r="1319" spans="1:31" s="3407" customFormat="1">
      <c r="B1319" s="3297"/>
      <c r="C1319" s="3429" t="s">
        <v>124</v>
      </c>
      <c r="D1319" s="3425">
        <f>+D1312</f>
        <v>0.38</v>
      </c>
      <c r="E1319" s="3426" t="s">
        <v>2</v>
      </c>
      <c r="F1319" s="3427">
        <f>+F1318</f>
        <v>2069.1999999999998</v>
      </c>
      <c r="G1319" s="3428">
        <f>ROUND(F1319*D1319,2)</f>
        <v>786.3</v>
      </c>
      <c r="H1319" s="1192"/>
      <c r="I1319" s="1916"/>
      <c r="J1319" s="1916"/>
      <c r="K1319" s="1916"/>
      <c r="L1319" s="1916"/>
      <c r="M1319" s="1916"/>
      <c r="N1319" s="1916"/>
      <c r="O1319" s="1916"/>
      <c r="P1319" s="1916"/>
      <c r="Q1319" s="1916"/>
      <c r="R1319" s="1916"/>
      <c r="S1319" s="1916"/>
      <c r="T1319" s="1916"/>
      <c r="U1319" s="1916"/>
      <c r="V1319" s="1916"/>
      <c r="W1319" s="1916"/>
      <c r="X1319" s="1916"/>
      <c r="Y1319" s="1916"/>
      <c r="Z1319" s="1916"/>
      <c r="AA1319" s="1916"/>
      <c r="AB1319" s="1916"/>
      <c r="AC1319" s="1916"/>
      <c r="AD1319" s="1916"/>
      <c r="AE1319" s="1916"/>
    </row>
    <row r="1320" spans="1:31" s="3407" customFormat="1">
      <c r="B1320" s="3297"/>
      <c r="C1320" s="3429" t="s">
        <v>142</v>
      </c>
      <c r="D1320" s="3425">
        <f>+D1313</f>
        <v>5.46</v>
      </c>
      <c r="E1320" s="3426" t="s">
        <v>2</v>
      </c>
      <c r="F1320" s="3427">
        <v>62.08</v>
      </c>
      <c r="G1320" s="3428">
        <f>ROUND(F1320*D1320,2)</f>
        <v>338.96</v>
      </c>
      <c r="H1320" s="1192"/>
      <c r="I1320" s="1916"/>
      <c r="J1320" s="1916"/>
      <c r="K1320" s="1916"/>
      <c r="L1320" s="1916"/>
      <c r="M1320" s="1916"/>
      <c r="N1320" s="1916"/>
      <c r="O1320" s="1916"/>
      <c r="P1320" s="1916"/>
      <c r="Q1320" s="1916"/>
      <c r="R1320" s="1916"/>
      <c r="S1320" s="1916"/>
      <c r="T1320" s="1916"/>
      <c r="U1320" s="1916"/>
      <c r="V1320" s="1916"/>
      <c r="W1320" s="1916"/>
      <c r="X1320" s="1916"/>
      <c r="Y1320" s="1916"/>
      <c r="Z1320" s="1916"/>
      <c r="AA1320" s="1916"/>
      <c r="AB1320" s="1916"/>
      <c r="AC1320" s="1916"/>
      <c r="AD1320" s="1916"/>
      <c r="AE1320" s="1916"/>
    </row>
    <row r="1321" spans="1:31" s="3407" customFormat="1">
      <c r="B1321" s="3297"/>
      <c r="C1321" s="3429" t="s">
        <v>1174</v>
      </c>
      <c r="D1321" s="3425">
        <f>+D1314</f>
        <v>0.21</v>
      </c>
      <c r="E1321" s="3426" t="s">
        <v>2</v>
      </c>
      <c r="F1321" s="3427">
        <v>135.69</v>
      </c>
      <c r="G1321" s="3428">
        <f>ROUND(F1321*D1321,2)</f>
        <v>28.49</v>
      </c>
      <c r="H1321" s="1192"/>
      <c r="I1321" s="1916"/>
      <c r="J1321" s="1916"/>
      <c r="K1321" s="1916"/>
      <c r="L1321" s="1916"/>
      <c r="M1321" s="1916"/>
      <c r="N1321" s="1916"/>
      <c r="O1321" s="1916"/>
      <c r="P1321" s="1916"/>
      <c r="Q1321" s="1916"/>
      <c r="R1321" s="1916"/>
      <c r="S1321" s="1916"/>
      <c r="T1321" s="1916"/>
      <c r="U1321" s="1916"/>
      <c r="V1321" s="1916"/>
      <c r="W1321" s="1916"/>
      <c r="X1321" s="1916"/>
      <c r="Y1321" s="1916"/>
      <c r="Z1321" s="1916"/>
      <c r="AA1321" s="1916"/>
      <c r="AB1321" s="1916"/>
      <c r="AC1321" s="1916"/>
      <c r="AD1321" s="1916"/>
      <c r="AE1321" s="1916"/>
    </row>
    <row r="1322" spans="1:31" s="3407" customFormat="1">
      <c r="B1322" s="3297"/>
      <c r="C1322" s="3408"/>
      <c r="D1322" s="3409"/>
      <c r="E1322" s="3409"/>
      <c r="F1322" s="3414"/>
      <c r="G1322" s="3415">
        <f>SUM(G1311:G1321)</f>
        <v>2375.37</v>
      </c>
      <c r="H1322" s="1192"/>
      <c r="I1322" s="1916"/>
      <c r="J1322" s="1916"/>
      <c r="K1322" s="1916"/>
      <c r="L1322" s="1916"/>
      <c r="M1322" s="1916"/>
      <c r="N1322" s="1916"/>
      <c r="O1322" s="1916"/>
      <c r="P1322" s="1916"/>
      <c r="Q1322" s="1916"/>
      <c r="R1322" s="1916"/>
      <c r="S1322" s="1916"/>
      <c r="T1322" s="1916"/>
      <c r="U1322" s="1916"/>
      <c r="V1322" s="1916"/>
      <c r="W1322" s="1916"/>
      <c r="X1322" s="1916"/>
      <c r="Y1322" s="1916"/>
      <c r="Z1322" s="1916"/>
      <c r="AA1322" s="1916"/>
      <c r="AB1322" s="1916"/>
      <c r="AC1322" s="1916"/>
      <c r="AD1322" s="1916"/>
      <c r="AE1322" s="1916"/>
    </row>
    <row r="1323" spans="1:31" s="3407" customFormat="1">
      <c r="B1323" s="3297"/>
      <c r="C1323" s="3408"/>
      <c r="D1323" s="3423"/>
      <c r="E1323" s="3423"/>
      <c r="F1323" s="3423"/>
      <c r="G1323" s="3415"/>
      <c r="H1323" s="1192"/>
      <c r="I1323" s="1916"/>
      <c r="J1323" s="1916"/>
      <c r="K1323" s="1916"/>
      <c r="L1323" s="1916"/>
      <c r="M1323" s="1916"/>
      <c r="N1323" s="1916"/>
      <c r="O1323" s="1916"/>
      <c r="P1323" s="1916"/>
      <c r="Q1323" s="1916"/>
      <c r="R1323" s="1916"/>
      <c r="S1323" s="1916"/>
      <c r="T1323" s="1916"/>
      <c r="U1323" s="1916"/>
      <c r="V1323" s="1916"/>
      <c r="W1323" s="1916"/>
      <c r="X1323" s="1916"/>
      <c r="Y1323" s="1916"/>
      <c r="Z1323" s="1916"/>
      <c r="AA1323" s="1916"/>
      <c r="AB1323" s="1916"/>
      <c r="AC1323" s="1916"/>
      <c r="AD1323" s="1916"/>
      <c r="AE1323" s="1916"/>
    </row>
    <row r="1324" spans="1:31" s="3407" customFormat="1">
      <c r="B1324" s="3297"/>
      <c r="C1324" s="3408"/>
      <c r="D1324" s="4896" t="s">
        <v>281</v>
      </c>
      <c r="E1324" s="4896"/>
      <c r="F1324" s="4896"/>
      <c r="G1324" s="3415" t="e">
        <f>G1322+G1306+G1301+G1295</f>
        <v>#REF!</v>
      </c>
      <c r="H1324" s="1192"/>
      <c r="I1324" s="1916"/>
      <c r="J1324" s="1916"/>
      <c r="K1324" s="1916"/>
      <c r="L1324" s="1916"/>
      <c r="M1324" s="1916"/>
      <c r="N1324" s="1916"/>
      <c r="O1324" s="1916"/>
      <c r="P1324" s="1916"/>
      <c r="Q1324" s="1916"/>
      <c r="R1324" s="1916"/>
      <c r="S1324" s="1916"/>
      <c r="T1324" s="1916"/>
      <c r="U1324" s="1916"/>
      <c r="V1324" s="1916"/>
      <c r="W1324" s="1916"/>
      <c r="X1324" s="1916"/>
      <c r="Y1324" s="1916"/>
      <c r="Z1324" s="1916"/>
      <c r="AA1324" s="1916"/>
      <c r="AB1324" s="1916"/>
      <c r="AC1324" s="1916"/>
      <c r="AD1324" s="1916"/>
      <c r="AE1324" s="1916"/>
    </row>
    <row r="1325" spans="1:31" s="3407" customFormat="1">
      <c r="C1325" s="1644"/>
      <c r="D1325" s="1197"/>
      <c r="E1325" s="1198"/>
      <c r="F1325" s="1199"/>
      <c r="G1325" s="1199"/>
      <c r="H1325" s="1192"/>
      <c r="I1325" s="1916"/>
      <c r="J1325" s="1916"/>
      <c r="K1325" s="1916"/>
      <c r="L1325" s="1916"/>
      <c r="M1325" s="1916"/>
      <c r="N1325" s="1916"/>
      <c r="O1325" s="1916"/>
      <c r="P1325" s="1916"/>
      <c r="Q1325" s="1916"/>
      <c r="R1325" s="1916"/>
      <c r="S1325" s="1916"/>
      <c r="T1325" s="1916"/>
      <c r="U1325" s="1916"/>
      <c r="V1325" s="1916"/>
      <c r="W1325" s="1916"/>
      <c r="X1325" s="1916"/>
      <c r="Y1325" s="1916"/>
      <c r="Z1325" s="1916"/>
      <c r="AA1325" s="1916"/>
      <c r="AB1325" s="1916"/>
      <c r="AC1325" s="1916"/>
      <c r="AD1325" s="1916"/>
      <c r="AE1325" s="1916"/>
    </row>
    <row r="1327" spans="1:31" s="3140" customFormat="1">
      <c r="A1327" s="1916"/>
      <c r="B1327" s="1916" t="s">
        <v>2090</v>
      </c>
      <c r="C1327" s="1916"/>
      <c r="D1327" s="1916"/>
      <c r="E1327" s="1916"/>
      <c r="F1327" s="1916"/>
    </row>
    <row r="1328" spans="1:31" s="3140" customFormat="1">
      <c r="A1328" s="1916"/>
      <c r="B1328" s="1916" t="s">
        <v>1140</v>
      </c>
      <c r="C1328" s="1916"/>
      <c r="D1328" s="1916"/>
      <c r="E1328" s="1916"/>
      <c r="F1328" s="1916"/>
    </row>
    <row r="1329" spans="1:6" s="3140" customFormat="1" ht="13.5" thickBot="1">
      <c r="A1329" s="1916"/>
      <c r="B1329" s="1916" t="s">
        <v>1141</v>
      </c>
      <c r="C1329" s="1916"/>
      <c r="D1329" s="1916"/>
      <c r="E1329" s="1916"/>
      <c r="F1329" s="1916"/>
    </row>
    <row r="1330" spans="1:6" s="3140" customFormat="1" ht="13.5" thickTop="1">
      <c r="A1330" s="1916"/>
      <c r="B1330" s="1916" t="s">
        <v>1060</v>
      </c>
      <c r="C1330" s="1916">
        <v>1.05</v>
      </c>
      <c r="D1330" s="1916" t="s">
        <v>2</v>
      </c>
      <c r="E1330" s="1916">
        <f>+F47</f>
        <v>7063.5</v>
      </c>
      <c r="F1330" s="3430">
        <f>ROUND(C1330*E1330,2)</f>
        <v>7416.68</v>
      </c>
    </row>
    <row r="1331" spans="1:6" s="3140" customFormat="1">
      <c r="A1331" s="1916"/>
      <c r="B1331" s="1916" t="s">
        <v>272</v>
      </c>
      <c r="C1331" s="1916">
        <v>8.15</v>
      </c>
      <c r="D1331" s="1916" t="s">
        <v>126</v>
      </c>
      <c r="E1331" s="1916">
        <f>+F62</f>
        <v>2913</v>
      </c>
      <c r="F1331" s="3431">
        <f>ROUND(C1331*E1331,2)</f>
        <v>23740.95</v>
      </c>
    </row>
    <row r="1332" spans="1:6" s="3140" customFormat="1">
      <c r="A1332" s="1916"/>
      <c r="B1332" s="1916" t="s">
        <v>1089</v>
      </c>
      <c r="C1332" s="1916">
        <f>1/(0.15*0.15)</f>
        <v>44.4444444444444</v>
      </c>
      <c r="D1332" s="1916" t="s">
        <v>1</v>
      </c>
      <c r="E1332" s="1916">
        <v>250</v>
      </c>
      <c r="F1332" s="3431">
        <f>ROUND(C1332*E1332,2)</f>
        <v>11111.11</v>
      </c>
    </row>
    <row r="1333" spans="1:6" s="3140" customFormat="1">
      <c r="A1333" s="1916"/>
      <c r="B1333" s="1916"/>
      <c r="C1333" s="1916"/>
      <c r="D1333" s="1916"/>
      <c r="E1333" s="1916"/>
      <c r="F1333" s="1916">
        <f>SUM(F1330:F1332)</f>
        <v>42268.74</v>
      </c>
    </row>
    <row r="1334" spans="1:6" s="3140" customFormat="1">
      <c r="A1334" s="1916"/>
      <c r="B1334" s="1916" t="s">
        <v>1142</v>
      </c>
      <c r="C1334" s="1916">
        <f>0.15*0.15*1</f>
        <v>2.2499999999999999E-2</v>
      </c>
      <c r="D1334" s="1916" t="s">
        <v>2</v>
      </c>
      <c r="E1334" s="1916"/>
      <c r="F1334" s="1916"/>
    </row>
    <row r="1335" spans="1:6" s="3140" customFormat="1">
      <c r="A1335" s="1916"/>
      <c r="B1335" s="1916" t="s">
        <v>2106</v>
      </c>
      <c r="C1335" s="1916">
        <v>1</v>
      </c>
      <c r="D1335" s="1916" t="s">
        <v>3</v>
      </c>
      <c r="E1335" s="1916">
        <f>C1334*F1333</f>
        <v>951.04665</v>
      </c>
      <c r="F1335" s="1916">
        <f>ROUND(C1335*E1335,2)</f>
        <v>951.05</v>
      </c>
    </row>
    <row r="1336" spans="1:6" s="3140" customFormat="1">
      <c r="A1336" s="1916"/>
      <c r="B1336" s="1916" t="s">
        <v>1153</v>
      </c>
      <c r="C1336" s="1916">
        <v>0</v>
      </c>
      <c r="D1336" s="1916" t="s">
        <v>11</v>
      </c>
      <c r="E1336" s="1916">
        <v>225</v>
      </c>
      <c r="F1336" s="1916">
        <f>ROUND(C1336*E1336,2)</f>
        <v>0</v>
      </c>
    </row>
    <row r="1337" spans="1:6" s="3140" customFormat="1">
      <c r="A1337" s="1916"/>
      <c r="B1337" s="1916" t="s">
        <v>177</v>
      </c>
      <c r="C1337" s="1916">
        <v>0</v>
      </c>
      <c r="D1337" s="1916" t="s">
        <v>1</v>
      </c>
      <c r="E1337" s="1916">
        <f>+F786</f>
        <v>0</v>
      </c>
      <c r="F1337" s="1916">
        <f>ROUND(C1337*E1337,2)</f>
        <v>0</v>
      </c>
    </row>
    <row r="1338" spans="1:6" s="3140" customFormat="1">
      <c r="A1338" s="1916"/>
      <c r="B1338" s="1916" t="s">
        <v>978</v>
      </c>
      <c r="C1338" s="1916" t="s">
        <v>1144</v>
      </c>
      <c r="D1338" s="1916"/>
      <c r="E1338" s="1916" t="s">
        <v>2091</v>
      </c>
      <c r="F1338" s="1916">
        <f>SUM(F1335:F1337)</f>
        <v>951.05</v>
      </c>
    </row>
    <row r="1339" spans="1:6" s="3140" customFormat="1">
      <c r="A1339" s="1916"/>
      <c r="B1339" s="1916"/>
      <c r="C1339" s="1916"/>
      <c r="D1339" s="1916"/>
      <c r="E1339" s="1916"/>
      <c r="F1339" s="1916"/>
    </row>
    <row r="1340" spans="1:6" s="3140" customFormat="1">
      <c r="A1340" s="1916"/>
      <c r="B1340" s="1916" t="s">
        <v>1145</v>
      </c>
      <c r="C1340" s="1916"/>
      <c r="D1340" s="1916"/>
      <c r="E1340" s="1916"/>
      <c r="F1340" s="1916"/>
    </row>
    <row r="1341" spans="1:6" s="3140" customFormat="1" ht="13.5" thickBot="1">
      <c r="A1341" s="1916"/>
      <c r="B1341" s="1916" t="s">
        <v>2092</v>
      </c>
      <c r="C1341" s="1916"/>
      <c r="D1341" s="1916"/>
      <c r="E1341" s="1916"/>
      <c r="F1341" s="1916"/>
    </row>
    <row r="1342" spans="1:6" s="3140" customFormat="1" ht="13.5" thickTop="1">
      <c r="A1342" s="1916"/>
      <c r="B1342" s="1916" t="s">
        <v>2093</v>
      </c>
      <c r="C1342" s="1916">
        <v>1.05</v>
      </c>
      <c r="D1342" s="1916" t="s">
        <v>2</v>
      </c>
      <c r="E1342" s="1916">
        <f>+F47</f>
        <v>7063.5</v>
      </c>
      <c r="F1342" s="3430">
        <f>ROUND(C1342*E1342,2)</f>
        <v>7416.68</v>
      </c>
    </row>
    <row r="1343" spans="1:6" s="3140" customFormat="1">
      <c r="A1343" s="1916"/>
      <c r="B1343" s="1916" t="s">
        <v>272</v>
      </c>
      <c r="C1343" s="1916">
        <v>3.98</v>
      </c>
      <c r="D1343" s="1916" t="s">
        <v>126</v>
      </c>
      <c r="E1343" s="1916">
        <f>+F62</f>
        <v>2913</v>
      </c>
      <c r="F1343" s="3431">
        <f>ROUND(C1343*E1343,2)</f>
        <v>11593.74</v>
      </c>
    </row>
    <row r="1344" spans="1:6" s="3140" customFormat="1">
      <c r="A1344" s="1916"/>
      <c r="B1344" s="1916" t="s">
        <v>1089</v>
      </c>
      <c r="C1344" s="1916">
        <v>16</v>
      </c>
      <c r="D1344" s="1916" t="s">
        <v>1</v>
      </c>
      <c r="E1344" s="1916">
        <v>250</v>
      </c>
      <c r="F1344" s="3431">
        <f>ROUND(C1344*E1344,2)</f>
        <v>4000</v>
      </c>
    </row>
    <row r="1345" spans="1:6" s="3140" customFormat="1">
      <c r="A1345" s="1916"/>
      <c r="B1345" s="1916"/>
      <c r="C1345" s="1916"/>
      <c r="D1345" s="1916"/>
      <c r="E1345" s="1916"/>
      <c r="F1345" s="1916">
        <f>SUM(F1342:F1344)</f>
        <v>23010.42</v>
      </c>
    </row>
    <row r="1346" spans="1:6" s="3140" customFormat="1">
      <c r="A1346" s="1916"/>
      <c r="B1346" s="1916" t="s">
        <v>1147</v>
      </c>
      <c r="C1346" s="1916">
        <f>0.25*0.25*3.85</f>
        <v>0.24062500000000001</v>
      </c>
      <c r="D1346" s="1916" t="s">
        <v>2</v>
      </c>
      <c r="E1346" s="1916"/>
      <c r="F1346" s="1916"/>
    </row>
    <row r="1347" spans="1:6" s="3140" customFormat="1">
      <c r="A1347" s="1916"/>
      <c r="B1347" s="1916" t="s">
        <v>1148</v>
      </c>
      <c r="C1347" s="1916">
        <f>F1345*C1346</f>
        <v>5536.8823124999999</v>
      </c>
      <c r="D1347" s="1916" t="s">
        <v>1149</v>
      </c>
      <c r="E1347" s="1916"/>
      <c r="F1347" s="1916"/>
    </row>
    <row r="1348" spans="1:6" s="3140" customFormat="1" ht="13.5" thickBot="1">
      <c r="A1348" s="1916"/>
      <c r="B1348" s="1916" t="s">
        <v>1150</v>
      </c>
      <c r="C1348" s="1916"/>
      <c r="D1348" s="1916"/>
      <c r="E1348" s="1916"/>
      <c r="F1348" s="1916"/>
    </row>
    <row r="1349" spans="1:6" s="3140" customFormat="1" ht="13.5" thickTop="1">
      <c r="A1349" s="1916"/>
      <c r="B1349" s="1916" t="s">
        <v>2093</v>
      </c>
      <c r="C1349" s="1916">
        <v>1.05</v>
      </c>
      <c r="D1349" s="1916" t="s">
        <v>2</v>
      </c>
      <c r="E1349" s="1916">
        <f>+F47</f>
        <v>7063.5</v>
      </c>
      <c r="F1349" s="3430">
        <f>ROUND(C1349*E1349,2)</f>
        <v>7416.68</v>
      </c>
    </row>
    <row r="1350" spans="1:6" s="3140" customFormat="1">
      <c r="A1350" s="1916"/>
      <c r="B1350" s="1916" t="s">
        <v>272</v>
      </c>
      <c r="C1350" s="1916">
        <v>1.43</v>
      </c>
      <c r="D1350" s="1916" t="s">
        <v>126</v>
      </c>
      <c r="E1350" s="1916">
        <f>+F62</f>
        <v>2913</v>
      </c>
      <c r="F1350" s="3431">
        <f>ROUND(C1350*E1350,2)</f>
        <v>4165.59</v>
      </c>
    </row>
    <row r="1351" spans="1:6" s="3140" customFormat="1">
      <c r="A1351" s="1916"/>
      <c r="B1351" s="1916"/>
      <c r="C1351" s="1916"/>
      <c r="D1351" s="1916"/>
      <c r="E1351" s="1916"/>
      <c r="F1351" s="1916">
        <f>SUM(F1349:F1350)</f>
        <v>11582.27</v>
      </c>
    </row>
    <row r="1352" spans="1:6" s="3140" customFormat="1">
      <c r="A1352" s="1916"/>
      <c r="B1352" s="1916" t="s">
        <v>1151</v>
      </c>
      <c r="C1352" s="1916">
        <f>0.75*0.75*0.25</f>
        <v>0.140625</v>
      </c>
      <c r="D1352" s="1916" t="s">
        <v>2</v>
      </c>
      <c r="E1352" s="1916"/>
      <c r="F1352" s="1916"/>
    </row>
    <row r="1353" spans="1:6" s="3140" customFormat="1">
      <c r="A1353" s="1916"/>
      <c r="B1353" s="1916" t="s">
        <v>1148</v>
      </c>
      <c r="C1353" s="1916">
        <f>F1351*C1352</f>
        <v>1628.7567187499999</v>
      </c>
      <c r="D1353" s="1916" t="s">
        <v>1149</v>
      </c>
      <c r="E1353" s="1916"/>
      <c r="F1353" s="1916"/>
    </row>
    <row r="1354" spans="1:6" s="3140" customFormat="1">
      <c r="A1354" s="1916"/>
      <c r="B1354" s="1916" t="s">
        <v>1152</v>
      </c>
      <c r="C1354" s="1916">
        <v>1</v>
      </c>
      <c r="D1354" s="1916" t="s">
        <v>3</v>
      </c>
      <c r="E1354" s="1916">
        <f>C1353+C1347</f>
        <v>7165.6390312499998</v>
      </c>
      <c r="F1354" s="1916">
        <f>ROUND(C1354*E1354,2)</f>
        <v>7165.64</v>
      </c>
    </row>
    <row r="1355" spans="1:6" s="3140" customFormat="1">
      <c r="A1355" s="1916"/>
      <c r="B1355" s="1916" t="s">
        <v>1153</v>
      </c>
      <c r="C1355" s="1916">
        <v>2.86</v>
      </c>
      <c r="D1355" s="1916" t="s">
        <v>11</v>
      </c>
      <c r="E1355" s="1916">
        <f>+E1336</f>
        <v>225</v>
      </c>
      <c r="F1355" s="1916">
        <f>ROUND(C1355*E1355,2)</f>
        <v>643.5</v>
      </c>
    </row>
    <row r="1356" spans="1:6" s="3140" customFormat="1">
      <c r="A1356" s="1916"/>
      <c r="B1356" s="1916" t="s">
        <v>177</v>
      </c>
      <c r="C1356" s="1916">
        <v>12.2</v>
      </c>
      <c r="D1356" s="1916" t="s">
        <v>1</v>
      </c>
      <c r="E1356" s="1916">
        <v>70.16</v>
      </c>
      <c r="F1356" s="1916">
        <f>ROUND(C1356*E1356,2)</f>
        <v>855.95</v>
      </c>
    </row>
    <row r="1357" spans="1:6" s="3140" customFormat="1">
      <c r="A1357" s="1916"/>
      <c r="B1357" s="1916" t="s">
        <v>536</v>
      </c>
      <c r="C1357" s="1916">
        <f>+C1355</f>
        <v>2.86</v>
      </c>
      <c r="D1357" s="1916" t="s">
        <v>11</v>
      </c>
      <c r="E1357" s="1916">
        <v>126.86</v>
      </c>
      <c r="F1357" s="1916">
        <f>ROUND(C1357*E1357,2)</f>
        <v>362.82</v>
      </c>
    </row>
    <row r="1358" spans="1:6" s="3140" customFormat="1">
      <c r="A1358" s="1916"/>
      <c r="B1358" s="1916" t="s">
        <v>1154</v>
      </c>
      <c r="C1358" s="4896" t="s">
        <v>1144</v>
      </c>
      <c r="D1358" s="4896"/>
      <c r="E1358" s="4896"/>
      <c r="F1358" s="1916">
        <f>SUM(F1354:F1357)</f>
        <v>9027.91</v>
      </c>
    </row>
    <row r="1359" spans="1:6" s="3140" customFormat="1">
      <c r="A1359" s="1916"/>
      <c r="B1359" s="1916"/>
      <c r="C1359" s="1916"/>
      <c r="D1359" s="1916"/>
      <c r="E1359" s="1916"/>
      <c r="F1359" s="1916">
        <f>+F1358*1.05</f>
        <v>9479.3055000000004</v>
      </c>
    </row>
    <row r="1360" spans="1:6" s="3140" customFormat="1" ht="13.5" thickBot="1">
      <c r="A1360" s="1916"/>
      <c r="B1360" s="1916" t="s">
        <v>2094</v>
      </c>
      <c r="C1360" s="1916"/>
      <c r="D1360" s="1916"/>
      <c r="E1360" s="1916"/>
      <c r="F1360" s="1916"/>
    </row>
    <row r="1361" spans="1:6" s="3140" customFormat="1" ht="13.5" thickTop="1">
      <c r="A1361" s="1916"/>
      <c r="B1361" s="1916" t="s">
        <v>2093</v>
      </c>
      <c r="C1361" s="1916">
        <v>1.05</v>
      </c>
      <c r="D1361" s="1916" t="s">
        <v>2</v>
      </c>
      <c r="E1361" s="1916">
        <f>+F47</f>
        <v>7063.5</v>
      </c>
      <c r="F1361" s="3430">
        <f>ROUND(C1361*E1361,2)</f>
        <v>7416.68</v>
      </c>
    </row>
    <row r="1362" spans="1:6" s="3140" customFormat="1">
      <c r="A1362" s="1916"/>
      <c r="B1362" s="1916" t="s">
        <v>272</v>
      </c>
      <c r="C1362" s="1916">
        <v>2.98</v>
      </c>
      <c r="D1362" s="1916" t="s">
        <v>126</v>
      </c>
      <c r="E1362" s="1916">
        <f>+F62</f>
        <v>2913</v>
      </c>
      <c r="F1362" s="3431">
        <f>ROUND(C1362*E1362,2)</f>
        <v>8680.74</v>
      </c>
    </row>
    <row r="1363" spans="1:6" s="3140" customFormat="1">
      <c r="A1363" s="1916"/>
      <c r="B1363" s="1916" t="s">
        <v>1089</v>
      </c>
      <c r="C1363" s="1916">
        <v>25</v>
      </c>
      <c r="D1363" s="1916" t="s">
        <v>1</v>
      </c>
      <c r="E1363" s="1916">
        <v>250</v>
      </c>
      <c r="F1363" s="3431">
        <f>ROUND(C1363*E1363,2)</f>
        <v>6250</v>
      </c>
    </row>
    <row r="1364" spans="1:6" s="3140" customFormat="1">
      <c r="A1364" s="1916"/>
      <c r="B1364" s="1916"/>
      <c r="C1364" s="1916"/>
      <c r="D1364" s="1916"/>
      <c r="E1364" s="1916"/>
      <c r="F1364" s="1916">
        <f>SUM(F1361:F1363)</f>
        <v>22347.42</v>
      </c>
    </row>
    <row r="1365" spans="1:6" s="3140" customFormat="1">
      <c r="A1365" s="1916"/>
      <c r="B1365" s="1916"/>
      <c r="C1365" s="1916"/>
      <c r="D1365" s="1916"/>
      <c r="E1365" s="1916"/>
      <c r="F1365" s="1916"/>
    </row>
    <row r="1366" spans="1:6" s="3140" customFormat="1" ht="12.95" customHeight="1">
      <c r="A1366" s="1579"/>
      <c r="B1366" s="1916"/>
      <c r="C1366" s="1916"/>
      <c r="D1366" s="1916"/>
      <c r="E1366" s="1916"/>
      <c r="F1366" s="1916"/>
    </row>
    <row r="1367" spans="1:6" s="3140" customFormat="1" ht="12.95" customHeight="1">
      <c r="A1367" s="1916"/>
      <c r="B1367" s="1916"/>
      <c r="C1367" s="1916"/>
      <c r="D1367" s="1916"/>
      <c r="E1367" s="1916"/>
      <c r="F1367" s="1916"/>
    </row>
    <row r="1368" spans="1:6" s="3140" customFormat="1" ht="12.95" customHeight="1">
      <c r="A1368" s="1916"/>
      <c r="B1368" s="1916" t="s">
        <v>2095</v>
      </c>
      <c r="C1368" s="1916"/>
      <c r="D1368" s="1916"/>
      <c r="E1368" s="1916"/>
      <c r="F1368" s="1916"/>
    </row>
    <row r="1369" spans="1:6" s="3140" customFormat="1" ht="12.95" customHeight="1">
      <c r="A1369" s="1916"/>
      <c r="B1369" s="1916" t="s">
        <v>2096</v>
      </c>
      <c r="C1369" s="1916">
        <v>18</v>
      </c>
      <c r="D1369" s="1916" t="s">
        <v>1</v>
      </c>
      <c r="E1369" s="1916">
        <v>307.38</v>
      </c>
      <c r="F1369" s="1916">
        <f>ROUND(C1369*E1369,2)</f>
        <v>5532.84</v>
      </c>
    </row>
    <row r="1370" spans="1:6" s="3140" customFormat="1" ht="12.95" customHeight="1">
      <c r="A1370" s="1916"/>
      <c r="B1370" s="1916" t="s">
        <v>2097</v>
      </c>
      <c r="C1370" s="1916">
        <v>2</v>
      </c>
      <c r="D1370" s="1916" t="s">
        <v>3</v>
      </c>
      <c r="E1370" s="1916">
        <v>75</v>
      </c>
      <c r="F1370" s="1916">
        <f t="shared" ref="F1370:F1376" si="24">ROUND(C1370*E1370,2)</f>
        <v>150</v>
      </c>
    </row>
    <row r="1371" spans="1:6" s="3140" customFormat="1" ht="12.95" customHeight="1">
      <c r="A1371" s="1916"/>
      <c r="B1371" s="1916" t="s">
        <v>2098</v>
      </c>
      <c r="C1371" s="1916">
        <v>5</v>
      </c>
      <c r="D1371" s="1916" t="s">
        <v>3</v>
      </c>
      <c r="E1371" s="1916">
        <v>118.81</v>
      </c>
      <c r="F1371" s="1916">
        <f t="shared" si="24"/>
        <v>594.04999999999995</v>
      </c>
    </row>
    <row r="1372" spans="1:6" s="3140" customFormat="1" ht="12.95" customHeight="1">
      <c r="A1372" s="1916"/>
      <c r="B1372" s="1916" t="s">
        <v>2099</v>
      </c>
      <c r="C1372" s="1916">
        <v>7</v>
      </c>
      <c r="D1372" s="1916" t="s">
        <v>3</v>
      </c>
      <c r="E1372" s="1916">
        <v>110</v>
      </c>
      <c r="F1372" s="1916">
        <f t="shared" si="24"/>
        <v>770</v>
      </c>
    </row>
    <row r="1373" spans="1:6" s="3140" customFormat="1" ht="12.95" customHeight="1">
      <c r="A1373" s="1916"/>
      <c r="B1373" s="1916" t="s">
        <v>2100</v>
      </c>
      <c r="C1373" s="1916">
        <v>7</v>
      </c>
      <c r="D1373" s="1916" t="s">
        <v>3</v>
      </c>
      <c r="E1373" s="1916">
        <v>300</v>
      </c>
      <c r="F1373" s="1916">
        <f t="shared" si="24"/>
        <v>2100</v>
      </c>
    </row>
    <row r="1374" spans="1:6" s="3140" customFormat="1" ht="12.95" customHeight="1">
      <c r="A1374" s="1916"/>
      <c r="B1374" s="1916" t="s">
        <v>2101</v>
      </c>
      <c r="C1374" s="1916">
        <v>2.15</v>
      </c>
      <c r="D1374" s="1916" t="s">
        <v>11</v>
      </c>
      <c r="E1374" s="1916">
        <v>110.95</v>
      </c>
      <c r="F1374" s="1916">
        <f t="shared" si="24"/>
        <v>238.54</v>
      </c>
    </row>
    <row r="1375" spans="1:6" s="3140" customFormat="1">
      <c r="A1375" s="1916"/>
      <c r="B1375" s="1916" t="s">
        <v>2102</v>
      </c>
      <c r="C1375" s="1916">
        <v>2.15</v>
      </c>
      <c r="D1375" s="1916" t="s">
        <v>11</v>
      </c>
      <c r="E1375" s="1916">
        <v>130.5</v>
      </c>
      <c r="F1375" s="1916">
        <f t="shared" si="24"/>
        <v>280.58</v>
      </c>
    </row>
    <row r="1376" spans="1:6" s="3140" customFormat="1" ht="12.95" customHeight="1">
      <c r="A1376" s="1916"/>
      <c r="B1376" s="1916" t="s">
        <v>2103</v>
      </c>
      <c r="C1376" s="1916">
        <v>1</v>
      </c>
      <c r="D1376" s="1916" t="s">
        <v>3</v>
      </c>
      <c r="E1376" s="1916">
        <v>5320</v>
      </c>
      <c r="F1376" s="1916">
        <f t="shared" si="24"/>
        <v>5320</v>
      </c>
    </row>
    <row r="1377" spans="1:31" s="3140" customFormat="1" ht="12.95" customHeight="1">
      <c r="A1377" s="1916"/>
      <c r="B1377" s="1916"/>
      <c r="C1377" s="1916"/>
      <c r="D1377" s="1916"/>
      <c r="E1377" s="1916" t="s">
        <v>2104</v>
      </c>
      <c r="F1377" s="1916">
        <f>SUM(F1369:F1376)</f>
        <v>14986.01</v>
      </c>
    </row>
    <row r="1378" spans="1:31" s="3140" customFormat="1" ht="12.95" customHeight="1">
      <c r="A1378" s="1916"/>
      <c r="B1378" s="1916"/>
      <c r="C1378" s="1916"/>
      <c r="D1378" s="1916"/>
      <c r="E1378" s="1916" t="s">
        <v>2105</v>
      </c>
      <c r="F1378" s="1916">
        <f>F1377/6</f>
        <v>2497.6683333333299</v>
      </c>
    </row>
    <row r="1380" spans="1:31">
      <c r="B1380" s="1083" t="s">
        <v>2107</v>
      </c>
    </row>
    <row r="1382" spans="1:31">
      <c r="B1382" s="1161" t="s">
        <v>270</v>
      </c>
      <c r="C1382" s="1623"/>
      <c r="D1382" s="1159"/>
      <c r="E1382" s="1160"/>
      <c r="F1382" s="1160"/>
      <c r="I1382" s="1083"/>
      <c r="J1382" s="1083"/>
      <c r="K1382" s="1083"/>
      <c r="L1382" s="1083"/>
      <c r="M1382" s="1083"/>
      <c r="N1382" s="1083"/>
      <c r="O1382" s="1083"/>
      <c r="P1382" s="1083"/>
      <c r="Q1382" s="1083"/>
      <c r="R1382" s="1083"/>
      <c r="S1382" s="1083"/>
      <c r="T1382" s="1083"/>
      <c r="U1382" s="1083"/>
      <c r="V1382" s="1083"/>
      <c r="W1382" s="1083"/>
      <c r="X1382" s="1083"/>
      <c r="Y1382" s="1083"/>
      <c r="Z1382" s="1083"/>
      <c r="AA1382" s="1083"/>
      <c r="AB1382" s="1083"/>
      <c r="AC1382" s="1083"/>
      <c r="AD1382" s="1083"/>
      <c r="AE1382" s="1083"/>
    </row>
    <row r="1383" spans="1:31" ht="13.5" thickBot="1">
      <c r="B1383" s="1161"/>
      <c r="C1383" s="1623"/>
      <c r="D1383" s="1159"/>
      <c r="E1383" s="1160"/>
      <c r="F1383" s="1160"/>
      <c r="I1383" s="1083"/>
      <c r="J1383" s="1083"/>
      <c r="K1383" s="1083"/>
      <c r="L1383" s="1083"/>
      <c r="M1383" s="1083"/>
      <c r="N1383" s="1083"/>
      <c r="O1383" s="1083"/>
      <c r="P1383" s="1083"/>
      <c r="Q1383" s="1083"/>
      <c r="R1383" s="1083"/>
      <c r="S1383" s="1083"/>
      <c r="T1383" s="1083"/>
      <c r="U1383" s="1083"/>
      <c r="V1383" s="1083"/>
      <c r="W1383" s="1083"/>
      <c r="X1383" s="1083"/>
      <c r="Y1383" s="1083"/>
      <c r="Z1383" s="1083"/>
      <c r="AA1383" s="1083"/>
      <c r="AB1383" s="1083"/>
      <c r="AC1383" s="1083"/>
      <c r="AD1383" s="1083"/>
      <c r="AE1383" s="1083"/>
    </row>
    <row r="1384" spans="1:31" ht="13.5" thickTop="1">
      <c r="B1384" s="1162" t="s">
        <v>271</v>
      </c>
      <c r="C1384" s="1629">
        <v>1.05</v>
      </c>
      <c r="D1384" s="1163" t="s">
        <v>2</v>
      </c>
      <c r="E1384" s="1164">
        <f>+F303</f>
        <v>7531.68</v>
      </c>
      <c r="F1384" s="1165">
        <f>C1384*E1384</f>
        <v>7908.26</v>
      </c>
      <c r="I1384" s="1083"/>
      <c r="J1384" s="1083"/>
      <c r="K1384" s="1083"/>
      <c r="L1384" s="1083"/>
      <c r="M1384" s="1083"/>
      <c r="N1384" s="1083"/>
      <c r="O1384" s="1083"/>
      <c r="P1384" s="1083"/>
      <c r="Q1384" s="1083"/>
      <c r="R1384" s="1083"/>
      <c r="S1384" s="1083"/>
      <c r="T1384" s="1083"/>
      <c r="U1384" s="1083"/>
      <c r="V1384" s="1083"/>
      <c r="W1384" s="1083"/>
      <c r="X1384" s="1083"/>
      <c r="Y1384" s="1083"/>
      <c r="Z1384" s="1083"/>
      <c r="AA1384" s="1083"/>
      <c r="AB1384" s="1083"/>
      <c r="AC1384" s="1083"/>
      <c r="AD1384" s="1083"/>
      <c r="AE1384" s="1083"/>
    </row>
    <row r="1385" spans="1:31">
      <c r="B1385" s="3387" t="s">
        <v>272</v>
      </c>
      <c r="C1385" s="3388">
        <v>4.2</v>
      </c>
      <c r="D1385" s="3389" t="s">
        <v>126</v>
      </c>
      <c r="E1385" s="3254">
        <f>+F62</f>
        <v>2913</v>
      </c>
      <c r="F1385" s="3390">
        <f>C1385*E1385</f>
        <v>12234.6</v>
      </c>
      <c r="I1385" s="1083"/>
      <c r="J1385" s="1083"/>
      <c r="K1385" s="1083"/>
      <c r="L1385" s="1083"/>
      <c r="M1385" s="1083"/>
      <c r="N1385" s="1083"/>
      <c r="O1385" s="1083"/>
      <c r="P1385" s="1083"/>
      <c r="Q1385" s="1083"/>
      <c r="R1385" s="1083"/>
      <c r="S1385" s="1083"/>
      <c r="T1385" s="1083"/>
      <c r="U1385" s="1083"/>
      <c r="V1385" s="1083"/>
      <c r="W1385" s="1083"/>
      <c r="X1385" s="1083"/>
      <c r="Y1385" s="1083"/>
      <c r="Z1385" s="1083"/>
      <c r="AA1385" s="1083"/>
      <c r="AB1385" s="1083"/>
      <c r="AC1385" s="1083"/>
      <c r="AD1385" s="1083"/>
      <c r="AE1385" s="1083"/>
    </row>
    <row r="1386" spans="1:31">
      <c r="B1386" s="1916" t="s">
        <v>1089</v>
      </c>
      <c r="C1386" s="1916">
        <f>1/(0.25*0.25)</f>
        <v>16</v>
      </c>
      <c r="D1386" s="1916" t="s">
        <v>1</v>
      </c>
      <c r="E1386" s="1916">
        <v>250</v>
      </c>
      <c r="F1386" s="3431">
        <f>ROUND(C1386*E1386,2)</f>
        <v>4000</v>
      </c>
      <c r="I1386" s="1083"/>
      <c r="J1386" s="1083"/>
      <c r="K1386" s="1083"/>
      <c r="L1386" s="1083"/>
      <c r="M1386" s="1083"/>
      <c r="N1386" s="1083"/>
      <c r="O1386" s="1083"/>
      <c r="P1386" s="1083"/>
      <c r="Q1386" s="1083"/>
      <c r="R1386" s="1083"/>
      <c r="S1386" s="1083"/>
      <c r="T1386" s="1083"/>
      <c r="U1386" s="1083"/>
      <c r="V1386" s="1083"/>
      <c r="W1386" s="1083"/>
      <c r="X1386" s="1083"/>
      <c r="Y1386" s="1083"/>
      <c r="Z1386" s="1083"/>
      <c r="AA1386" s="1083"/>
      <c r="AB1386" s="1083"/>
      <c r="AC1386" s="1083"/>
      <c r="AD1386" s="1083"/>
      <c r="AE1386" s="1083"/>
    </row>
    <row r="1387" spans="1:31" ht="13.5" thickBot="1">
      <c r="B1387" s="3391"/>
      <c r="C1387" s="3392"/>
      <c r="D1387" s="3393"/>
      <c r="E1387" s="3394" t="s">
        <v>274</v>
      </c>
      <c r="F1387" s="3395">
        <f>SUM(F1384:F1385)</f>
        <v>20142.86</v>
      </c>
    </row>
    <row r="1388" spans="1:31" ht="14.25" thickTop="1" thickBot="1">
      <c r="B1388" s="1166"/>
      <c r="C1388" s="1622">
        <v>1.64</v>
      </c>
      <c r="D1388" s="1166"/>
      <c r="E1388" s="1167" t="s">
        <v>1194</v>
      </c>
      <c r="F1388" s="1168">
        <f>+C1388*F1387</f>
        <v>33034.29</v>
      </c>
    </row>
    <row r="1389" spans="1:31" ht="14.25" thickTop="1" thickBot="1"/>
    <row r="1390" spans="1:31" ht="13.5" thickTop="1">
      <c r="B1390" s="1162" t="s">
        <v>271</v>
      </c>
      <c r="C1390" s="1629">
        <v>1.05</v>
      </c>
      <c r="D1390" s="1163" t="s">
        <v>2</v>
      </c>
      <c r="E1390" s="1164">
        <f>+F303</f>
        <v>7531.68</v>
      </c>
      <c r="F1390" s="1165">
        <f>C1390*E1390</f>
        <v>7908.26</v>
      </c>
      <c r="I1390" s="1083"/>
      <c r="J1390" s="1083"/>
      <c r="K1390" s="1083"/>
      <c r="L1390" s="1083"/>
      <c r="M1390" s="1083"/>
      <c r="N1390" s="1083"/>
      <c r="O1390" s="1083"/>
      <c r="P1390" s="1083"/>
      <c r="Q1390" s="1083"/>
      <c r="R1390" s="1083"/>
      <c r="S1390" s="1083"/>
      <c r="T1390" s="1083"/>
      <c r="U1390" s="1083"/>
      <c r="V1390" s="1083"/>
      <c r="W1390" s="1083"/>
      <c r="X1390" s="1083"/>
      <c r="Y1390" s="1083"/>
      <c r="Z1390" s="1083"/>
      <c r="AA1390" s="1083"/>
      <c r="AB1390" s="1083"/>
      <c r="AC1390" s="1083"/>
      <c r="AD1390" s="1083"/>
      <c r="AE1390" s="1083"/>
    </row>
    <row r="1391" spans="1:31">
      <c r="B1391" s="3387" t="s">
        <v>272</v>
      </c>
      <c r="C1391" s="3388">
        <v>3.98</v>
      </c>
      <c r="D1391" s="3389" t="s">
        <v>126</v>
      </c>
      <c r="E1391" s="3254">
        <f>+F62</f>
        <v>2913</v>
      </c>
      <c r="F1391" s="3390">
        <f>C1391*E1391</f>
        <v>11593.74</v>
      </c>
      <c r="I1391" s="1083"/>
      <c r="J1391" s="1083"/>
      <c r="K1391" s="1083"/>
      <c r="L1391" s="1083"/>
      <c r="M1391" s="1083"/>
      <c r="N1391" s="1083"/>
      <c r="O1391" s="1083"/>
      <c r="P1391" s="1083"/>
      <c r="Q1391" s="1083"/>
      <c r="R1391" s="1083"/>
      <c r="S1391" s="1083"/>
      <c r="T1391" s="1083"/>
      <c r="U1391" s="1083"/>
      <c r="V1391" s="1083"/>
      <c r="W1391" s="1083"/>
      <c r="X1391" s="1083"/>
      <c r="Y1391" s="1083"/>
      <c r="Z1391" s="1083"/>
      <c r="AA1391" s="1083"/>
      <c r="AB1391" s="1083"/>
      <c r="AC1391" s="1083"/>
      <c r="AD1391" s="1083"/>
      <c r="AE1391" s="1083"/>
    </row>
    <row r="1392" spans="1:31">
      <c r="B1392" s="1916" t="s">
        <v>1089</v>
      </c>
      <c r="C1392" s="1916">
        <f>1/(0.25*0.25)</f>
        <v>16</v>
      </c>
      <c r="D1392" s="1916" t="s">
        <v>1</v>
      </c>
      <c r="E1392" s="1916">
        <v>250</v>
      </c>
      <c r="F1392" s="3431">
        <f>ROUND(C1392*E1392,2)</f>
        <v>4000</v>
      </c>
      <c r="I1392" s="1083"/>
      <c r="J1392" s="1083"/>
      <c r="K1392" s="1083"/>
      <c r="L1392" s="1083"/>
      <c r="M1392" s="1083"/>
      <c r="N1392" s="1083"/>
      <c r="O1392" s="1083"/>
      <c r="P1392" s="1083"/>
      <c r="Q1392" s="1083"/>
      <c r="R1392" s="1083"/>
      <c r="S1392" s="1083"/>
      <c r="T1392" s="1083"/>
      <c r="U1392" s="1083"/>
      <c r="V1392" s="1083"/>
      <c r="W1392" s="1083"/>
      <c r="X1392" s="1083"/>
      <c r="Y1392" s="1083"/>
      <c r="Z1392" s="1083"/>
      <c r="AA1392" s="1083"/>
      <c r="AB1392" s="1083"/>
      <c r="AC1392" s="1083"/>
      <c r="AD1392" s="1083"/>
      <c r="AE1392" s="1083"/>
    </row>
    <row r="1393" spans="2:31" ht="13.5" thickBot="1">
      <c r="B1393" s="3391"/>
      <c r="C1393" s="3392"/>
      <c r="D1393" s="3393"/>
      <c r="E1393" s="3394" t="s">
        <v>274</v>
      </c>
      <c r="F1393" s="3395">
        <f>SUM(F1390:F1391)</f>
        <v>19502</v>
      </c>
    </row>
    <row r="1394" spans="2:31" ht="14.25" thickTop="1" thickBot="1">
      <c r="B1394" s="1166"/>
      <c r="C1394" s="1622">
        <v>0.2</v>
      </c>
      <c r="D1394" s="1166"/>
      <c r="E1394" s="1167" t="s">
        <v>1194</v>
      </c>
      <c r="F1394" s="1168">
        <f>+C1394*F1393</f>
        <v>3900.4</v>
      </c>
    </row>
    <row r="1395" spans="2:31" ht="14.25" thickTop="1" thickBot="1"/>
    <row r="1396" spans="2:31" ht="13.5" thickTop="1">
      <c r="B1396" s="1162" t="s">
        <v>271</v>
      </c>
      <c r="C1396" s="1629">
        <v>1.05</v>
      </c>
      <c r="D1396" s="1163" t="s">
        <v>2</v>
      </c>
      <c r="E1396" s="1164">
        <f>+F303</f>
        <v>7531.68</v>
      </c>
      <c r="F1396" s="1165">
        <f>C1396*E1396</f>
        <v>7908.26</v>
      </c>
      <c r="I1396" s="1083"/>
      <c r="J1396" s="1083"/>
      <c r="K1396" s="1083"/>
      <c r="L1396" s="1083"/>
      <c r="M1396" s="1083"/>
      <c r="N1396" s="1083"/>
      <c r="O1396" s="1083"/>
      <c r="P1396" s="1083"/>
      <c r="Q1396" s="1083"/>
      <c r="R1396" s="1083"/>
      <c r="S1396" s="1083"/>
      <c r="T1396" s="1083"/>
      <c r="U1396" s="1083"/>
      <c r="V1396" s="1083"/>
      <c r="W1396" s="1083"/>
      <c r="X1396" s="1083"/>
      <c r="Y1396" s="1083"/>
      <c r="Z1396" s="1083"/>
      <c r="AA1396" s="1083"/>
      <c r="AB1396" s="1083"/>
      <c r="AC1396" s="1083"/>
      <c r="AD1396" s="1083"/>
      <c r="AE1396" s="1083"/>
    </row>
    <row r="1397" spans="2:31">
      <c r="B1397" s="3387" t="s">
        <v>272</v>
      </c>
      <c r="C1397" s="3388">
        <v>0.7</v>
      </c>
      <c r="D1397" s="3389" t="s">
        <v>126</v>
      </c>
      <c r="E1397" s="3254">
        <f>+F62</f>
        <v>2913</v>
      </c>
      <c r="F1397" s="3390">
        <f>C1397*E1397</f>
        <v>2039.1</v>
      </c>
      <c r="I1397" s="1083"/>
      <c r="J1397" s="1083"/>
      <c r="K1397" s="1083"/>
      <c r="L1397" s="1083"/>
      <c r="M1397" s="1083"/>
      <c r="N1397" s="1083"/>
      <c r="O1397" s="1083"/>
      <c r="P1397" s="1083"/>
      <c r="Q1397" s="1083"/>
      <c r="R1397" s="1083"/>
      <c r="S1397" s="1083"/>
      <c r="T1397" s="1083"/>
      <c r="U1397" s="1083"/>
      <c r="V1397" s="1083"/>
      <c r="W1397" s="1083"/>
      <c r="X1397" s="1083"/>
      <c r="Y1397" s="1083"/>
      <c r="Z1397" s="1083"/>
      <c r="AA1397" s="1083"/>
      <c r="AB1397" s="1083"/>
      <c r="AC1397" s="1083"/>
      <c r="AD1397" s="1083"/>
      <c r="AE1397" s="1083"/>
    </row>
    <row r="1398" spans="2:31" ht="13.5" thickBot="1">
      <c r="B1398" s="3391"/>
      <c r="C1398" s="3392"/>
      <c r="D1398" s="3393"/>
      <c r="E1398" s="3394" t="s">
        <v>274</v>
      </c>
      <c r="F1398" s="3395">
        <f>SUM(F1396:F1397)</f>
        <v>9947.36</v>
      </c>
    </row>
    <row r="1399" spans="2:31" ht="13.5" thickTop="1"/>
  </sheetData>
  <customSheetViews>
    <customSheetView guid="{43BC9397-3E8C-478C-B548-E4A845A7F82B}" hiddenRows="1">
      <rowBreaks count="1" manualBreakCount="1">
        <brk id="788" max="6" man="1"/>
      </rowBreaks>
      <pageMargins left="0.7" right="0.7" top="0.75" bottom="0.75" header="0.3" footer="0.3"/>
      <pageSetup orientation="portrait" r:id="rId1"/>
    </customSheetView>
  </customSheetViews>
  <mergeCells count="17">
    <mergeCell ref="B1262:F1262"/>
    <mergeCell ref="C1277:E1277"/>
    <mergeCell ref="C1287:G1287"/>
    <mergeCell ref="D1324:F1324"/>
    <mergeCell ref="C1358:E1358"/>
    <mergeCell ref="B1246:F1246"/>
    <mergeCell ref="B2:F2"/>
    <mergeCell ref="B716:F716"/>
    <mergeCell ref="D840:E840"/>
    <mergeCell ref="D846:E846"/>
    <mergeCell ref="D852:E852"/>
    <mergeCell ref="D858:E858"/>
    <mergeCell ref="D864:E864"/>
    <mergeCell ref="B1214:F1214"/>
    <mergeCell ref="C1228:E1228"/>
    <mergeCell ref="B1230:F1230"/>
    <mergeCell ref="C1244:E1244"/>
  </mergeCells>
  <pageMargins left="0.7" right="0.7" top="0.75" bottom="0.75" header="0.3" footer="0.3"/>
  <pageSetup orientation="portrait" r:id="rId2"/>
  <rowBreaks count="1" manualBreakCount="1">
    <brk id="788" max="6"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3:H153"/>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8" style="1916" customWidth="1"/>
    <col min="9" max="16384" width="11.42578125" style="1916"/>
  </cols>
  <sheetData>
    <row r="3" spans="1:8" ht="25.5">
      <c r="A3" s="3211">
        <v>1</v>
      </c>
      <c r="B3" s="1919" t="s">
        <v>1582</v>
      </c>
      <c r="C3" s="1920"/>
      <c r="D3" s="1920"/>
      <c r="E3" s="1920"/>
      <c r="F3" s="1920"/>
      <c r="G3" s="1920"/>
      <c r="H3" s="1921"/>
    </row>
    <row r="4" spans="1:8">
      <c r="A4" s="1920"/>
      <c r="B4" s="1920"/>
      <c r="C4" s="1920"/>
      <c r="D4" s="1920"/>
      <c r="E4" s="1920"/>
      <c r="F4" s="1920"/>
      <c r="G4" s="1920"/>
      <c r="H4" s="1920"/>
    </row>
    <row r="5" spans="1:8" ht="26.25" thickBot="1">
      <c r="A5" s="3212">
        <v>1.3</v>
      </c>
      <c r="B5" s="3213" t="s">
        <v>2449</v>
      </c>
      <c r="C5" s="3214"/>
      <c r="D5" s="3214"/>
      <c r="E5" s="3214"/>
      <c r="F5" s="3214"/>
      <c r="G5" s="3214"/>
      <c r="H5" s="3214"/>
    </row>
    <row r="6" spans="1:8" ht="13.5" thickTop="1">
      <c r="A6" s="1925">
        <v>1</v>
      </c>
      <c r="B6" s="3215" t="s">
        <v>2450</v>
      </c>
      <c r="C6" s="1955">
        <v>1</v>
      </c>
      <c r="D6" s="1955">
        <v>1</v>
      </c>
      <c r="E6" s="1956" t="s">
        <v>1</v>
      </c>
      <c r="F6" s="1957">
        <f>PRODUCT(C6:D6)</f>
        <v>1</v>
      </c>
      <c r="G6" s="1955">
        <v>212.61</v>
      </c>
      <c r="H6" s="1958">
        <f>ROUND(F6*G6,2)</f>
        <v>212.61</v>
      </c>
    </row>
    <row r="7" spans="1:8" ht="13.5" thickBot="1">
      <c r="A7" s="1931">
        <v>2</v>
      </c>
      <c r="B7" s="1932" t="s">
        <v>621</v>
      </c>
      <c r="C7" s="1933">
        <v>5</v>
      </c>
      <c r="D7" s="3216">
        <v>0.01</v>
      </c>
      <c r="E7" s="3217" t="s">
        <v>46</v>
      </c>
      <c r="F7" s="3218">
        <f>PRODUCT(C7:D7)</f>
        <v>0.05</v>
      </c>
      <c r="G7" s="1933">
        <f>SUM(H6:H6)</f>
        <v>212.61</v>
      </c>
      <c r="H7" s="3219">
        <f>ROUND(F7*G7,2)</f>
        <v>10.63</v>
      </c>
    </row>
    <row r="8" spans="1:8" ht="13.5" thickTop="1">
      <c r="A8" s="1925">
        <v>3</v>
      </c>
      <c r="B8" s="3220" t="s">
        <v>2451</v>
      </c>
      <c r="C8" s="3221">
        <v>30</v>
      </c>
      <c r="D8" s="3216">
        <v>0.01</v>
      </c>
      <c r="E8" s="3217" t="s">
        <v>46</v>
      </c>
      <c r="F8" s="3218">
        <f>PRODUCT(C8:D8)</f>
        <v>0.3</v>
      </c>
      <c r="G8" s="3221">
        <f>SUM(H6:H7)</f>
        <v>223.24</v>
      </c>
      <c r="H8" s="3219">
        <f>ROUND(F8*G8,2)</f>
        <v>66.97</v>
      </c>
    </row>
    <row r="9" spans="1:8" ht="13.5" thickBot="1">
      <c r="A9" s="3222"/>
      <c r="B9" s="3223"/>
      <c r="C9" s="3223"/>
      <c r="D9" s="3223"/>
      <c r="E9" s="3223"/>
      <c r="F9" s="3223"/>
      <c r="G9" s="3224" t="s">
        <v>2452</v>
      </c>
      <c r="H9" s="3225">
        <f>SUM(H6:H8)</f>
        <v>290.20999999999998</v>
      </c>
    </row>
    <row r="10" spans="1:8" ht="13.5" thickTop="1">
      <c r="A10" s="1944"/>
      <c r="B10" s="1944"/>
      <c r="C10" s="1944"/>
      <c r="D10" s="1944"/>
      <c r="E10" s="1944"/>
      <c r="F10" s="1944"/>
      <c r="G10" s="1945"/>
      <c r="H10" s="1962"/>
    </row>
    <row r="11" spans="1:8">
      <c r="A11" s="3141">
        <v>3</v>
      </c>
      <c r="B11" s="1948" t="s">
        <v>2715</v>
      </c>
      <c r="C11" s="3226"/>
      <c r="D11" s="1944"/>
      <c r="E11" s="1944"/>
      <c r="F11" s="1944"/>
      <c r="G11" s="1945"/>
      <c r="H11" s="1962"/>
    </row>
    <row r="12" spans="1:8">
      <c r="A12" s="1944"/>
      <c r="B12" s="1944"/>
      <c r="C12" s="1944"/>
      <c r="D12" s="1944"/>
      <c r="E12" s="1944"/>
      <c r="F12" s="1944"/>
      <c r="G12" s="1945"/>
      <c r="H12" s="1962"/>
    </row>
    <row r="13" spans="1:8" ht="39" thickBot="1">
      <c r="A13" s="3212">
        <v>3.1</v>
      </c>
      <c r="B13" s="3227" t="s">
        <v>2453</v>
      </c>
      <c r="C13" s="3214"/>
      <c r="D13" s="3214"/>
      <c r="E13" s="3214"/>
      <c r="F13" s="3214"/>
      <c r="G13" s="3214"/>
      <c r="H13" s="3214"/>
    </row>
    <row r="14" spans="1:8" ht="14.25" thickTop="1" thickBot="1">
      <c r="A14" s="1925">
        <v>1</v>
      </c>
      <c r="B14" s="3215" t="s">
        <v>2454</v>
      </c>
      <c r="C14" s="1955">
        <v>1</v>
      </c>
      <c r="D14" s="1955">
        <v>2</v>
      </c>
      <c r="E14" s="1956" t="s">
        <v>1</v>
      </c>
      <c r="F14" s="1957">
        <f>PRODUCT(C14:D14)</f>
        <v>2</v>
      </c>
      <c r="G14" s="1955">
        <v>207.07</v>
      </c>
      <c r="H14" s="1958">
        <f t="shared" ref="H14:H20" si="0">ROUND(F14*G14,2)</f>
        <v>414.14</v>
      </c>
    </row>
    <row r="15" spans="1:8" ht="14.25" thickTop="1" thickBot="1">
      <c r="A15" s="1931">
        <v>2</v>
      </c>
      <c r="B15" s="3215" t="s">
        <v>2455</v>
      </c>
      <c r="C15" s="1955">
        <v>1</v>
      </c>
      <c r="D15" s="1955">
        <v>1</v>
      </c>
      <c r="E15" s="1956" t="s">
        <v>1</v>
      </c>
      <c r="F15" s="1957">
        <f>PRODUCT(C15:D15)</f>
        <v>1</v>
      </c>
      <c r="G15" s="3228">
        <v>172.46</v>
      </c>
      <c r="H15" s="1958">
        <f t="shared" si="0"/>
        <v>172.46</v>
      </c>
    </row>
    <row r="16" spans="1:8" ht="14.25" thickTop="1" thickBot="1">
      <c r="A16" s="1931">
        <v>3</v>
      </c>
      <c r="B16" s="1932" t="s">
        <v>2456</v>
      </c>
      <c r="C16" s="1933">
        <v>1</v>
      </c>
      <c r="D16" s="1933">
        <v>1</v>
      </c>
      <c r="E16" s="1959" t="s">
        <v>1</v>
      </c>
      <c r="F16" s="3218">
        <f>PRODUCT(C16:D16)</f>
        <v>1</v>
      </c>
      <c r="G16" s="1955">
        <v>235.75</v>
      </c>
      <c r="H16" s="3219">
        <f t="shared" si="0"/>
        <v>235.75</v>
      </c>
    </row>
    <row r="17" spans="1:8" ht="13.5" thickTop="1">
      <c r="A17" s="1925">
        <v>4</v>
      </c>
      <c r="B17" s="1932" t="s">
        <v>2457</v>
      </c>
      <c r="C17" s="1933">
        <v>1</v>
      </c>
      <c r="D17" s="1933">
        <v>0.5</v>
      </c>
      <c r="E17" s="1959" t="s">
        <v>1</v>
      </c>
      <c r="F17" s="3218">
        <v>1</v>
      </c>
      <c r="G17" s="1933">
        <v>579.77</v>
      </c>
      <c r="H17" s="3219">
        <f t="shared" si="0"/>
        <v>579.77</v>
      </c>
    </row>
    <row r="18" spans="1:8">
      <c r="A18" s="1931">
        <v>5</v>
      </c>
      <c r="B18" s="1932" t="s">
        <v>2458</v>
      </c>
      <c r="C18" s="1933">
        <v>1</v>
      </c>
      <c r="D18" s="1933">
        <v>0.5</v>
      </c>
      <c r="E18" s="1959" t="s">
        <v>1</v>
      </c>
      <c r="F18" s="3218">
        <v>1</v>
      </c>
      <c r="G18" s="1933">
        <v>132.41</v>
      </c>
      <c r="H18" s="3219">
        <f t="shared" si="0"/>
        <v>132.41</v>
      </c>
    </row>
    <row r="19" spans="1:8" ht="13.5" thickBot="1">
      <c r="A19" s="1931">
        <v>6</v>
      </c>
      <c r="B19" s="1932" t="s">
        <v>621</v>
      </c>
      <c r="C19" s="1933">
        <v>5</v>
      </c>
      <c r="D19" s="3216">
        <v>0.01</v>
      </c>
      <c r="E19" s="3217" t="s">
        <v>46</v>
      </c>
      <c r="F19" s="3218">
        <f>PRODUCT(C19:D19)</f>
        <v>0.05</v>
      </c>
      <c r="G19" s="1933">
        <f>SUM(H14:H18)</f>
        <v>1534.53</v>
      </c>
      <c r="H19" s="3219">
        <f t="shared" si="0"/>
        <v>76.73</v>
      </c>
    </row>
    <row r="20" spans="1:8" ht="13.5" thickTop="1">
      <c r="A20" s="1925">
        <v>7</v>
      </c>
      <c r="B20" s="3220" t="s">
        <v>2451</v>
      </c>
      <c r="C20" s="3221">
        <v>30</v>
      </c>
      <c r="D20" s="3216">
        <v>0.01</v>
      </c>
      <c r="E20" s="3217" t="s">
        <v>46</v>
      </c>
      <c r="F20" s="3218">
        <f>PRODUCT(C20:D20)</f>
        <v>0.3</v>
      </c>
      <c r="G20" s="3221">
        <f>SUM(H14:H19)</f>
        <v>1611.26</v>
      </c>
      <c r="H20" s="3219">
        <f t="shared" si="0"/>
        <v>483.38</v>
      </c>
    </row>
    <row r="21" spans="1:8" ht="13.5" thickBot="1">
      <c r="A21" s="3222"/>
      <c r="B21" s="3223"/>
      <c r="C21" s="3223"/>
      <c r="D21" s="3223"/>
      <c r="E21" s="3223"/>
      <c r="F21" s="3223"/>
      <c r="G21" s="3224" t="s">
        <v>2452</v>
      </c>
      <c r="H21" s="3229">
        <f>SUM(H14:H20)</f>
        <v>2094.64</v>
      </c>
    </row>
    <row r="22" spans="1:8" ht="13.5" thickTop="1">
      <c r="A22" s="1920"/>
      <c r="B22" s="1920"/>
      <c r="C22" s="1920"/>
      <c r="D22" s="1920"/>
      <c r="E22" s="1920"/>
      <c r="F22" s="1920"/>
      <c r="G22" s="1920"/>
      <c r="H22" s="1920"/>
    </row>
    <row r="23" spans="1:8" ht="39" thickBot="1">
      <c r="A23" s="3212">
        <v>3.2</v>
      </c>
      <c r="B23" s="3227" t="s">
        <v>2459</v>
      </c>
      <c r="C23" s="3214"/>
      <c r="D23" s="3214"/>
      <c r="E23" s="3214"/>
      <c r="F23" s="3214"/>
      <c r="G23" s="3214"/>
      <c r="H23" s="3214"/>
    </row>
    <row r="24" spans="1:8" ht="14.25" thickTop="1" thickBot="1">
      <c r="A24" s="1925">
        <v>1</v>
      </c>
      <c r="B24" s="3215" t="s">
        <v>2454</v>
      </c>
      <c r="C24" s="1955">
        <v>1</v>
      </c>
      <c r="D24" s="1955">
        <v>2</v>
      </c>
      <c r="E24" s="1956" t="s">
        <v>1</v>
      </c>
      <c r="F24" s="1957">
        <f>PRODUCT(C24:D24)</f>
        <v>2</v>
      </c>
      <c r="G24" s="1955">
        <v>207.07</v>
      </c>
      <c r="H24" s="1958">
        <f t="shared" ref="H24:H29" si="1">ROUND(F24*G24,2)</f>
        <v>414.14</v>
      </c>
    </row>
    <row r="25" spans="1:8" ht="14.25" thickTop="1" thickBot="1">
      <c r="A25" s="1931">
        <v>2</v>
      </c>
      <c r="B25" s="3215" t="s">
        <v>2455</v>
      </c>
      <c r="C25" s="1955">
        <v>1</v>
      </c>
      <c r="D25" s="1955">
        <v>1</v>
      </c>
      <c r="E25" s="1956" t="s">
        <v>1</v>
      </c>
      <c r="F25" s="1957">
        <f>PRODUCT(C25:D25)</f>
        <v>1</v>
      </c>
      <c r="G25" s="3228">
        <v>172.46</v>
      </c>
      <c r="H25" s="1958">
        <f t="shared" si="1"/>
        <v>172.46</v>
      </c>
    </row>
    <row r="26" spans="1:8" ht="14.25" thickTop="1" thickBot="1">
      <c r="A26" s="1931">
        <v>3</v>
      </c>
      <c r="B26" s="1932" t="s">
        <v>2456</v>
      </c>
      <c r="C26" s="1933">
        <v>1</v>
      </c>
      <c r="D26" s="1933">
        <v>1</v>
      </c>
      <c r="E26" s="1959" t="s">
        <v>1</v>
      </c>
      <c r="F26" s="3218">
        <f>PRODUCT(C26:D26)</f>
        <v>1</v>
      </c>
      <c r="G26" s="1955">
        <v>235.75</v>
      </c>
      <c r="H26" s="3219">
        <f t="shared" si="1"/>
        <v>235.75</v>
      </c>
    </row>
    <row r="27" spans="1:8" ht="13.5" thickTop="1">
      <c r="A27" s="1925">
        <v>4</v>
      </c>
      <c r="B27" s="1932" t="s">
        <v>2458</v>
      </c>
      <c r="C27" s="1933">
        <v>1</v>
      </c>
      <c r="D27" s="1933">
        <v>1</v>
      </c>
      <c r="E27" s="1959" t="s">
        <v>1</v>
      </c>
      <c r="F27" s="3218">
        <v>1</v>
      </c>
      <c r="G27" s="1933">
        <v>132.41</v>
      </c>
      <c r="H27" s="3219">
        <f t="shared" si="1"/>
        <v>132.41</v>
      </c>
    </row>
    <row r="28" spans="1:8">
      <c r="A28" s="1931">
        <v>5</v>
      </c>
      <c r="B28" s="1932" t="s">
        <v>621</v>
      </c>
      <c r="C28" s="1933">
        <v>5</v>
      </c>
      <c r="D28" s="3216">
        <v>0.01</v>
      </c>
      <c r="E28" s="3217" t="s">
        <v>46</v>
      </c>
      <c r="F28" s="3218">
        <f>PRODUCT(C28:D28)</f>
        <v>0.05</v>
      </c>
      <c r="G28" s="1933">
        <f>SUM(H24:H27)</f>
        <v>954.76</v>
      </c>
      <c r="H28" s="3219">
        <f t="shared" si="1"/>
        <v>47.74</v>
      </c>
    </row>
    <row r="29" spans="1:8">
      <c r="A29" s="1931">
        <v>6</v>
      </c>
      <c r="B29" s="3220" t="s">
        <v>2451</v>
      </c>
      <c r="C29" s="3221">
        <v>30</v>
      </c>
      <c r="D29" s="3216">
        <v>0.01</v>
      </c>
      <c r="E29" s="3217" t="s">
        <v>46</v>
      </c>
      <c r="F29" s="3218">
        <f>PRODUCT(C29:D29)</f>
        <v>0.3</v>
      </c>
      <c r="G29" s="3221">
        <f>SUM(H24:H28)</f>
        <v>1002.5</v>
      </c>
      <c r="H29" s="3219">
        <f t="shared" si="1"/>
        <v>300.75</v>
      </c>
    </row>
    <row r="30" spans="1:8" ht="13.5" thickBot="1">
      <c r="A30" s="3222"/>
      <c r="B30" s="3223"/>
      <c r="C30" s="3223"/>
      <c r="D30" s="3223"/>
      <c r="E30" s="3223"/>
      <c r="F30" s="3223"/>
      <c r="G30" s="3224" t="s">
        <v>2452</v>
      </c>
      <c r="H30" s="3229">
        <f>SUM(H24:H29)</f>
        <v>1303.25</v>
      </c>
    </row>
    <row r="31" spans="1:8" ht="13.5" thickTop="1">
      <c r="A31" s="1920"/>
      <c r="B31" s="1920"/>
      <c r="C31" s="1920"/>
      <c r="D31" s="1920"/>
      <c r="E31" s="1920"/>
      <c r="F31" s="1920"/>
      <c r="G31" s="1920"/>
      <c r="H31" s="1920"/>
    </row>
    <row r="32" spans="1:8" ht="39" thickBot="1">
      <c r="A32" s="3212">
        <v>3.3</v>
      </c>
      <c r="B32" s="3227" t="s">
        <v>2460</v>
      </c>
      <c r="C32" s="3214"/>
      <c r="D32" s="3214"/>
      <c r="E32" s="3214"/>
      <c r="F32" s="3214"/>
      <c r="G32" s="3214"/>
      <c r="H32" s="3214"/>
    </row>
    <row r="33" spans="1:8" ht="14.25" thickTop="1" thickBot="1">
      <c r="A33" s="1925">
        <v>1</v>
      </c>
      <c r="B33" s="3215" t="s">
        <v>2454</v>
      </c>
      <c r="C33" s="1955">
        <v>1</v>
      </c>
      <c r="D33" s="1955">
        <v>2</v>
      </c>
      <c r="E33" s="1956" t="s">
        <v>1</v>
      </c>
      <c r="F33" s="1957">
        <f>PRODUCT(C33:D33)</f>
        <v>2</v>
      </c>
      <c r="G33" s="1955">
        <v>207.07</v>
      </c>
      <c r="H33" s="1958">
        <f t="shared" ref="H33:H38" si="2">ROUND(F33*G33,2)</f>
        <v>414.14</v>
      </c>
    </row>
    <row r="34" spans="1:8" ht="14.25" thickTop="1" thickBot="1">
      <c r="A34" s="1931">
        <v>2</v>
      </c>
      <c r="B34" s="3215" t="s">
        <v>2455</v>
      </c>
      <c r="C34" s="1955">
        <v>1</v>
      </c>
      <c r="D34" s="1955">
        <v>1</v>
      </c>
      <c r="E34" s="1956" t="s">
        <v>1</v>
      </c>
      <c r="F34" s="1957">
        <f>PRODUCT(C34:D34)</f>
        <v>1</v>
      </c>
      <c r="G34" s="3228">
        <v>172.46</v>
      </c>
      <c r="H34" s="1958">
        <f t="shared" si="2"/>
        <v>172.46</v>
      </c>
    </row>
    <row r="35" spans="1:8" ht="14.25" thickTop="1" thickBot="1">
      <c r="A35" s="1931">
        <v>3</v>
      </c>
      <c r="B35" s="1932" t="s">
        <v>2456</v>
      </c>
      <c r="C35" s="1933">
        <v>1</v>
      </c>
      <c r="D35" s="1933">
        <v>1</v>
      </c>
      <c r="E35" s="1959" t="s">
        <v>1</v>
      </c>
      <c r="F35" s="3218">
        <f>PRODUCT(C35:D35)</f>
        <v>1</v>
      </c>
      <c r="G35" s="1955">
        <v>235.75</v>
      </c>
      <c r="H35" s="3219">
        <f t="shared" si="2"/>
        <v>235.75</v>
      </c>
    </row>
    <row r="36" spans="1:8" ht="13.5" thickTop="1">
      <c r="A36" s="1925">
        <v>4</v>
      </c>
      <c r="B36" s="1932" t="s">
        <v>2458</v>
      </c>
      <c r="C36" s="1933">
        <v>1</v>
      </c>
      <c r="D36" s="1933">
        <v>1</v>
      </c>
      <c r="E36" s="1959" t="s">
        <v>1</v>
      </c>
      <c r="F36" s="3218">
        <v>1</v>
      </c>
      <c r="G36" s="1933">
        <v>132.41</v>
      </c>
      <c r="H36" s="3219">
        <f t="shared" si="2"/>
        <v>132.41</v>
      </c>
    </row>
    <row r="37" spans="1:8">
      <c r="A37" s="1931">
        <v>5</v>
      </c>
      <c r="B37" s="1932" t="s">
        <v>621</v>
      </c>
      <c r="C37" s="1933">
        <v>5</v>
      </c>
      <c r="D37" s="3216">
        <v>0.01</v>
      </c>
      <c r="E37" s="3217" t="s">
        <v>46</v>
      </c>
      <c r="F37" s="3218">
        <f>PRODUCT(C37:D37)</f>
        <v>0.05</v>
      </c>
      <c r="G37" s="1933">
        <f>SUM(H33:H36)</f>
        <v>954.76</v>
      </c>
      <c r="H37" s="3219">
        <f t="shared" si="2"/>
        <v>47.74</v>
      </c>
    </row>
    <row r="38" spans="1:8">
      <c r="A38" s="1931">
        <v>6</v>
      </c>
      <c r="B38" s="3220" t="s">
        <v>2451</v>
      </c>
      <c r="C38" s="3221">
        <v>30</v>
      </c>
      <c r="D38" s="3216">
        <v>0.01</v>
      </c>
      <c r="E38" s="3217" t="s">
        <v>46</v>
      </c>
      <c r="F38" s="3218">
        <f>PRODUCT(C38:D38)</f>
        <v>0.3</v>
      </c>
      <c r="G38" s="3221">
        <f>SUM(H33:H37)</f>
        <v>1002.5</v>
      </c>
      <c r="H38" s="3219">
        <f t="shared" si="2"/>
        <v>300.75</v>
      </c>
    </row>
    <row r="39" spans="1:8" ht="13.5" thickBot="1">
      <c r="A39" s="3222"/>
      <c r="B39" s="3223"/>
      <c r="C39" s="3223"/>
      <c r="D39" s="3223"/>
      <c r="E39" s="3223"/>
      <c r="F39" s="3223"/>
      <c r="G39" s="3224" t="s">
        <v>2452</v>
      </c>
      <c r="H39" s="3229">
        <f>SUM(H33:H38)</f>
        <v>1303.25</v>
      </c>
    </row>
    <row r="40" spans="1:8" ht="13.5" thickTop="1">
      <c r="A40" s="1920"/>
      <c r="B40" s="1920"/>
      <c r="C40" s="1920"/>
      <c r="D40" s="1920"/>
      <c r="E40" s="1920"/>
      <c r="F40" s="1920"/>
      <c r="G40" s="1920"/>
      <c r="H40" s="1920"/>
    </row>
    <row r="41" spans="1:8" ht="51.75" thickBot="1">
      <c r="A41" s="3212">
        <v>3.4</v>
      </c>
      <c r="B41" s="3227" t="s">
        <v>2716</v>
      </c>
      <c r="C41" s="3214"/>
      <c r="D41" s="3214"/>
      <c r="E41" s="3214"/>
      <c r="F41" s="3214"/>
      <c r="G41" s="3214"/>
      <c r="H41" s="3214"/>
    </row>
    <row r="42" spans="1:8" ht="14.25" thickTop="1" thickBot="1">
      <c r="A42" s="1925">
        <v>1</v>
      </c>
      <c r="B42" s="1932" t="s">
        <v>2462</v>
      </c>
      <c r="C42" s="1933">
        <v>1</v>
      </c>
      <c r="D42" s="1933">
        <v>2</v>
      </c>
      <c r="E42" s="1959" t="s">
        <v>1</v>
      </c>
      <c r="F42" s="3218">
        <f>PRODUCT(C42:D42)</f>
        <v>2</v>
      </c>
      <c r="G42" s="3228">
        <v>98.49</v>
      </c>
      <c r="H42" s="3219">
        <f>ROUND(F42*G42,2)</f>
        <v>196.98</v>
      </c>
    </row>
    <row r="43" spans="1:8" ht="13.5" thickTop="1">
      <c r="A43" s="1931">
        <v>2</v>
      </c>
      <c r="B43" s="1932" t="s">
        <v>2463</v>
      </c>
      <c r="C43" s="1933">
        <v>1</v>
      </c>
      <c r="D43" s="1933">
        <v>2</v>
      </c>
      <c r="E43" s="1959" t="s">
        <v>1</v>
      </c>
      <c r="F43" s="3218">
        <f>PRODUCT(C43:D43)</f>
        <v>2</v>
      </c>
      <c r="G43" s="1955">
        <v>72.87</v>
      </c>
      <c r="H43" s="3219">
        <f>ROUND(F43*G43,2)</f>
        <v>145.74</v>
      </c>
    </row>
    <row r="44" spans="1:8">
      <c r="A44" s="1931">
        <v>3</v>
      </c>
      <c r="B44" s="1932" t="s">
        <v>2717</v>
      </c>
      <c r="C44" s="1933">
        <v>1</v>
      </c>
      <c r="D44" s="1933">
        <v>1</v>
      </c>
      <c r="E44" s="1959" t="s">
        <v>1</v>
      </c>
      <c r="F44" s="3218">
        <f>PRODUCT(C44:D44)</f>
        <v>1</v>
      </c>
      <c r="G44" s="1933">
        <v>81.069999999999993</v>
      </c>
      <c r="H44" s="3219">
        <f>ROUND(F44*G44,2)</f>
        <v>81.069999999999993</v>
      </c>
    </row>
    <row r="45" spans="1:8">
      <c r="A45" s="1931">
        <v>4</v>
      </c>
      <c r="B45" s="1932" t="s">
        <v>621</v>
      </c>
      <c r="C45" s="1933">
        <v>5</v>
      </c>
      <c r="D45" s="3216">
        <v>0.01</v>
      </c>
      <c r="E45" s="3217" t="s">
        <v>46</v>
      </c>
      <c r="F45" s="3218">
        <f>PRODUCT(C45:D45)</f>
        <v>0.05</v>
      </c>
      <c r="G45" s="1933">
        <f>SUM(H42:H44)</f>
        <v>423.79</v>
      </c>
      <c r="H45" s="3219">
        <f>ROUND(F45*G45,2)</f>
        <v>21.19</v>
      </c>
    </row>
    <row r="46" spans="1:8">
      <c r="A46" s="3230">
        <v>5</v>
      </c>
      <c r="B46" s="3220" t="s">
        <v>2451</v>
      </c>
      <c r="C46" s="3221">
        <v>30</v>
      </c>
      <c r="D46" s="3216">
        <v>0.01</v>
      </c>
      <c r="E46" s="3217" t="s">
        <v>46</v>
      </c>
      <c r="F46" s="3218">
        <f>PRODUCT(C46:D46)</f>
        <v>0.3</v>
      </c>
      <c r="G46" s="3221">
        <f>SUM(H42:H45)</f>
        <v>444.98</v>
      </c>
      <c r="H46" s="3219">
        <f>ROUND(F46*G46,2)</f>
        <v>133.49</v>
      </c>
    </row>
    <row r="47" spans="1:8" ht="13.5" thickBot="1">
      <c r="A47" s="3222"/>
      <c r="B47" s="3223"/>
      <c r="C47" s="3223"/>
      <c r="D47" s="3223"/>
      <c r="E47" s="3223"/>
      <c r="F47" s="3223"/>
      <c r="G47" s="3224" t="s">
        <v>2452</v>
      </c>
      <c r="H47" s="3229">
        <f>SUM(H42:H46)</f>
        <v>578.47</v>
      </c>
    </row>
    <row r="48" spans="1:8" ht="13.5" thickTop="1">
      <c r="A48" s="1944"/>
      <c r="B48" s="1944"/>
      <c r="C48" s="1944"/>
      <c r="D48" s="1944"/>
      <c r="E48" s="1944"/>
      <c r="F48" s="1944"/>
      <c r="G48" s="1945"/>
      <c r="H48" s="1962"/>
    </row>
    <row r="49" spans="1:8" ht="51.75" thickBot="1">
      <c r="A49" s="3212">
        <v>3.5</v>
      </c>
      <c r="B49" s="3227" t="s">
        <v>2718</v>
      </c>
      <c r="C49" s="1920"/>
      <c r="D49" s="1920"/>
      <c r="E49" s="1920"/>
      <c r="F49" s="1920"/>
      <c r="G49" s="1920"/>
      <c r="H49" s="1920"/>
    </row>
    <row r="50" spans="1:8" ht="14.25" thickTop="1" thickBot="1">
      <c r="A50" s="1925">
        <v>1</v>
      </c>
      <c r="B50" s="1932" t="s">
        <v>2463</v>
      </c>
      <c r="C50" s="1933">
        <v>1</v>
      </c>
      <c r="D50" s="1933">
        <v>2</v>
      </c>
      <c r="E50" s="1959" t="s">
        <v>1</v>
      </c>
      <c r="F50" s="3218">
        <f>PRODUCT(C50:D50)</f>
        <v>2</v>
      </c>
      <c r="G50" s="1955">
        <v>72.87</v>
      </c>
      <c r="H50" s="3219">
        <f>ROUND(F50*G50,2)</f>
        <v>145.74</v>
      </c>
    </row>
    <row r="51" spans="1:8" ht="13.5" thickTop="1">
      <c r="A51" s="1931">
        <v>2</v>
      </c>
      <c r="B51" s="1932" t="s">
        <v>2466</v>
      </c>
      <c r="C51" s="1933">
        <v>1</v>
      </c>
      <c r="D51" s="1933">
        <v>1</v>
      </c>
      <c r="E51" s="1959" t="s">
        <v>1</v>
      </c>
      <c r="F51" s="3218">
        <f>PRODUCT(C51:D51)</f>
        <v>1</v>
      </c>
      <c r="G51" s="1955">
        <v>48.8</v>
      </c>
      <c r="H51" s="3219">
        <f>ROUND(F51*G51,2)</f>
        <v>48.8</v>
      </c>
    </row>
    <row r="52" spans="1:8">
      <c r="A52" s="1931">
        <v>3</v>
      </c>
      <c r="B52" s="1932" t="s">
        <v>2464</v>
      </c>
      <c r="C52" s="1933">
        <v>1</v>
      </c>
      <c r="D52" s="1933">
        <v>1</v>
      </c>
      <c r="E52" s="1959" t="s">
        <v>1</v>
      </c>
      <c r="F52" s="3218">
        <f>PRODUCT(C52:D52)</f>
        <v>1</v>
      </c>
      <c r="G52" s="1933">
        <v>49.91</v>
      </c>
      <c r="H52" s="3219">
        <f>ROUND(F52*G52,2)</f>
        <v>49.91</v>
      </c>
    </row>
    <row r="53" spans="1:8">
      <c r="A53" s="1931">
        <v>4</v>
      </c>
      <c r="B53" s="1932" t="s">
        <v>621</v>
      </c>
      <c r="C53" s="1933">
        <v>5</v>
      </c>
      <c r="D53" s="3216">
        <v>0.01</v>
      </c>
      <c r="E53" s="3217" t="s">
        <v>46</v>
      </c>
      <c r="F53" s="3218">
        <f>PRODUCT(C53:D53)</f>
        <v>0.05</v>
      </c>
      <c r="G53" s="1933">
        <f>SUM(H50:H52)</f>
        <v>244.45</v>
      </c>
      <c r="H53" s="3219">
        <f>ROUND(F53*G53,2)</f>
        <v>12.22</v>
      </c>
    </row>
    <row r="54" spans="1:8">
      <c r="A54" s="3230">
        <v>5</v>
      </c>
      <c r="B54" s="3220" t="s">
        <v>2451</v>
      </c>
      <c r="C54" s="3221">
        <v>30</v>
      </c>
      <c r="D54" s="3216">
        <v>0.01</v>
      </c>
      <c r="E54" s="3217" t="s">
        <v>46</v>
      </c>
      <c r="F54" s="3218">
        <f>PRODUCT(C54:D54)</f>
        <v>0.3</v>
      </c>
      <c r="G54" s="3221">
        <f>SUM(H50:H53)</f>
        <v>256.67</v>
      </c>
      <c r="H54" s="3219">
        <f>ROUND(F54*G54,2)</f>
        <v>77</v>
      </c>
    </row>
    <row r="55" spans="1:8" ht="13.5" thickBot="1">
      <c r="A55" s="3222"/>
      <c r="B55" s="3223"/>
      <c r="C55" s="3223"/>
      <c r="D55" s="3223"/>
      <c r="E55" s="3223"/>
      <c r="F55" s="3223"/>
      <c r="G55" s="3224" t="s">
        <v>2452</v>
      </c>
      <c r="H55" s="3229">
        <f>SUM(H50:H54)</f>
        <v>333.67</v>
      </c>
    </row>
    <row r="56" spans="1:8" ht="13.5" thickTop="1">
      <c r="A56" s="1944"/>
      <c r="B56" s="1944"/>
      <c r="C56" s="1944"/>
      <c r="D56" s="1944"/>
      <c r="E56" s="1944"/>
      <c r="F56" s="1944"/>
      <c r="G56" s="1945"/>
      <c r="H56" s="1962"/>
    </row>
    <row r="57" spans="1:8" ht="51.75" thickBot="1">
      <c r="A57" s="3212">
        <v>3.6</v>
      </c>
      <c r="B57" s="3227" t="s">
        <v>2719</v>
      </c>
      <c r="C57" s="3214"/>
      <c r="D57" s="3214"/>
      <c r="E57" s="3214"/>
      <c r="F57" s="3214"/>
      <c r="G57" s="3214"/>
      <c r="H57" s="3214"/>
    </row>
    <row r="58" spans="1:8" ht="13.5" thickTop="1">
      <c r="A58" s="1925">
        <v>1</v>
      </c>
      <c r="B58" s="1932" t="s">
        <v>2720</v>
      </c>
      <c r="C58" s="1933">
        <v>1</v>
      </c>
      <c r="D58" s="1933">
        <v>1</v>
      </c>
      <c r="E58" s="1959" t="s">
        <v>1</v>
      </c>
      <c r="F58" s="3218">
        <f>PRODUCT(C58:D58)</f>
        <v>1</v>
      </c>
      <c r="G58" s="3228">
        <v>79.459999999999994</v>
      </c>
      <c r="H58" s="3219">
        <f>ROUND(F58*G58,2)</f>
        <v>79.459999999999994</v>
      </c>
    </row>
    <row r="59" spans="1:8">
      <c r="A59" s="1931">
        <v>2</v>
      </c>
      <c r="B59" s="1932" t="s">
        <v>2464</v>
      </c>
      <c r="C59" s="1933">
        <v>1</v>
      </c>
      <c r="D59" s="1933">
        <v>1</v>
      </c>
      <c r="E59" s="1959" t="s">
        <v>1</v>
      </c>
      <c r="F59" s="3218">
        <f>PRODUCT(C59:D59)</f>
        <v>1</v>
      </c>
      <c r="G59" s="1933">
        <v>49.91</v>
      </c>
      <c r="H59" s="3219">
        <f>ROUND(F59*G59,2)</f>
        <v>49.91</v>
      </c>
    </row>
    <row r="60" spans="1:8">
      <c r="A60" s="1931">
        <v>3</v>
      </c>
      <c r="B60" s="1932" t="s">
        <v>621</v>
      </c>
      <c r="C60" s="1933">
        <v>5</v>
      </c>
      <c r="D60" s="3216">
        <v>0.01</v>
      </c>
      <c r="E60" s="3217" t="s">
        <v>46</v>
      </c>
      <c r="F60" s="3218">
        <f>PRODUCT(C60:D60)</f>
        <v>0.05</v>
      </c>
      <c r="G60" s="1933">
        <f>SUM(H58:H58)</f>
        <v>79.459999999999994</v>
      </c>
      <c r="H60" s="3219">
        <f>ROUND(F60*G60,2)</f>
        <v>3.97</v>
      </c>
    </row>
    <row r="61" spans="1:8">
      <c r="A61" s="3230">
        <v>4</v>
      </c>
      <c r="B61" s="3220" t="s">
        <v>2451</v>
      </c>
      <c r="C61" s="3221">
        <v>30</v>
      </c>
      <c r="D61" s="3216">
        <v>0.01</v>
      </c>
      <c r="E61" s="3217" t="s">
        <v>46</v>
      </c>
      <c r="F61" s="3218">
        <f>PRODUCT(C61:D61)</f>
        <v>0.3</v>
      </c>
      <c r="G61" s="3221">
        <f>SUM(H58:H60)</f>
        <v>133.34</v>
      </c>
      <c r="H61" s="3219">
        <f>ROUND(F61*G61,2)</f>
        <v>40</v>
      </c>
    </row>
    <row r="62" spans="1:8" ht="13.5" thickBot="1">
      <c r="A62" s="3222"/>
      <c r="B62" s="3223"/>
      <c r="C62" s="3223"/>
      <c r="D62" s="3223"/>
      <c r="E62" s="3223"/>
      <c r="F62" s="3223"/>
      <c r="G62" s="3224" t="s">
        <v>2452</v>
      </c>
      <c r="H62" s="3229">
        <f>SUM(H58:H61)</f>
        <v>173.34</v>
      </c>
    </row>
    <row r="63" spans="1:8" ht="13.5" thickTop="1">
      <c r="A63" s="1944"/>
      <c r="B63" s="1944"/>
      <c r="C63" s="1944"/>
      <c r="D63" s="1944"/>
      <c r="E63" s="1944"/>
      <c r="F63" s="1944"/>
      <c r="G63" s="1945"/>
      <c r="H63" s="1962"/>
    </row>
    <row r="64" spans="1:8" ht="51.75" thickBot="1">
      <c r="A64" s="3212">
        <v>3.7</v>
      </c>
      <c r="B64" s="3227" t="s">
        <v>2721</v>
      </c>
      <c r="C64" s="1920"/>
      <c r="D64" s="1920"/>
      <c r="E64" s="1920"/>
      <c r="F64" s="1920"/>
      <c r="G64" s="1920"/>
      <c r="H64" s="1920"/>
    </row>
    <row r="65" spans="1:8" ht="14.25" thickTop="1" thickBot="1">
      <c r="A65" s="1925">
        <v>1</v>
      </c>
      <c r="B65" s="1932" t="s">
        <v>2463</v>
      </c>
      <c r="C65" s="1933">
        <v>1</v>
      </c>
      <c r="D65" s="1933">
        <v>2</v>
      </c>
      <c r="E65" s="1959" t="s">
        <v>1</v>
      </c>
      <c r="F65" s="3218">
        <f>PRODUCT(C65:D65)</f>
        <v>2</v>
      </c>
      <c r="G65" s="1955">
        <v>72.87</v>
      </c>
      <c r="H65" s="3219">
        <f>ROUND(F65*G65,2)</f>
        <v>145.74</v>
      </c>
    </row>
    <row r="66" spans="1:8" ht="13.5" thickTop="1">
      <c r="A66" s="1931">
        <v>2</v>
      </c>
      <c r="B66" s="1932" t="s">
        <v>2466</v>
      </c>
      <c r="C66" s="1933">
        <v>1</v>
      </c>
      <c r="D66" s="1933">
        <v>2</v>
      </c>
      <c r="E66" s="1959" t="s">
        <v>1</v>
      </c>
      <c r="F66" s="3218">
        <f>PRODUCT(C66:D66)</f>
        <v>2</v>
      </c>
      <c r="G66" s="1955">
        <v>48.8</v>
      </c>
      <c r="H66" s="3219">
        <f>ROUND(F66*G66,2)</f>
        <v>97.6</v>
      </c>
    </row>
    <row r="67" spans="1:8">
      <c r="A67" s="1931">
        <v>3</v>
      </c>
      <c r="B67" s="1932" t="s">
        <v>2722</v>
      </c>
      <c r="C67" s="1933">
        <v>1</v>
      </c>
      <c r="D67" s="1933">
        <v>1</v>
      </c>
      <c r="E67" s="1959" t="s">
        <v>1</v>
      </c>
      <c r="F67" s="3218">
        <f>PRODUCT(C67:D67)</f>
        <v>1</v>
      </c>
      <c r="G67" s="1933">
        <v>35.65</v>
      </c>
      <c r="H67" s="3219">
        <f>ROUND(F67*G67,2)</f>
        <v>35.65</v>
      </c>
    </row>
    <row r="68" spans="1:8">
      <c r="A68" s="1931">
        <v>4</v>
      </c>
      <c r="B68" s="1932" t="s">
        <v>621</v>
      </c>
      <c r="C68" s="1933">
        <v>5</v>
      </c>
      <c r="D68" s="3216">
        <v>0.01</v>
      </c>
      <c r="E68" s="3217" t="s">
        <v>46</v>
      </c>
      <c r="F68" s="3218">
        <f>PRODUCT(C68:D68)</f>
        <v>0.05</v>
      </c>
      <c r="G68" s="1933">
        <f>SUM(H65:H67)</f>
        <v>278.99</v>
      </c>
      <c r="H68" s="3219">
        <f>ROUND(F68*G68,2)</f>
        <v>13.95</v>
      </c>
    </row>
    <row r="69" spans="1:8">
      <c r="A69" s="3230">
        <v>5</v>
      </c>
      <c r="B69" s="3220" t="s">
        <v>2451</v>
      </c>
      <c r="C69" s="3221">
        <v>30</v>
      </c>
      <c r="D69" s="3216">
        <v>0.01</v>
      </c>
      <c r="E69" s="3217" t="s">
        <v>46</v>
      </c>
      <c r="F69" s="3218">
        <f>PRODUCT(C69:D69)</f>
        <v>0.3</v>
      </c>
      <c r="G69" s="3221">
        <f>SUM(H65:H68)</f>
        <v>292.94</v>
      </c>
      <c r="H69" s="3219">
        <f>ROUND(F69*G69,2)</f>
        <v>87.88</v>
      </c>
    </row>
    <row r="70" spans="1:8" ht="13.5" thickBot="1">
      <c r="A70" s="3222"/>
      <c r="B70" s="3223"/>
      <c r="C70" s="3223"/>
      <c r="D70" s="3223"/>
      <c r="E70" s="3223"/>
      <c r="F70" s="3223"/>
      <c r="G70" s="3224" t="s">
        <v>2452</v>
      </c>
      <c r="H70" s="3229">
        <f>SUM(H65:H69)</f>
        <v>380.82</v>
      </c>
    </row>
    <row r="71" spans="1:8" ht="13.5" thickTop="1">
      <c r="A71" s="1944"/>
      <c r="B71" s="1944"/>
      <c r="C71" s="1944"/>
      <c r="D71" s="1944"/>
      <c r="E71" s="1944"/>
      <c r="F71" s="1944"/>
      <c r="G71" s="1945"/>
      <c r="H71" s="1962"/>
    </row>
    <row r="72" spans="1:8" ht="51.75" thickBot="1">
      <c r="A72" s="3212">
        <v>3.8</v>
      </c>
      <c r="B72" s="3227" t="s">
        <v>2723</v>
      </c>
      <c r="C72" s="1920"/>
      <c r="D72" s="1920"/>
      <c r="E72" s="1920"/>
      <c r="F72" s="1920"/>
      <c r="G72" s="1920"/>
      <c r="H72" s="1920"/>
    </row>
    <row r="73" spans="1:8" ht="14.25" thickTop="1" thickBot="1">
      <c r="A73" s="1925">
        <v>1</v>
      </c>
      <c r="B73" s="1932" t="s">
        <v>2463</v>
      </c>
      <c r="C73" s="1933">
        <v>1</v>
      </c>
      <c r="D73" s="1933">
        <v>2</v>
      </c>
      <c r="E73" s="1959" t="s">
        <v>1</v>
      </c>
      <c r="F73" s="3218">
        <f>PRODUCT(C73:D73)</f>
        <v>2</v>
      </c>
      <c r="G73" s="1955">
        <v>72.87</v>
      </c>
      <c r="H73" s="3219">
        <f>ROUND(F73*G73,2)</f>
        <v>145.74</v>
      </c>
    </row>
    <row r="74" spans="1:8" ht="13.5" thickTop="1">
      <c r="A74" s="1931">
        <v>2</v>
      </c>
      <c r="B74" s="1932" t="s">
        <v>2466</v>
      </c>
      <c r="C74" s="1933">
        <v>1</v>
      </c>
      <c r="D74" s="1933">
        <v>2</v>
      </c>
      <c r="E74" s="1959" t="s">
        <v>1</v>
      </c>
      <c r="F74" s="3218">
        <f>PRODUCT(C74:D74)</f>
        <v>2</v>
      </c>
      <c r="G74" s="1955">
        <v>48.8</v>
      </c>
      <c r="H74" s="3219">
        <f>ROUND(F74*G74,2)</f>
        <v>97.6</v>
      </c>
    </row>
    <row r="75" spans="1:8">
      <c r="A75" s="1931">
        <v>3</v>
      </c>
      <c r="B75" s="1932" t="s">
        <v>2464</v>
      </c>
      <c r="C75" s="1933">
        <v>1</v>
      </c>
      <c r="D75" s="1933">
        <v>1</v>
      </c>
      <c r="E75" s="1959" t="s">
        <v>1</v>
      </c>
      <c r="F75" s="3218">
        <f>PRODUCT(C75:D75)</f>
        <v>1</v>
      </c>
      <c r="G75" s="1933">
        <v>49.91</v>
      </c>
      <c r="H75" s="3219">
        <f>ROUND(F75*G75,2)</f>
        <v>49.91</v>
      </c>
    </row>
    <row r="76" spans="1:8">
      <c r="A76" s="1931">
        <v>4</v>
      </c>
      <c r="B76" s="1932" t="s">
        <v>621</v>
      </c>
      <c r="C76" s="1933">
        <v>5</v>
      </c>
      <c r="D76" s="3216">
        <v>0.01</v>
      </c>
      <c r="E76" s="3217" t="s">
        <v>46</v>
      </c>
      <c r="F76" s="3218">
        <f>PRODUCT(C76:D76)</f>
        <v>0.05</v>
      </c>
      <c r="G76" s="1933">
        <f>SUM(H73:H75)</f>
        <v>293.25</v>
      </c>
      <c r="H76" s="3219">
        <f>ROUND(F76*G76,2)</f>
        <v>14.66</v>
      </c>
    </row>
    <row r="77" spans="1:8">
      <c r="A77" s="3230">
        <v>5</v>
      </c>
      <c r="B77" s="3220" t="s">
        <v>2451</v>
      </c>
      <c r="C77" s="3221">
        <v>30</v>
      </c>
      <c r="D77" s="3216">
        <v>0.01</v>
      </c>
      <c r="E77" s="3217" t="s">
        <v>46</v>
      </c>
      <c r="F77" s="3218">
        <f>PRODUCT(C77:D77)</f>
        <v>0.3</v>
      </c>
      <c r="G77" s="3221">
        <f>SUM(H73:H76)</f>
        <v>307.91000000000003</v>
      </c>
      <c r="H77" s="3219">
        <f>ROUND(F77*G77,2)</f>
        <v>92.37</v>
      </c>
    </row>
    <row r="78" spans="1:8" ht="13.5" thickBot="1">
      <c r="A78" s="3222"/>
      <c r="B78" s="3223"/>
      <c r="C78" s="3223"/>
      <c r="D78" s="3223"/>
      <c r="E78" s="3223"/>
      <c r="F78" s="3223"/>
      <c r="G78" s="3224" t="s">
        <v>2452</v>
      </c>
      <c r="H78" s="3229">
        <f>SUM(H73:H77)</f>
        <v>400.28</v>
      </c>
    </row>
    <row r="79" spans="1:8" ht="13.5" thickTop="1">
      <c r="A79" s="1944"/>
      <c r="B79" s="1944"/>
      <c r="C79" s="1944"/>
      <c r="D79" s="1944"/>
      <c r="E79" s="1944"/>
      <c r="F79" s="1944"/>
      <c r="G79" s="1945"/>
      <c r="H79" s="1962"/>
    </row>
    <row r="80" spans="1:8" ht="51.75" thickBot="1">
      <c r="A80" s="3212">
        <v>3.9</v>
      </c>
      <c r="B80" s="3227" t="s">
        <v>2724</v>
      </c>
      <c r="C80" s="1920"/>
      <c r="D80" s="1920"/>
      <c r="E80" s="1920"/>
      <c r="F80" s="1920"/>
      <c r="G80" s="1920"/>
      <c r="H80" s="1920"/>
    </row>
    <row r="81" spans="1:8" ht="14.25" thickTop="1" thickBot="1">
      <c r="A81" s="1925">
        <v>1</v>
      </c>
      <c r="B81" s="1932" t="s">
        <v>2455</v>
      </c>
      <c r="C81" s="1933">
        <v>1</v>
      </c>
      <c r="D81" s="1933">
        <v>2</v>
      </c>
      <c r="E81" s="1959" t="s">
        <v>1</v>
      </c>
      <c r="F81" s="3218">
        <f>PRODUCT(C81:D81)</f>
        <v>2</v>
      </c>
      <c r="G81" s="3228">
        <v>172.46</v>
      </c>
      <c r="H81" s="3219">
        <f>ROUND(F81*G81,2)</f>
        <v>344.92</v>
      </c>
    </row>
    <row r="82" spans="1:8" ht="13.5" thickTop="1">
      <c r="A82" s="1931">
        <v>2</v>
      </c>
      <c r="B82" s="1932" t="s">
        <v>2462</v>
      </c>
      <c r="C82" s="1933">
        <v>1</v>
      </c>
      <c r="D82" s="1933">
        <v>2</v>
      </c>
      <c r="E82" s="1959" t="s">
        <v>1</v>
      </c>
      <c r="F82" s="3218">
        <f>PRODUCT(C82:D82)</f>
        <v>2</v>
      </c>
      <c r="G82" s="3228">
        <v>98.49</v>
      </c>
      <c r="H82" s="3219">
        <f>ROUND(F82*G82,2)</f>
        <v>196.98</v>
      </c>
    </row>
    <row r="83" spans="1:8">
      <c r="A83" s="1931">
        <v>3</v>
      </c>
      <c r="B83" s="1932" t="s">
        <v>2717</v>
      </c>
      <c r="C83" s="1933">
        <v>1</v>
      </c>
      <c r="D83" s="1933">
        <v>1</v>
      </c>
      <c r="E83" s="1959" t="s">
        <v>1</v>
      </c>
      <c r="F83" s="3218">
        <f>PRODUCT(C83:D83)</f>
        <v>1</v>
      </c>
      <c r="G83" s="1933">
        <v>81.069999999999993</v>
      </c>
      <c r="H83" s="3219">
        <f>ROUND(F83*G83,2)</f>
        <v>81.069999999999993</v>
      </c>
    </row>
    <row r="84" spans="1:8">
      <c r="A84" s="1931">
        <v>4</v>
      </c>
      <c r="B84" s="1932" t="s">
        <v>621</v>
      </c>
      <c r="C84" s="1933">
        <v>5</v>
      </c>
      <c r="D84" s="3216">
        <v>0.01</v>
      </c>
      <c r="E84" s="3217" t="s">
        <v>46</v>
      </c>
      <c r="F84" s="3218">
        <f>PRODUCT(C84:D84)</f>
        <v>0.05</v>
      </c>
      <c r="G84" s="1933">
        <f>SUM(H81:H83)</f>
        <v>622.97</v>
      </c>
      <c r="H84" s="3219">
        <f>ROUND(F84*G84,2)</f>
        <v>31.15</v>
      </c>
    </row>
    <row r="85" spans="1:8">
      <c r="A85" s="3230">
        <v>5</v>
      </c>
      <c r="B85" s="3220" t="s">
        <v>2451</v>
      </c>
      <c r="C85" s="3221">
        <v>30</v>
      </c>
      <c r="D85" s="3216">
        <v>0.01</v>
      </c>
      <c r="E85" s="3217" t="s">
        <v>46</v>
      </c>
      <c r="F85" s="3218">
        <f>PRODUCT(C85:D85)</f>
        <v>0.3</v>
      </c>
      <c r="G85" s="3221">
        <f>SUM(H81:H84)</f>
        <v>654.12</v>
      </c>
      <c r="H85" s="3219">
        <f>ROUND(F85*G85,2)</f>
        <v>196.24</v>
      </c>
    </row>
    <row r="86" spans="1:8" ht="13.5" thickBot="1">
      <c r="A86" s="3222"/>
      <c r="B86" s="3223"/>
      <c r="C86" s="3223"/>
      <c r="D86" s="3223"/>
      <c r="E86" s="3223"/>
      <c r="F86" s="3223"/>
      <c r="G86" s="3224" t="s">
        <v>2452</v>
      </c>
      <c r="H86" s="3229">
        <f>SUM(H81:H85)</f>
        <v>850.36</v>
      </c>
    </row>
    <row r="87" spans="1:8" ht="13.5" thickTop="1">
      <c r="A87" s="1944"/>
      <c r="B87" s="1944"/>
      <c r="C87" s="1944"/>
      <c r="D87" s="1944"/>
      <c r="E87" s="1944"/>
      <c r="F87" s="1944"/>
      <c r="G87" s="1945"/>
      <c r="H87" s="1962"/>
    </row>
    <row r="88" spans="1:8">
      <c r="A88" s="1944"/>
      <c r="B88" s="1944"/>
      <c r="C88" s="1944"/>
      <c r="D88" s="1944"/>
      <c r="E88" s="1944"/>
      <c r="F88" s="1944"/>
      <c r="G88" s="1945"/>
      <c r="H88" s="1962"/>
    </row>
    <row r="89" spans="1:8" ht="25.5">
      <c r="A89" s="3211">
        <v>4</v>
      </c>
      <c r="B89" s="1919" t="s">
        <v>1639</v>
      </c>
      <c r="C89" s="1944"/>
      <c r="D89" s="1944"/>
      <c r="E89" s="1944"/>
      <c r="F89" s="1944"/>
      <c r="G89" s="1945"/>
      <c r="H89" s="1962"/>
    </row>
    <row r="90" spans="1:8">
      <c r="A90" s="3231"/>
    </row>
    <row r="91" spans="1:8" ht="39" thickBot="1">
      <c r="A91" s="3212">
        <v>4.8</v>
      </c>
      <c r="B91" s="3232" t="s">
        <v>2481</v>
      </c>
      <c r="C91" s="3214"/>
      <c r="D91" s="3214"/>
      <c r="E91" s="3214"/>
      <c r="F91" s="3214"/>
      <c r="G91" s="3214"/>
      <c r="H91" s="3214"/>
    </row>
    <row r="92" spans="1:8" ht="14.25" thickTop="1" thickBot="1">
      <c r="A92" s="1925">
        <v>1</v>
      </c>
      <c r="B92" s="3215" t="s">
        <v>2454</v>
      </c>
      <c r="C92" s="1955">
        <v>1</v>
      </c>
      <c r="D92" s="1955">
        <v>2</v>
      </c>
      <c r="E92" s="1956" t="s">
        <v>1</v>
      </c>
      <c r="F92" s="1957">
        <f>PRODUCT(C92:D92)</f>
        <v>2</v>
      </c>
      <c r="G92" s="1955">
        <v>207.07</v>
      </c>
      <c r="H92" s="1958">
        <f>ROUND(F92*G92,2)</f>
        <v>414.14</v>
      </c>
    </row>
    <row r="93" spans="1:8" ht="14.25" thickTop="1" thickBot="1">
      <c r="A93" s="1931">
        <v>2</v>
      </c>
      <c r="B93" s="3215" t="s">
        <v>2455</v>
      </c>
      <c r="C93" s="1955">
        <v>1</v>
      </c>
      <c r="D93" s="1955">
        <v>1</v>
      </c>
      <c r="E93" s="1956" t="s">
        <v>1</v>
      </c>
      <c r="F93" s="1957">
        <f>PRODUCT(C93:D93)</f>
        <v>1</v>
      </c>
      <c r="G93" s="3228">
        <v>172.46</v>
      </c>
      <c r="H93" s="1958">
        <f>ROUND(F93*G93,2)</f>
        <v>172.46</v>
      </c>
    </row>
    <row r="94" spans="1:8" ht="13.5" thickTop="1">
      <c r="A94" s="1925">
        <v>3</v>
      </c>
      <c r="B94" s="1932" t="s">
        <v>2482</v>
      </c>
      <c r="C94" s="1933">
        <v>1</v>
      </c>
      <c r="D94" s="1933">
        <v>1</v>
      </c>
      <c r="E94" s="1959" t="s">
        <v>1</v>
      </c>
      <c r="F94" s="3218">
        <v>1</v>
      </c>
      <c r="G94" s="1933">
        <v>215.19</v>
      </c>
      <c r="H94" s="3219">
        <f>ROUND(F94*G94,2)</f>
        <v>215.19</v>
      </c>
    </row>
    <row r="95" spans="1:8">
      <c r="A95" s="1931">
        <v>4</v>
      </c>
      <c r="B95" s="1932" t="s">
        <v>621</v>
      </c>
      <c r="C95" s="1933">
        <v>5</v>
      </c>
      <c r="D95" s="3216">
        <v>0.01</v>
      </c>
      <c r="E95" s="3217" t="s">
        <v>46</v>
      </c>
      <c r="F95" s="3218">
        <f>PRODUCT(C95:D95)</f>
        <v>0.05</v>
      </c>
      <c r="G95" s="1933">
        <f>SUM(H92:H94)</f>
        <v>801.79</v>
      </c>
      <c r="H95" s="3219">
        <f>ROUND(F95*G95,2)</f>
        <v>40.090000000000003</v>
      </c>
    </row>
    <row r="96" spans="1:8">
      <c r="A96" s="1931">
        <v>5</v>
      </c>
      <c r="B96" s="3220" t="s">
        <v>2451</v>
      </c>
      <c r="C96" s="3221">
        <v>30</v>
      </c>
      <c r="D96" s="3216">
        <v>0.01</v>
      </c>
      <c r="E96" s="3217" t="s">
        <v>46</v>
      </c>
      <c r="F96" s="3218">
        <f>PRODUCT(C96:D96)</f>
        <v>0.3</v>
      </c>
      <c r="G96" s="3221">
        <f>SUM(H92:H95)</f>
        <v>841.88</v>
      </c>
      <c r="H96" s="3219">
        <f>ROUND(F96*G96,2)</f>
        <v>252.56</v>
      </c>
    </row>
    <row r="97" spans="1:8" ht="13.5" thickBot="1">
      <c r="A97" s="3222"/>
      <c r="B97" s="3223"/>
      <c r="C97" s="3223"/>
      <c r="D97" s="3223"/>
      <c r="E97" s="3223"/>
      <c r="F97" s="3223"/>
      <c r="G97" s="3224" t="s">
        <v>2452</v>
      </c>
      <c r="H97" s="3233">
        <f>SUM(H92:H96)</f>
        <v>1094.44</v>
      </c>
    </row>
    <row r="98" spans="1:8" ht="13.5" thickTop="1"/>
    <row r="100" spans="1:8">
      <c r="A100" s="3141">
        <v>6</v>
      </c>
      <c r="B100" s="1948" t="s">
        <v>2725</v>
      </c>
      <c r="C100" s="3226"/>
      <c r="D100" s="1944"/>
      <c r="E100" s="1944"/>
      <c r="F100" s="1944"/>
      <c r="G100" s="1945"/>
      <c r="H100" s="1962"/>
    </row>
    <row r="101" spans="1:8">
      <c r="A101" s="1944"/>
      <c r="B101" s="1944"/>
      <c r="C101" s="1944"/>
      <c r="D101" s="1944"/>
      <c r="E101" s="1944"/>
      <c r="F101" s="1944"/>
      <c r="G101" s="1945"/>
      <c r="H101" s="1962"/>
    </row>
    <row r="102" spans="1:8" ht="39" thickBot="1">
      <c r="A102" s="3212">
        <v>6.1</v>
      </c>
      <c r="B102" s="3234" t="s">
        <v>2453</v>
      </c>
      <c r="C102" s="3214"/>
      <c r="D102" s="3214"/>
      <c r="E102" s="3214"/>
      <c r="F102" s="3214"/>
      <c r="G102" s="3214"/>
      <c r="H102" s="3214"/>
    </row>
    <row r="103" spans="1:8" ht="14.25" thickTop="1" thickBot="1">
      <c r="A103" s="1925">
        <v>1</v>
      </c>
      <c r="B103" s="3215" t="s">
        <v>2726</v>
      </c>
      <c r="C103" s="1955">
        <v>1</v>
      </c>
      <c r="D103" s="1955">
        <v>3</v>
      </c>
      <c r="E103" s="1956" t="s">
        <v>1</v>
      </c>
      <c r="F103" s="1957">
        <f>PRODUCT(C103:D103)</f>
        <v>3</v>
      </c>
      <c r="G103" s="1955">
        <v>663.93</v>
      </c>
      <c r="H103" s="1958">
        <f t="shared" ref="H103:H109" si="3">ROUND(F103*G103,2)</f>
        <v>1991.79</v>
      </c>
    </row>
    <row r="104" spans="1:8" ht="14.25" thickTop="1" thickBot="1">
      <c r="A104" s="1931">
        <v>2</v>
      </c>
      <c r="B104" s="3215" t="s">
        <v>2454</v>
      </c>
      <c r="C104" s="1955">
        <v>1</v>
      </c>
      <c r="D104" s="1955">
        <v>1</v>
      </c>
      <c r="E104" s="1956" t="s">
        <v>1</v>
      </c>
      <c r="F104" s="1957">
        <f>PRODUCT(C104:D104)</f>
        <v>1</v>
      </c>
      <c r="G104" s="1955">
        <v>207.07</v>
      </c>
      <c r="H104" s="1958">
        <f t="shared" si="3"/>
        <v>207.07</v>
      </c>
    </row>
    <row r="105" spans="1:8" ht="14.25" thickTop="1" thickBot="1">
      <c r="A105" s="1931">
        <v>3</v>
      </c>
      <c r="B105" s="1932" t="s">
        <v>2727</v>
      </c>
      <c r="C105" s="1933">
        <v>1</v>
      </c>
      <c r="D105" s="1933">
        <v>1</v>
      </c>
      <c r="E105" s="1959" t="s">
        <v>1</v>
      </c>
      <c r="F105" s="3218">
        <f>PRODUCT(C105:D105)</f>
        <v>1</v>
      </c>
      <c r="G105" s="1955">
        <v>235.75</v>
      </c>
      <c r="H105" s="3219">
        <f t="shared" si="3"/>
        <v>235.75</v>
      </c>
    </row>
    <row r="106" spans="1:8" ht="13.5" thickTop="1">
      <c r="A106" s="1925">
        <v>4</v>
      </c>
      <c r="B106" s="1932" t="s">
        <v>2457</v>
      </c>
      <c r="C106" s="1933">
        <v>1</v>
      </c>
      <c r="D106" s="1933">
        <v>0.5</v>
      </c>
      <c r="E106" s="1959" t="s">
        <v>1</v>
      </c>
      <c r="F106" s="3218">
        <v>1</v>
      </c>
      <c r="G106" s="1933">
        <v>579.77</v>
      </c>
      <c r="H106" s="3219">
        <f t="shared" si="3"/>
        <v>579.77</v>
      </c>
    </row>
    <row r="107" spans="1:8">
      <c r="A107" s="1931">
        <v>5</v>
      </c>
      <c r="B107" s="1932" t="s">
        <v>2458</v>
      </c>
      <c r="C107" s="1933">
        <v>1</v>
      </c>
      <c r="D107" s="1933">
        <v>0.5</v>
      </c>
      <c r="E107" s="1959" t="s">
        <v>1</v>
      </c>
      <c r="F107" s="3218">
        <v>1</v>
      </c>
      <c r="G107" s="1933">
        <v>132.41</v>
      </c>
      <c r="H107" s="3219">
        <f t="shared" si="3"/>
        <v>132.41</v>
      </c>
    </row>
    <row r="108" spans="1:8" ht="13.5" thickBot="1">
      <c r="A108" s="1931">
        <v>6</v>
      </c>
      <c r="B108" s="1932" t="s">
        <v>621</v>
      </c>
      <c r="C108" s="1933">
        <v>5</v>
      </c>
      <c r="D108" s="3216">
        <v>0.01</v>
      </c>
      <c r="E108" s="3217" t="s">
        <v>46</v>
      </c>
      <c r="F108" s="3218">
        <f>PRODUCT(C108:D108)</f>
        <v>0.05</v>
      </c>
      <c r="G108" s="1933">
        <f>SUM(H103:H107)</f>
        <v>3146.79</v>
      </c>
      <c r="H108" s="3219">
        <f t="shared" si="3"/>
        <v>157.34</v>
      </c>
    </row>
    <row r="109" spans="1:8" ht="13.5" thickTop="1">
      <c r="A109" s="1925">
        <v>7</v>
      </c>
      <c r="B109" s="3220" t="s">
        <v>2451</v>
      </c>
      <c r="C109" s="3221">
        <v>30</v>
      </c>
      <c r="D109" s="3216">
        <v>0.01</v>
      </c>
      <c r="E109" s="3217" t="s">
        <v>46</v>
      </c>
      <c r="F109" s="3218">
        <f>PRODUCT(C109:D109)</f>
        <v>0.3</v>
      </c>
      <c r="G109" s="3221">
        <f>SUM(H103:H108)</f>
        <v>3304.13</v>
      </c>
      <c r="H109" s="3219">
        <f t="shared" si="3"/>
        <v>991.24</v>
      </c>
    </row>
    <row r="110" spans="1:8" ht="13.5" thickBot="1">
      <c r="A110" s="3222"/>
      <c r="B110" s="3223"/>
      <c r="C110" s="3223"/>
      <c r="D110" s="3223"/>
      <c r="E110" s="3223"/>
      <c r="F110" s="3223"/>
      <c r="G110" s="3224" t="s">
        <v>2452</v>
      </c>
      <c r="H110" s="3235">
        <f>SUM(H103:H109)</f>
        <v>4295.37</v>
      </c>
    </row>
    <row r="111" spans="1:8" ht="13.5" thickTop="1">
      <c r="A111" s="1920"/>
      <c r="B111" s="1920"/>
      <c r="C111" s="1920"/>
      <c r="D111" s="1920"/>
      <c r="E111" s="1920"/>
      <c r="F111" s="1920"/>
      <c r="G111" s="1920"/>
      <c r="H111" s="1920"/>
    </row>
    <row r="112" spans="1:8" ht="26.25" thickBot="1">
      <c r="A112" s="3212">
        <v>6.2</v>
      </c>
      <c r="B112" s="3234" t="s">
        <v>2728</v>
      </c>
      <c r="C112" s="3214"/>
      <c r="D112" s="3214"/>
      <c r="E112" s="3214"/>
      <c r="F112" s="3214"/>
      <c r="G112" s="3214"/>
      <c r="H112" s="3214"/>
    </row>
    <row r="113" spans="1:8" ht="14.25" thickTop="1" thickBot="1">
      <c r="A113" s="1925">
        <v>1</v>
      </c>
      <c r="B113" s="3215" t="s">
        <v>2726</v>
      </c>
      <c r="C113" s="1955">
        <v>1</v>
      </c>
      <c r="D113" s="1955">
        <v>3</v>
      </c>
      <c r="E113" s="1956" t="s">
        <v>1</v>
      </c>
      <c r="F113" s="1957">
        <f>PRODUCT(C113:D113)</f>
        <v>3</v>
      </c>
      <c r="G113" s="1955">
        <v>663.93</v>
      </c>
      <c r="H113" s="1958">
        <f t="shared" ref="H113:H119" si="4">ROUND(F113*G113,2)</f>
        <v>1991.79</v>
      </c>
    </row>
    <row r="114" spans="1:8" ht="14.25" thickTop="1" thickBot="1">
      <c r="A114" s="1931">
        <v>2</v>
      </c>
      <c r="B114" s="3215" t="s">
        <v>2454</v>
      </c>
      <c r="C114" s="1955">
        <v>1</v>
      </c>
      <c r="D114" s="1955">
        <v>1</v>
      </c>
      <c r="E114" s="1956" t="s">
        <v>1</v>
      </c>
      <c r="F114" s="1957">
        <f>PRODUCT(C114:D114)</f>
        <v>1</v>
      </c>
      <c r="G114" s="1955">
        <v>207.07</v>
      </c>
      <c r="H114" s="1958">
        <f t="shared" si="4"/>
        <v>207.07</v>
      </c>
    </row>
    <row r="115" spans="1:8" ht="14.25" thickTop="1" thickBot="1">
      <c r="A115" s="1931">
        <v>3</v>
      </c>
      <c r="B115" s="1932" t="s">
        <v>2727</v>
      </c>
      <c r="C115" s="1933">
        <v>1</v>
      </c>
      <c r="D115" s="1933">
        <v>1</v>
      </c>
      <c r="E115" s="1959" t="s">
        <v>1</v>
      </c>
      <c r="F115" s="3218">
        <f>PRODUCT(C115:D115)</f>
        <v>1</v>
      </c>
      <c r="G115" s="1955">
        <v>235.75</v>
      </c>
      <c r="H115" s="3219">
        <f t="shared" si="4"/>
        <v>235.75</v>
      </c>
    </row>
    <row r="116" spans="1:8" ht="13.5" thickTop="1">
      <c r="A116" s="1925">
        <v>4</v>
      </c>
      <c r="B116" s="1932" t="s">
        <v>2457</v>
      </c>
      <c r="C116" s="1933">
        <v>1</v>
      </c>
      <c r="D116" s="1933">
        <v>0.5</v>
      </c>
      <c r="E116" s="1959" t="s">
        <v>1</v>
      </c>
      <c r="F116" s="3218">
        <v>1</v>
      </c>
      <c r="G116" s="1933">
        <v>579.77</v>
      </c>
      <c r="H116" s="3219">
        <f t="shared" si="4"/>
        <v>579.77</v>
      </c>
    </row>
    <row r="117" spans="1:8">
      <c r="A117" s="1931">
        <v>5</v>
      </c>
      <c r="B117" s="1932" t="s">
        <v>2458</v>
      </c>
      <c r="C117" s="1933">
        <v>1</v>
      </c>
      <c r="D117" s="1933">
        <v>0.5</v>
      </c>
      <c r="E117" s="1959" t="s">
        <v>1</v>
      </c>
      <c r="F117" s="3218">
        <v>1</v>
      </c>
      <c r="G117" s="1933">
        <v>132.41</v>
      </c>
      <c r="H117" s="3219">
        <f t="shared" si="4"/>
        <v>132.41</v>
      </c>
    </row>
    <row r="118" spans="1:8" ht="13.5" thickBot="1">
      <c r="A118" s="1931">
        <v>6</v>
      </c>
      <c r="B118" s="1932" t="s">
        <v>621</v>
      </c>
      <c r="C118" s="1933">
        <v>5</v>
      </c>
      <c r="D118" s="3216">
        <v>0.01</v>
      </c>
      <c r="E118" s="3217" t="s">
        <v>46</v>
      </c>
      <c r="F118" s="3218">
        <f>PRODUCT(C118:D118)</f>
        <v>0.05</v>
      </c>
      <c r="G118" s="1933">
        <f>SUM(H113:H117)</f>
        <v>3146.79</v>
      </c>
      <c r="H118" s="3219">
        <f t="shared" si="4"/>
        <v>157.34</v>
      </c>
    </row>
    <row r="119" spans="1:8" ht="13.5" thickTop="1">
      <c r="A119" s="1925">
        <v>7</v>
      </c>
      <c r="B119" s="3220" t="s">
        <v>2451</v>
      </c>
      <c r="C119" s="3221">
        <v>30</v>
      </c>
      <c r="D119" s="3216">
        <v>0.01</v>
      </c>
      <c r="E119" s="3217" t="s">
        <v>46</v>
      </c>
      <c r="F119" s="3218">
        <f>PRODUCT(C119:D119)</f>
        <v>0.3</v>
      </c>
      <c r="G119" s="3221">
        <f>SUM(H113:H118)</f>
        <v>3304.13</v>
      </c>
      <c r="H119" s="3219">
        <f t="shared" si="4"/>
        <v>991.24</v>
      </c>
    </row>
    <row r="120" spans="1:8" ht="13.5" thickBot="1">
      <c r="A120" s="3222"/>
      <c r="B120" s="3223"/>
      <c r="C120" s="3223"/>
      <c r="D120" s="3223"/>
      <c r="E120" s="3223"/>
      <c r="F120" s="3223"/>
      <c r="G120" s="3224" t="s">
        <v>2452</v>
      </c>
      <c r="H120" s="3235">
        <f>SUM(H113:H119)</f>
        <v>4295.37</v>
      </c>
    </row>
    <row r="121" spans="1:8" ht="13.5" thickTop="1">
      <c r="A121" s="1944"/>
      <c r="B121" s="1944"/>
      <c r="C121" s="1944"/>
      <c r="D121" s="1944"/>
      <c r="E121" s="1944"/>
      <c r="F121" s="1944"/>
      <c r="G121" s="1945"/>
      <c r="H121" s="1962"/>
    </row>
    <row r="122" spans="1:8" ht="51.75" thickBot="1">
      <c r="A122" s="3212">
        <v>6.3</v>
      </c>
      <c r="B122" s="3234" t="s">
        <v>2729</v>
      </c>
      <c r="C122" s="3214"/>
      <c r="D122" s="3214"/>
      <c r="E122" s="3214"/>
      <c r="F122" s="3214"/>
      <c r="G122" s="3214"/>
      <c r="H122" s="3214"/>
    </row>
    <row r="123" spans="1:8" ht="14.25" thickTop="1" thickBot="1">
      <c r="A123" s="1925">
        <v>1</v>
      </c>
      <c r="B123" s="1932" t="s">
        <v>2730</v>
      </c>
      <c r="C123" s="1933">
        <v>1</v>
      </c>
      <c r="D123" s="1933">
        <v>3</v>
      </c>
      <c r="E123" s="1959" t="s">
        <v>1</v>
      </c>
      <c r="F123" s="3218">
        <f>PRODUCT(C123:D123)</f>
        <v>3</v>
      </c>
      <c r="G123" s="3228">
        <v>487.67</v>
      </c>
      <c r="H123" s="3219">
        <f>ROUND(F123*G123,2)</f>
        <v>1463.01</v>
      </c>
    </row>
    <row r="124" spans="1:8" ht="13.5" thickTop="1">
      <c r="A124" s="1931">
        <v>2</v>
      </c>
      <c r="B124" s="1932" t="s">
        <v>2455</v>
      </c>
      <c r="C124" s="1933">
        <v>1</v>
      </c>
      <c r="D124" s="1933">
        <v>2</v>
      </c>
      <c r="E124" s="1959" t="s">
        <v>1</v>
      </c>
      <c r="F124" s="3218">
        <f>PRODUCT(C124:D124)</f>
        <v>2</v>
      </c>
      <c r="G124" s="3228">
        <v>172.46</v>
      </c>
      <c r="H124" s="3219">
        <f>ROUND(F124*G124,2)</f>
        <v>344.92</v>
      </c>
    </row>
    <row r="125" spans="1:8">
      <c r="A125" s="1931">
        <v>3</v>
      </c>
      <c r="B125" s="1932" t="s">
        <v>2717</v>
      </c>
      <c r="C125" s="1933">
        <v>1</v>
      </c>
      <c r="D125" s="1933">
        <v>1</v>
      </c>
      <c r="E125" s="1959" t="s">
        <v>1</v>
      </c>
      <c r="F125" s="3218">
        <f>PRODUCT(C125:D125)</f>
        <v>1</v>
      </c>
      <c r="G125" s="1933">
        <v>81.069999999999993</v>
      </c>
      <c r="H125" s="3219">
        <f>ROUND(F125*G125,2)</f>
        <v>81.069999999999993</v>
      </c>
    </row>
    <row r="126" spans="1:8">
      <c r="A126" s="1931">
        <v>4</v>
      </c>
      <c r="B126" s="1932" t="s">
        <v>621</v>
      </c>
      <c r="C126" s="1933">
        <v>5</v>
      </c>
      <c r="D126" s="3216">
        <v>0.01</v>
      </c>
      <c r="E126" s="3217" t="s">
        <v>46</v>
      </c>
      <c r="F126" s="3218">
        <f>PRODUCT(C126:D126)</f>
        <v>0.05</v>
      </c>
      <c r="G126" s="1933">
        <f>SUM(H123:H123)</f>
        <v>1463.01</v>
      </c>
      <c r="H126" s="3219">
        <f>ROUND(F126*G126,2)</f>
        <v>73.150000000000006</v>
      </c>
    </row>
    <row r="127" spans="1:8">
      <c r="A127" s="3230">
        <v>5</v>
      </c>
      <c r="B127" s="3220" t="s">
        <v>2451</v>
      </c>
      <c r="C127" s="3221">
        <v>30</v>
      </c>
      <c r="D127" s="3216">
        <v>0.01</v>
      </c>
      <c r="E127" s="3217" t="s">
        <v>46</v>
      </c>
      <c r="F127" s="3218">
        <f>PRODUCT(C127:D127)</f>
        <v>0.3</v>
      </c>
      <c r="G127" s="3221">
        <f>SUM(H123:H126)</f>
        <v>1962.15</v>
      </c>
      <c r="H127" s="3219">
        <f>ROUND(F127*G127,2)</f>
        <v>588.65</v>
      </c>
    </row>
    <row r="128" spans="1:8" ht="13.5" thickBot="1">
      <c r="A128" s="3222"/>
      <c r="B128" s="3223"/>
      <c r="C128" s="3223"/>
      <c r="D128" s="3223"/>
      <c r="E128" s="3223"/>
      <c r="F128" s="3223"/>
      <c r="G128" s="3224" t="s">
        <v>2452</v>
      </c>
      <c r="H128" s="3235">
        <f>SUM(H123:H127)</f>
        <v>2550.8000000000002</v>
      </c>
    </row>
    <row r="129" spans="1:8" ht="13.5" thickTop="1">
      <c r="A129" s="1944"/>
      <c r="B129" s="1944"/>
      <c r="C129" s="1944"/>
      <c r="D129" s="1944"/>
      <c r="E129" s="1944"/>
      <c r="F129" s="1944"/>
      <c r="G129" s="1945"/>
      <c r="H129" s="3236"/>
    </row>
    <row r="130" spans="1:8" ht="39" thickBot="1">
      <c r="A130" s="3212">
        <v>6.4</v>
      </c>
      <c r="B130" s="3234" t="s">
        <v>2731</v>
      </c>
      <c r="C130" s="3214"/>
      <c r="D130" s="3214"/>
      <c r="E130" s="3214"/>
      <c r="F130" s="3214"/>
      <c r="G130" s="3214"/>
      <c r="H130" s="3214"/>
    </row>
    <row r="131" spans="1:8" ht="14.25" thickTop="1" thickBot="1">
      <c r="A131" s="1925">
        <v>1</v>
      </c>
      <c r="B131" s="1932" t="s">
        <v>2730</v>
      </c>
      <c r="C131" s="1933">
        <v>1</v>
      </c>
      <c r="D131" s="1933">
        <v>3</v>
      </c>
      <c r="E131" s="1959" t="s">
        <v>1</v>
      </c>
      <c r="F131" s="3218">
        <f>PRODUCT(C131:D131)</f>
        <v>3</v>
      </c>
      <c r="G131" s="3228">
        <v>487.67</v>
      </c>
      <c r="H131" s="3219">
        <f>ROUND(F131*G131,2)</f>
        <v>1463.01</v>
      </c>
    </row>
    <row r="132" spans="1:8" ht="13.5" thickTop="1">
      <c r="A132" s="1931">
        <v>2</v>
      </c>
      <c r="B132" s="1932" t="s">
        <v>2455</v>
      </c>
      <c r="C132" s="1933">
        <v>1</v>
      </c>
      <c r="D132" s="1933">
        <v>2</v>
      </c>
      <c r="E132" s="1959" t="s">
        <v>1</v>
      </c>
      <c r="F132" s="3218">
        <f>PRODUCT(C132:D132)</f>
        <v>2</v>
      </c>
      <c r="G132" s="3228">
        <v>172.46</v>
      </c>
      <c r="H132" s="3219">
        <f>ROUND(F132*G132,2)</f>
        <v>344.92</v>
      </c>
    </row>
    <row r="133" spans="1:8">
      <c r="A133" s="1931">
        <v>3</v>
      </c>
      <c r="B133" s="1932" t="s">
        <v>2717</v>
      </c>
      <c r="C133" s="1933">
        <v>1</v>
      </c>
      <c r="D133" s="1933">
        <v>1</v>
      </c>
      <c r="E133" s="1959" t="s">
        <v>1</v>
      </c>
      <c r="F133" s="3218">
        <f>PRODUCT(C133:D133)</f>
        <v>1</v>
      </c>
      <c r="G133" s="1933">
        <v>81.069999999999993</v>
      </c>
      <c r="H133" s="3219">
        <f>ROUND(F133*G133,2)</f>
        <v>81.069999999999993</v>
      </c>
    </row>
    <row r="134" spans="1:8">
      <c r="A134" s="1931">
        <v>4</v>
      </c>
      <c r="B134" s="1932" t="s">
        <v>621</v>
      </c>
      <c r="C134" s="1933">
        <v>5</v>
      </c>
      <c r="D134" s="3216">
        <v>0.01</v>
      </c>
      <c r="E134" s="3217" t="s">
        <v>46</v>
      </c>
      <c r="F134" s="3218">
        <f>PRODUCT(C134:D134)</f>
        <v>0.05</v>
      </c>
      <c r="G134" s="1933">
        <f>SUM(H131:H131)</f>
        <v>1463.01</v>
      </c>
      <c r="H134" s="3219">
        <f>ROUND(F134*G134,2)</f>
        <v>73.150000000000006</v>
      </c>
    </row>
    <row r="135" spans="1:8">
      <c r="A135" s="3230">
        <v>5</v>
      </c>
      <c r="B135" s="3220" t="s">
        <v>2451</v>
      </c>
      <c r="C135" s="3221">
        <v>30</v>
      </c>
      <c r="D135" s="3216">
        <v>0.01</v>
      </c>
      <c r="E135" s="3217" t="s">
        <v>46</v>
      </c>
      <c r="F135" s="3218">
        <f>PRODUCT(C135:D135)</f>
        <v>0.3</v>
      </c>
      <c r="G135" s="3221">
        <f>SUM(H131:H134)</f>
        <v>1962.15</v>
      </c>
      <c r="H135" s="3219">
        <f>ROUND(F135*G135,2)</f>
        <v>588.65</v>
      </c>
    </row>
    <row r="136" spans="1:8" ht="13.5" thickBot="1">
      <c r="A136" s="3222"/>
      <c r="B136" s="3223"/>
      <c r="C136" s="3223"/>
      <c r="D136" s="3223"/>
      <c r="E136" s="3223"/>
      <c r="F136" s="3223"/>
      <c r="G136" s="3224" t="s">
        <v>2452</v>
      </c>
      <c r="H136" s="3235">
        <f>SUM(H131:H135)</f>
        <v>2550.8000000000002</v>
      </c>
    </row>
    <row r="137" spans="1:8" ht="13.5" thickTop="1"/>
    <row r="138" spans="1:8" ht="64.5" thickBot="1">
      <c r="A138" s="3212">
        <v>6.5</v>
      </c>
      <c r="B138" s="3237" t="s">
        <v>2732</v>
      </c>
      <c r="C138" s="3214"/>
      <c r="D138" s="3214"/>
      <c r="E138" s="3214"/>
      <c r="F138" s="3214"/>
      <c r="G138" s="3214"/>
      <c r="H138" s="3214"/>
    </row>
    <row r="139" spans="1:8" ht="14.25" thickTop="1" thickBot="1">
      <c r="A139" s="1925">
        <v>1</v>
      </c>
      <c r="B139" s="1932" t="s">
        <v>2730</v>
      </c>
      <c r="C139" s="1933">
        <v>1</v>
      </c>
      <c r="D139" s="1933">
        <v>3</v>
      </c>
      <c r="E139" s="1959" t="s">
        <v>1</v>
      </c>
      <c r="F139" s="3218">
        <f>PRODUCT(C139:D139)</f>
        <v>3</v>
      </c>
      <c r="G139" s="3228">
        <v>487.67</v>
      </c>
      <c r="H139" s="3219">
        <f>ROUND(F139*G139,2)</f>
        <v>1463.01</v>
      </c>
    </row>
    <row r="140" spans="1:8" ht="13.5" thickTop="1">
      <c r="A140" s="1931">
        <v>2</v>
      </c>
      <c r="B140" s="1932" t="s">
        <v>2455</v>
      </c>
      <c r="C140" s="1933">
        <v>1</v>
      </c>
      <c r="D140" s="1933">
        <v>2</v>
      </c>
      <c r="E140" s="1959" t="s">
        <v>1</v>
      </c>
      <c r="F140" s="3218">
        <f>PRODUCT(C140:D140)</f>
        <v>2</v>
      </c>
      <c r="G140" s="3228">
        <v>172.46</v>
      </c>
      <c r="H140" s="3219">
        <f>ROUND(F140*G140,2)</f>
        <v>344.92</v>
      </c>
    </row>
    <row r="141" spans="1:8">
      <c r="A141" s="1931">
        <v>3</v>
      </c>
      <c r="B141" s="1932" t="s">
        <v>2717</v>
      </c>
      <c r="C141" s="1933">
        <v>1</v>
      </c>
      <c r="D141" s="1933">
        <v>1</v>
      </c>
      <c r="E141" s="1959" t="s">
        <v>1</v>
      </c>
      <c r="F141" s="3218">
        <f>PRODUCT(C141:D141)</f>
        <v>1</v>
      </c>
      <c r="G141" s="1933">
        <v>81.069999999999993</v>
      </c>
      <c r="H141" s="3219">
        <f>ROUND(F141*G141,2)</f>
        <v>81.069999999999993</v>
      </c>
    </row>
    <row r="142" spans="1:8">
      <c r="A142" s="1931">
        <v>4</v>
      </c>
      <c r="B142" s="1932" t="s">
        <v>621</v>
      </c>
      <c r="C142" s="1933">
        <v>5</v>
      </c>
      <c r="D142" s="3216">
        <v>0.01</v>
      </c>
      <c r="E142" s="3217" t="s">
        <v>46</v>
      </c>
      <c r="F142" s="3218">
        <f>PRODUCT(C142:D142)</f>
        <v>0.05</v>
      </c>
      <c r="G142" s="1933">
        <f>SUM(H139:H139)</f>
        <v>1463.01</v>
      </c>
      <c r="H142" s="3219">
        <f>ROUND(F142*G142,2)</f>
        <v>73.150000000000006</v>
      </c>
    </row>
    <row r="143" spans="1:8">
      <c r="A143" s="3230">
        <v>5</v>
      </c>
      <c r="B143" s="3220" t="s">
        <v>2451</v>
      </c>
      <c r="C143" s="3221">
        <v>30</v>
      </c>
      <c r="D143" s="3216">
        <v>0.01</v>
      </c>
      <c r="E143" s="3217" t="s">
        <v>46</v>
      </c>
      <c r="F143" s="3218">
        <f>PRODUCT(C143:D143)</f>
        <v>0.3</v>
      </c>
      <c r="G143" s="3221">
        <f>SUM(H139:H142)</f>
        <v>1962.15</v>
      </c>
      <c r="H143" s="3219">
        <f>ROUND(F143*G143,2)</f>
        <v>588.65</v>
      </c>
    </row>
    <row r="144" spans="1:8" ht="13.5" thickBot="1">
      <c r="A144" s="3222"/>
      <c r="B144" s="3223"/>
      <c r="C144" s="3223"/>
      <c r="D144" s="3223"/>
      <c r="E144" s="3223"/>
      <c r="F144" s="3223"/>
      <c r="G144" s="3224" t="s">
        <v>2452</v>
      </c>
      <c r="H144" s="3238">
        <f>SUM(H139:H143)</f>
        <v>2550.8000000000002</v>
      </c>
    </row>
    <row r="145" spans="1:8" ht="13.5" thickTop="1"/>
    <row r="146" spans="1:8" ht="64.5" thickBot="1">
      <c r="A146" s="3212">
        <v>6.6</v>
      </c>
      <c r="B146" s="3239" t="s">
        <v>2733</v>
      </c>
      <c r="C146" s="1920"/>
      <c r="D146" s="1920"/>
      <c r="E146" s="1920"/>
      <c r="F146" s="1920"/>
      <c r="G146" s="1920"/>
      <c r="H146" s="1920"/>
    </row>
    <row r="147" spans="1:8" ht="14.25" thickTop="1" thickBot="1">
      <c r="A147" s="1925">
        <v>1</v>
      </c>
      <c r="B147" s="1932" t="s">
        <v>2463</v>
      </c>
      <c r="C147" s="1933">
        <v>1</v>
      </c>
      <c r="D147" s="1933">
        <v>2</v>
      </c>
      <c r="E147" s="1959" t="s">
        <v>1</v>
      </c>
      <c r="F147" s="3218">
        <f>PRODUCT(C147:D147)</f>
        <v>2</v>
      </c>
      <c r="G147" s="1955">
        <v>72.87</v>
      </c>
      <c r="H147" s="3219">
        <f>ROUND(F147*G147,2)</f>
        <v>145.74</v>
      </c>
    </row>
    <row r="148" spans="1:8" ht="13.5" thickTop="1">
      <c r="A148" s="1931">
        <v>2</v>
      </c>
      <c r="B148" s="1932" t="s">
        <v>2466</v>
      </c>
      <c r="C148" s="1933">
        <v>1</v>
      </c>
      <c r="D148" s="1933">
        <v>2</v>
      </c>
      <c r="E148" s="1959" t="s">
        <v>1</v>
      </c>
      <c r="F148" s="3218">
        <f>PRODUCT(C148:D148)</f>
        <v>2</v>
      </c>
      <c r="G148" s="1955">
        <v>48.8</v>
      </c>
      <c r="H148" s="3219">
        <f>ROUND(F148*G148,2)</f>
        <v>97.6</v>
      </c>
    </row>
    <row r="149" spans="1:8">
      <c r="A149" s="1931">
        <v>3</v>
      </c>
      <c r="B149" s="1932" t="s">
        <v>2464</v>
      </c>
      <c r="C149" s="1933">
        <v>1</v>
      </c>
      <c r="D149" s="1933">
        <v>1</v>
      </c>
      <c r="E149" s="1959" t="s">
        <v>1</v>
      </c>
      <c r="F149" s="3218">
        <f>PRODUCT(C149:D149)</f>
        <v>1</v>
      </c>
      <c r="G149" s="1933">
        <v>49.91</v>
      </c>
      <c r="H149" s="3219">
        <f>ROUND(F149*G149,2)</f>
        <v>49.91</v>
      </c>
    </row>
    <row r="150" spans="1:8">
      <c r="A150" s="1931">
        <v>4</v>
      </c>
      <c r="B150" s="1932" t="s">
        <v>621</v>
      </c>
      <c r="C150" s="1933">
        <v>5</v>
      </c>
      <c r="D150" s="3216">
        <v>0.01</v>
      </c>
      <c r="E150" s="3217" t="s">
        <v>46</v>
      </c>
      <c r="F150" s="3218">
        <f>PRODUCT(C150:D150)</f>
        <v>0.05</v>
      </c>
      <c r="G150" s="1933">
        <f>SUM(H147:H147)</f>
        <v>145.74</v>
      </c>
      <c r="H150" s="3219">
        <f>ROUND(F150*G150,2)</f>
        <v>7.29</v>
      </c>
    </row>
    <row r="151" spans="1:8">
      <c r="A151" s="3230">
        <v>5</v>
      </c>
      <c r="B151" s="3220" t="s">
        <v>2451</v>
      </c>
      <c r="C151" s="3221">
        <v>30</v>
      </c>
      <c r="D151" s="3216">
        <v>0.01</v>
      </c>
      <c r="E151" s="3217" t="s">
        <v>46</v>
      </c>
      <c r="F151" s="3218">
        <f>PRODUCT(C151:D151)</f>
        <v>0.3</v>
      </c>
      <c r="G151" s="3221">
        <f>SUM(H147:H150)</f>
        <v>300.54000000000002</v>
      </c>
      <c r="H151" s="3219">
        <f>ROUND(F151*G151,2)</f>
        <v>90.16</v>
      </c>
    </row>
    <row r="152" spans="1:8" ht="13.5" thickBot="1">
      <c r="A152" s="3222"/>
      <c r="B152" s="3223"/>
      <c r="C152" s="3223"/>
      <c r="D152" s="3223"/>
      <c r="E152" s="3223"/>
      <c r="F152" s="3223"/>
      <c r="G152" s="3224" t="s">
        <v>2452</v>
      </c>
      <c r="H152" s="3240">
        <f>SUM(H147:H151)</f>
        <v>390.7</v>
      </c>
    </row>
    <row r="153"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290"/>
  <sheetViews>
    <sheetView workbookViewId="0"/>
  </sheetViews>
  <sheetFormatPr baseColWidth="10" defaultColWidth="11.42578125" defaultRowHeight="12.75"/>
  <cols>
    <col min="1" max="1" width="51.855468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c r="A2" s="1968"/>
      <c r="B2" s="1969"/>
      <c r="C2" s="1969"/>
      <c r="D2" s="1969"/>
      <c r="E2" s="1969"/>
    </row>
    <row r="3" spans="1:5">
      <c r="A3" s="3175" t="s">
        <v>2637</v>
      </c>
      <c r="B3" s="3176"/>
      <c r="C3" s="3176"/>
      <c r="D3" s="3176"/>
      <c r="E3" s="3176"/>
    </row>
    <row r="4" spans="1:5">
      <c r="A4" s="1974" t="s">
        <v>2483</v>
      </c>
      <c r="B4" s="1975">
        <v>2</v>
      </c>
      <c r="C4" s="1997" t="s">
        <v>3</v>
      </c>
      <c r="D4" s="1984">
        <v>170.32</v>
      </c>
      <c r="E4" s="1978">
        <f t="shared" ref="E4:E11" si="0">ROUND(B4*D4,2)</f>
        <v>340.64</v>
      </c>
    </row>
    <row r="5" spans="1:5" ht="25.5">
      <c r="A5" s="1979" t="s">
        <v>2638</v>
      </c>
      <c r="B5" s="1975">
        <v>1</v>
      </c>
      <c r="C5" s="1997" t="s">
        <v>3</v>
      </c>
      <c r="D5" s="1984">
        <v>216.55</v>
      </c>
      <c r="E5" s="1978">
        <f t="shared" si="0"/>
        <v>216.55</v>
      </c>
    </row>
    <row r="6" spans="1:5">
      <c r="A6" s="1980" t="s">
        <v>2639</v>
      </c>
      <c r="B6" s="1975">
        <v>1</v>
      </c>
      <c r="C6" s="1997" t="s">
        <v>3</v>
      </c>
      <c r="D6" s="1987">
        <v>689.04</v>
      </c>
      <c r="E6" s="1978">
        <f t="shared" si="0"/>
        <v>689.04</v>
      </c>
    </row>
    <row r="7" spans="1:5">
      <c r="A7" s="1982" t="s">
        <v>2486</v>
      </c>
      <c r="B7" s="1983">
        <v>4</v>
      </c>
      <c r="C7" s="1997" t="s">
        <v>3</v>
      </c>
      <c r="D7" s="1984">
        <v>227.36</v>
      </c>
      <c r="E7" s="1985">
        <f t="shared" si="0"/>
        <v>909.44</v>
      </c>
    </row>
    <row r="8" spans="1:5">
      <c r="A8" s="1980" t="s">
        <v>2640</v>
      </c>
      <c r="B8" s="1975">
        <v>1</v>
      </c>
      <c r="C8" s="1997" t="s">
        <v>3</v>
      </c>
      <c r="D8" s="1984">
        <v>464.5</v>
      </c>
      <c r="E8" s="1978">
        <f t="shared" si="0"/>
        <v>464.5</v>
      </c>
    </row>
    <row r="9" spans="1:5">
      <c r="A9" s="1980" t="s">
        <v>2641</v>
      </c>
      <c r="B9" s="1975">
        <v>1</v>
      </c>
      <c r="C9" s="1997" t="s">
        <v>3</v>
      </c>
      <c r="D9" s="1984">
        <v>271.56</v>
      </c>
      <c r="E9" s="1978">
        <f t="shared" si="0"/>
        <v>271.56</v>
      </c>
    </row>
    <row r="10" spans="1:5">
      <c r="A10" s="1980" t="s">
        <v>2489</v>
      </c>
      <c r="B10" s="1983">
        <v>3</v>
      </c>
      <c r="C10" s="1997" t="s">
        <v>3</v>
      </c>
      <c r="D10" s="1987">
        <v>69.3</v>
      </c>
      <c r="E10" s="1978">
        <f t="shared" si="0"/>
        <v>207.9</v>
      </c>
    </row>
    <row r="11" spans="1:5">
      <c r="A11" s="1980" t="s">
        <v>2490</v>
      </c>
      <c r="B11" s="1983">
        <v>3</v>
      </c>
      <c r="C11" s="1997" t="s">
        <v>3</v>
      </c>
      <c r="D11" s="1987">
        <v>10.28</v>
      </c>
      <c r="E11" s="1978">
        <f t="shared" si="0"/>
        <v>30.84</v>
      </c>
    </row>
    <row r="12" spans="1:5">
      <c r="A12" s="1980" t="s">
        <v>33</v>
      </c>
      <c r="B12" s="2009">
        <v>0.05</v>
      </c>
      <c r="C12" s="1976" t="s">
        <v>46</v>
      </c>
      <c r="D12" s="1977">
        <f>E4+E5+E6+E7+E8+E9+E10+E11</f>
        <v>3130.47</v>
      </c>
      <c r="E12" s="1978">
        <f>B12*D12</f>
        <v>156.52000000000001</v>
      </c>
    </row>
    <row r="13" spans="1:5">
      <c r="A13" s="3177"/>
      <c r="B13" s="3177"/>
      <c r="C13" s="4897" t="s">
        <v>2491</v>
      </c>
      <c r="D13" s="4897"/>
      <c r="E13" s="3178">
        <f>SUM(E4:E12)</f>
        <v>3286.99</v>
      </c>
    </row>
    <row r="14" spans="1:5">
      <c r="A14" s="1968"/>
      <c r="B14" s="1969"/>
      <c r="C14" s="1969"/>
      <c r="D14" s="1969"/>
      <c r="E14" s="1969"/>
    </row>
    <row r="15" spans="1:5">
      <c r="A15" s="3175" t="s">
        <v>2642</v>
      </c>
      <c r="B15" s="2016"/>
      <c r="C15" s="2016"/>
      <c r="D15" s="2016"/>
      <c r="E15" s="2016"/>
    </row>
    <row r="16" spans="1:5">
      <c r="A16" s="1974" t="s">
        <v>2483</v>
      </c>
      <c r="B16" s="2006">
        <v>2</v>
      </c>
      <c r="C16" s="1976" t="s">
        <v>3</v>
      </c>
      <c r="D16" s="1984">
        <v>170.32</v>
      </c>
      <c r="E16" s="1978">
        <f t="shared" ref="E16:E24" si="1">ROUND(B16*D16,2)</f>
        <v>340.64</v>
      </c>
    </row>
    <row r="17" spans="1:5" ht="25.5">
      <c r="A17" s="1979" t="s">
        <v>2638</v>
      </c>
      <c r="B17" s="2006">
        <v>1</v>
      </c>
      <c r="C17" s="1976" t="s">
        <v>3</v>
      </c>
      <c r="D17" s="1984">
        <v>216.55</v>
      </c>
      <c r="E17" s="1978">
        <f t="shared" si="1"/>
        <v>216.55</v>
      </c>
    </row>
    <row r="18" spans="1:5" ht="25.5">
      <c r="A18" s="1979" t="s">
        <v>2484</v>
      </c>
      <c r="B18" s="2006">
        <v>1</v>
      </c>
      <c r="C18" s="1976" t="s">
        <v>3</v>
      </c>
      <c r="D18" s="1984">
        <v>236.64</v>
      </c>
      <c r="E18" s="1978">
        <f t="shared" si="1"/>
        <v>236.64</v>
      </c>
    </row>
    <row r="19" spans="1:5">
      <c r="A19" s="1980" t="s">
        <v>2643</v>
      </c>
      <c r="B19" s="2006">
        <v>1</v>
      </c>
      <c r="C19" s="1976" t="s">
        <v>3</v>
      </c>
      <c r="D19" s="1987">
        <v>689.04</v>
      </c>
      <c r="E19" s="1978">
        <f t="shared" si="1"/>
        <v>689.04</v>
      </c>
    </row>
    <row r="20" spans="1:5">
      <c r="A20" s="1982" t="s">
        <v>2486</v>
      </c>
      <c r="B20" s="2008">
        <v>2</v>
      </c>
      <c r="C20" s="1976" t="s">
        <v>3</v>
      </c>
      <c r="D20" s="1984">
        <v>108.34</v>
      </c>
      <c r="E20" s="1985">
        <f t="shared" si="1"/>
        <v>216.68</v>
      </c>
    </row>
    <row r="21" spans="1:5">
      <c r="A21" s="1980" t="s">
        <v>2487</v>
      </c>
      <c r="B21" s="2006">
        <v>2</v>
      </c>
      <c r="C21" s="1976" t="s">
        <v>3</v>
      </c>
      <c r="D21" s="3179">
        <v>541.72</v>
      </c>
      <c r="E21" s="1978">
        <f t="shared" si="1"/>
        <v>1083.44</v>
      </c>
    </row>
    <row r="22" spans="1:5">
      <c r="A22" s="1980" t="s">
        <v>2488</v>
      </c>
      <c r="B22" s="2006">
        <v>1</v>
      </c>
      <c r="C22" s="1976" t="s">
        <v>3</v>
      </c>
      <c r="D22" s="1984">
        <v>271.56</v>
      </c>
      <c r="E22" s="1978">
        <f t="shared" si="1"/>
        <v>271.56</v>
      </c>
    </row>
    <row r="23" spans="1:5">
      <c r="A23" s="1980" t="s">
        <v>2489</v>
      </c>
      <c r="B23" s="2008">
        <v>4</v>
      </c>
      <c r="C23" s="1976" t="s">
        <v>3</v>
      </c>
      <c r="D23" s="1987">
        <v>69.3</v>
      </c>
      <c r="E23" s="1978">
        <f t="shared" si="1"/>
        <v>277.2</v>
      </c>
    </row>
    <row r="24" spans="1:5">
      <c r="A24" s="1980" t="s">
        <v>2490</v>
      </c>
      <c r="B24" s="2008">
        <v>2</v>
      </c>
      <c r="C24" s="1976" t="s">
        <v>3</v>
      </c>
      <c r="D24" s="1987">
        <v>10.28</v>
      </c>
      <c r="E24" s="1978">
        <f t="shared" si="1"/>
        <v>20.56</v>
      </c>
    </row>
    <row r="25" spans="1:5">
      <c r="A25" s="1980" t="s">
        <v>33</v>
      </c>
      <c r="B25" s="2009">
        <v>0.05</v>
      </c>
      <c r="C25" s="1976" t="s">
        <v>46</v>
      </c>
      <c r="D25" s="1984">
        <f>E16+E17+E18+E19+E20+E21+E22+E23+E24</f>
        <v>3352.31</v>
      </c>
      <c r="E25" s="1978">
        <f>B25*D25</f>
        <v>167.62</v>
      </c>
    </row>
    <row r="26" spans="1:5">
      <c r="A26" s="3177"/>
      <c r="B26" s="3177"/>
      <c r="C26" s="4897" t="s">
        <v>2491</v>
      </c>
      <c r="D26" s="4897"/>
      <c r="E26" s="3178">
        <f>SUM(E16:E25)</f>
        <v>3519.93</v>
      </c>
    </row>
    <row r="27" spans="1:5">
      <c r="A27" s="3180"/>
      <c r="B27" s="2022"/>
      <c r="C27" s="1976"/>
      <c r="D27" s="1977"/>
      <c r="E27" s="3181"/>
    </row>
    <row r="28" spans="1:5">
      <c r="A28" s="3175" t="s">
        <v>2644</v>
      </c>
      <c r="B28" s="2016"/>
      <c r="C28" s="2016"/>
      <c r="D28" s="2016"/>
      <c r="E28" s="2016"/>
    </row>
    <row r="29" spans="1:5">
      <c r="A29" s="1974" t="s">
        <v>2483</v>
      </c>
      <c r="B29" s="1975">
        <v>4</v>
      </c>
      <c r="C29" s="1997" t="s">
        <v>3</v>
      </c>
      <c r="D29" s="1984">
        <v>170.32</v>
      </c>
      <c r="E29" s="1978">
        <f t="shared" ref="E29:E36" si="2">ROUND(B29*D29,2)</f>
        <v>681.28</v>
      </c>
    </row>
    <row r="30" spans="1:5" ht="25.5">
      <c r="A30" s="1979" t="s">
        <v>2484</v>
      </c>
      <c r="B30" s="1975">
        <v>2</v>
      </c>
      <c r="C30" s="1997" t="s">
        <v>3</v>
      </c>
      <c r="D30" s="1984">
        <v>236.64</v>
      </c>
      <c r="E30" s="1978">
        <f t="shared" si="2"/>
        <v>473.28</v>
      </c>
    </row>
    <row r="31" spans="1:5">
      <c r="A31" s="1980" t="s">
        <v>2485</v>
      </c>
      <c r="B31" s="1975">
        <v>1</v>
      </c>
      <c r="C31" s="1997" t="s">
        <v>3</v>
      </c>
      <c r="D31" s="1987">
        <v>689.04</v>
      </c>
      <c r="E31" s="1978">
        <f t="shared" si="2"/>
        <v>689.04</v>
      </c>
    </row>
    <row r="32" spans="1:5">
      <c r="A32" s="1982" t="s">
        <v>2486</v>
      </c>
      <c r="B32" s="1983">
        <v>6</v>
      </c>
      <c r="C32" s="1997" t="s">
        <v>3</v>
      </c>
      <c r="D32" s="1984">
        <v>98.6</v>
      </c>
      <c r="E32" s="1985">
        <f t="shared" si="2"/>
        <v>591.6</v>
      </c>
    </row>
    <row r="33" spans="1:5">
      <c r="A33" s="1980" t="s">
        <v>2487</v>
      </c>
      <c r="B33" s="1975">
        <v>4</v>
      </c>
      <c r="C33" s="1997" t="s">
        <v>3</v>
      </c>
      <c r="D33" s="1984">
        <v>541.72</v>
      </c>
      <c r="E33" s="1978">
        <f t="shared" si="2"/>
        <v>2166.88</v>
      </c>
    </row>
    <row r="34" spans="1:5">
      <c r="A34" s="1980" t="s">
        <v>2488</v>
      </c>
      <c r="B34" s="1975">
        <v>2</v>
      </c>
      <c r="C34" s="1997" t="s">
        <v>3</v>
      </c>
      <c r="D34" s="1984">
        <v>271.56</v>
      </c>
      <c r="E34" s="1978">
        <f t="shared" si="2"/>
        <v>543.12</v>
      </c>
    </row>
    <row r="35" spans="1:5">
      <c r="A35" s="1980" t="s">
        <v>2489</v>
      </c>
      <c r="B35" s="1983">
        <v>8</v>
      </c>
      <c r="C35" s="1997" t="s">
        <v>3</v>
      </c>
      <c r="D35" s="1987">
        <v>69.3</v>
      </c>
      <c r="E35" s="1978">
        <f t="shared" si="2"/>
        <v>554.4</v>
      </c>
    </row>
    <row r="36" spans="1:5">
      <c r="A36" s="1980" t="s">
        <v>2490</v>
      </c>
      <c r="B36" s="1983">
        <v>12</v>
      </c>
      <c r="C36" s="1997" t="s">
        <v>3</v>
      </c>
      <c r="D36" s="1987">
        <v>10.28</v>
      </c>
      <c r="E36" s="1978">
        <f t="shared" si="2"/>
        <v>123.36</v>
      </c>
    </row>
    <row r="37" spans="1:5">
      <c r="A37" s="1980" t="s">
        <v>33</v>
      </c>
      <c r="B37" s="2009">
        <v>0.05</v>
      </c>
      <c r="C37" s="1997" t="s">
        <v>46</v>
      </c>
      <c r="D37" s="1984">
        <f>E29+E30+E31+E32+E33+E34+E35+E36</f>
        <v>5822.96</v>
      </c>
      <c r="E37" s="1978">
        <f>B37*D37</f>
        <v>291.14999999999998</v>
      </c>
    </row>
    <row r="38" spans="1:5">
      <c r="A38" s="3177"/>
      <c r="B38" s="3177"/>
      <c r="C38" s="4898" t="s">
        <v>2491</v>
      </c>
      <c r="D38" s="4898"/>
      <c r="E38" s="3178">
        <f>SUM(E29:E37)</f>
        <v>6114.11</v>
      </c>
    </row>
    <row r="39" spans="1:5">
      <c r="A39" s="1968"/>
      <c r="B39" s="1969"/>
      <c r="C39" s="2010"/>
      <c r="D39" s="2010"/>
      <c r="E39" s="1969"/>
    </row>
    <row r="40" spans="1:5">
      <c r="A40" s="3182" t="s">
        <v>1314</v>
      </c>
      <c r="B40" s="1973"/>
      <c r="C40" s="3183"/>
      <c r="D40" s="3183"/>
      <c r="E40" s="1973"/>
    </row>
    <row r="41" spans="1:5">
      <c r="A41" s="1974" t="s">
        <v>2483</v>
      </c>
      <c r="B41" s="1975">
        <v>2</v>
      </c>
      <c r="C41" s="1997" t="s">
        <v>3</v>
      </c>
      <c r="D41" s="1984">
        <v>170.32</v>
      </c>
      <c r="E41" s="1978">
        <f t="shared" ref="E41:E48" si="3">ROUND(B41*D41,2)</f>
        <v>340.64</v>
      </c>
    </row>
    <row r="42" spans="1:5" ht="25.5">
      <c r="A42" s="1979" t="s">
        <v>2484</v>
      </c>
      <c r="B42" s="1975">
        <v>1</v>
      </c>
      <c r="C42" s="1997" t="s">
        <v>3</v>
      </c>
      <c r="D42" s="1984">
        <v>236.64</v>
      </c>
      <c r="E42" s="1978">
        <f t="shared" si="3"/>
        <v>236.64</v>
      </c>
    </row>
    <row r="43" spans="1:5">
      <c r="A43" s="1980" t="s">
        <v>2485</v>
      </c>
      <c r="B43" s="1975">
        <v>2</v>
      </c>
      <c r="C43" s="1997" t="s">
        <v>3</v>
      </c>
      <c r="D43" s="1987">
        <v>689.04</v>
      </c>
      <c r="E43" s="1978">
        <f t="shared" si="3"/>
        <v>1378.08</v>
      </c>
    </row>
    <row r="44" spans="1:5">
      <c r="A44" s="1982" t="s">
        <v>2486</v>
      </c>
      <c r="B44" s="1983">
        <v>3</v>
      </c>
      <c r="C44" s="1997" t="s">
        <v>3</v>
      </c>
      <c r="D44" s="1984">
        <v>108.34</v>
      </c>
      <c r="E44" s="1985">
        <f t="shared" si="3"/>
        <v>325.02</v>
      </c>
    </row>
    <row r="45" spans="1:5">
      <c r="A45" s="1980" t="s">
        <v>2487</v>
      </c>
      <c r="B45" s="1975">
        <v>2</v>
      </c>
      <c r="C45" s="1997" t="s">
        <v>3</v>
      </c>
      <c r="D45" s="1984">
        <v>541.72</v>
      </c>
      <c r="E45" s="1978">
        <f t="shared" si="3"/>
        <v>1083.44</v>
      </c>
    </row>
    <row r="46" spans="1:5">
      <c r="A46" s="1980" t="s">
        <v>2488</v>
      </c>
      <c r="B46" s="1975">
        <v>1</v>
      </c>
      <c r="C46" s="1976" t="s">
        <v>3</v>
      </c>
      <c r="D46" s="1984">
        <v>271.56</v>
      </c>
      <c r="E46" s="1978">
        <f t="shared" si="3"/>
        <v>271.56</v>
      </c>
    </row>
    <row r="47" spans="1:5">
      <c r="A47" s="1980" t="s">
        <v>2489</v>
      </c>
      <c r="B47" s="1983">
        <v>4</v>
      </c>
      <c r="C47" s="1976" t="s">
        <v>3</v>
      </c>
      <c r="D47" s="2020">
        <v>69.3</v>
      </c>
      <c r="E47" s="1978">
        <f t="shared" si="3"/>
        <v>277.2</v>
      </c>
    </row>
    <row r="48" spans="1:5">
      <c r="A48" s="1980" t="s">
        <v>2490</v>
      </c>
      <c r="B48" s="1983">
        <v>6</v>
      </c>
      <c r="C48" s="1976" t="s">
        <v>3</v>
      </c>
      <c r="D48" s="1987">
        <v>10.28</v>
      </c>
      <c r="E48" s="1978">
        <f t="shared" si="3"/>
        <v>61.68</v>
      </c>
    </row>
    <row r="49" spans="1:5">
      <c r="A49" s="1980" t="s">
        <v>33</v>
      </c>
      <c r="B49" s="1988">
        <v>0.05</v>
      </c>
      <c r="C49" s="1976" t="s">
        <v>46</v>
      </c>
      <c r="D49" s="1977">
        <f>E41+E42+E43+E44+E45+E46+E47+E48</f>
        <v>3974.26</v>
      </c>
      <c r="E49" s="1978">
        <f>B49*D49</f>
        <v>198.71</v>
      </c>
    </row>
    <row r="50" spans="1:5">
      <c r="A50" s="3177"/>
      <c r="B50" s="3177"/>
      <c r="C50" s="4897" t="s">
        <v>2491</v>
      </c>
      <c r="D50" s="4897"/>
      <c r="E50" s="3178">
        <f>SUM(E41:E49)</f>
        <v>4172.97</v>
      </c>
    </row>
    <row r="51" spans="1:5">
      <c r="A51" s="1968"/>
      <c r="B51" s="1969"/>
      <c r="C51" s="1969"/>
      <c r="D51" s="1969"/>
      <c r="E51" s="1969"/>
    </row>
    <row r="52" spans="1:5">
      <c r="A52" s="2019" t="s">
        <v>2645</v>
      </c>
      <c r="B52" s="1969"/>
      <c r="C52" s="1969"/>
      <c r="D52" s="1969"/>
      <c r="E52" s="1969"/>
    </row>
    <row r="53" spans="1:5">
      <c r="A53" s="1992" t="s">
        <v>2646</v>
      </c>
      <c r="B53" s="1993">
        <v>1</v>
      </c>
      <c r="C53" s="1994" t="s">
        <v>3</v>
      </c>
      <c r="D53" s="1995">
        <v>2875.45</v>
      </c>
      <c r="E53" s="1996">
        <f t="shared" ref="E53:E62" si="4">ROUND(B53*D53,2)</f>
        <v>2875.45</v>
      </c>
    </row>
    <row r="54" spans="1:5">
      <c r="A54" s="1980" t="s">
        <v>2647</v>
      </c>
      <c r="B54" s="1975">
        <v>2</v>
      </c>
      <c r="C54" s="1997" t="s">
        <v>3</v>
      </c>
      <c r="D54" s="1984">
        <v>284.69</v>
      </c>
      <c r="E54" s="1998">
        <f t="shared" si="4"/>
        <v>569.38</v>
      </c>
    </row>
    <row r="55" spans="1:5">
      <c r="A55" s="1974" t="s">
        <v>2483</v>
      </c>
      <c r="B55" s="1975">
        <v>2</v>
      </c>
      <c r="C55" s="1997" t="s">
        <v>3</v>
      </c>
      <c r="D55" s="1984">
        <v>196.34</v>
      </c>
      <c r="E55" s="1998">
        <f t="shared" si="4"/>
        <v>392.68</v>
      </c>
    </row>
    <row r="56" spans="1:5">
      <c r="A56" s="1980" t="s">
        <v>2648</v>
      </c>
      <c r="B56" s="1975">
        <v>2</v>
      </c>
      <c r="C56" s="1997" t="s">
        <v>3</v>
      </c>
      <c r="D56" s="1984">
        <v>48.2</v>
      </c>
      <c r="E56" s="1998">
        <f t="shared" si="4"/>
        <v>96.4</v>
      </c>
    </row>
    <row r="57" spans="1:5">
      <c r="A57" s="1980" t="s">
        <v>2649</v>
      </c>
      <c r="B57" s="1975">
        <v>3</v>
      </c>
      <c r="C57" s="1997" t="s">
        <v>3</v>
      </c>
      <c r="D57" s="1984">
        <v>684.22</v>
      </c>
      <c r="E57" s="1998">
        <f t="shared" si="4"/>
        <v>2052.66</v>
      </c>
    </row>
    <row r="58" spans="1:5">
      <c r="A58" s="1980" t="s">
        <v>2650</v>
      </c>
      <c r="B58" s="1975">
        <v>2</v>
      </c>
      <c r="C58" s="1997" t="s">
        <v>3</v>
      </c>
      <c r="D58" s="1987">
        <v>368.97</v>
      </c>
      <c r="E58" s="1998">
        <f t="shared" si="4"/>
        <v>737.94</v>
      </c>
    </row>
    <row r="59" spans="1:5">
      <c r="A59" s="1980" t="s">
        <v>3529</v>
      </c>
      <c r="B59" s="1975">
        <v>1</v>
      </c>
      <c r="C59" s="1997" t="s">
        <v>3</v>
      </c>
      <c r="D59" s="1984">
        <v>582.36</v>
      </c>
      <c r="E59" s="1998">
        <f t="shared" si="4"/>
        <v>582.36</v>
      </c>
    </row>
    <row r="60" spans="1:5">
      <c r="A60" s="1982" t="s">
        <v>2651</v>
      </c>
      <c r="B60" s="1983">
        <v>1</v>
      </c>
      <c r="C60" s="1997" t="s">
        <v>3</v>
      </c>
      <c r="D60" s="1987">
        <v>341.1</v>
      </c>
      <c r="E60" s="1985">
        <f t="shared" si="4"/>
        <v>341.1</v>
      </c>
    </row>
    <row r="61" spans="1:5">
      <c r="A61" s="1980" t="s">
        <v>2652</v>
      </c>
      <c r="B61" s="1983">
        <v>1</v>
      </c>
      <c r="C61" s="1997" t="s">
        <v>3</v>
      </c>
      <c r="D61" s="1987">
        <v>298.12</v>
      </c>
      <c r="E61" s="1998">
        <f t="shared" si="4"/>
        <v>298.12</v>
      </c>
    </row>
    <row r="62" spans="1:5">
      <c r="A62" s="1980" t="s">
        <v>2508</v>
      </c>
      <c r="B62" s="1983">
        <v>4</v>
      </c>
      <c r="C62" s="1997" t="s">
        <v>3</v>
      </c>
      <c r="D62" s="1984">
        <v>49.66</v>
      </c>
      <c r="E62" s="1998">
        <f t="shared" si="4"/>
        <v>198.64</v>
      </c>
    </row>
    <row r="63" spans="1:5">
      <c r="A63" s="1980" t="s">
        <v>33</v>
      </c>
      <c r="B63" s="1988">
        <v>0.05</v>
      </c>
      <c r="C63" s="1997" t="s">
        <v>46</v>
      </c>
      <c r="D63" s="1984">
        <f>E53+E54+E55+E56+E57+E58+E59+E60+E61+E62</f>
        <v>8144.73</v>
      </c>
      <c r="E63" s="1998">
        <f>B63*D63</f>
        <v>407.24</v>
      </c>
    </row>
    <row r="64" spans="1:5">
      <c r="A64" s="3177"/>
      <c r="B64" s="3177"/>
      <c r="C64" s="4897" t="s">
        <v>2653</v>
      </c>
      <c r="D64" s="4897"/>
      <c r="E64" s="3178">
        <f>SUM(E53:E63)</f>
        <v>8551.9699999999993</v>
      </c>
    </row>
    <row r="65" spans="1:5">
      <c r="A65" s="1968"/>
      <c r="B65" s="1969"/>
      <c r="C65" s="1969"/>
      <c r="D65" s="1969"/>
      <c r="E65" s="1969"/>
    </row>
    <row r="66" spans="1:5">
      <c r="A66" s="2019" t="s">
        <v>2654</v>
      </c>
      <c r="B66" s="1969"/>
      <c r="C66" s="1969"/>
      <c r="D66" s="1969"/>
      <c r="E66" s="1969"/>
    </row>
    <row r="67" spans="1:5">
      <c r="A67" s="1992" t="s">
        <v>2646</v>
      </c>
      <c r="B67" s="1993">
        <v>2</v>
      </c>
      <c r="C67" s="1994" t="s">
        <v>3</v>
      </c>
      <c r="D67" s="1995">
        <v>2875.45</v>
      </c>
      <c r="E67" s="1996">
        <f>ROUND(B67*D67,2)</f>
        <v>5750.9</v>
      </c>
    </row>
    <row r="68" spans="1:5">
      <c r="A68" s="1980" t="s">
        <v>2647</v>
      </c>
      <c r="B68" s="1975">
        <v>4</v>
      </c>
      <c r="C68" s="1997" t="s">
        <v>3</v>
      </c>
      <c r="D68" s="1984">
        <v>284.69</v>
      </c>
      <c r="E68" s="1998">
        <f>ROUND(B68*D68,2)</f>
        <v>1138.76</v>
      </c>
    </row>
    <row r="69" spans="1:5">
      <c r="A69" s="1974" t="s">
        <v>2496</v>
      </c>
      <c r="B69" s="1975">
        <v>2</v>
      </c>
      <c r="C69" s="1997" t="s">
        <v>3</v>
      </c>
      <c r="D69" s="1984">
        <v>214.5</v>
      </c>
      <c r="E69" s="1998">
        <f>ROUND(B69*D69,2)</f>
        <v>429</v>
      </c>
    </row>
    <row r="70" spans="1:5">
      <c r="A70" s="1974" t="s">
        <v>2655</v>
      </c>
      <c r="B70" s="1975">
        <v>4</v>
      </c>
      <c r="C70" s="1997" t="s">
        <v>3</v>
      </c>
      <c r="D70" s="1984">
        <v>258.37</v>
      </c>
      <c r="E70" s="1998">
        <f>ROUND(B70*D70,2)</f>
        <v>1033.48</v>
      </c>
    </row>
    <row r="71" spans="1:5">
      <c r="A71" s="1980" t="s">
        <v>2648</v>
      </c>
      <c r="B71" s="1975">
        <v>4</v>
      </c>
      <c r="C71" s="1997" t="s">
        <v>3</v>
      </c>
      <c r="D71" s="1984">
        <v>48.2</v>
      </c>
      <c r="E71" s="1998">
        <f t="shared" ref="E71:E78" si="5">ROUND(B71*D71,2)</f>
        <v>192.8</v>
      </c>
    </row>
    <row r="72" spans="1:5">
      <c r="A72" s="1980" t="s">
        <v>2649</v>
      </c>
      <c r="B72" s="1975">
        <v>6</v>
      </c>
      <c r="C72" s="1997" t="s">
        <v>3</v>
      </c>
      <c r="D72" s="1984">
        <v>684.22</v>
      </c>
      <c r="E72" s="1998">
        <f t="shared" si="5"/>
        <v>4105.32</v>
      </c>
    </row>
    <row r="73" spans="1:5">
      <c r="A73" s="1980" t="s">
        <v>2650</v>
      </c>
      <c r="B73" s="1975">
        <v>4</v>
      </c>
      <c r="C73" s="1997" t="s">
        <v>3</v>
      </c>
      <c r="D73" s="1987">
        <v>368.97</v>
      </c>
      <c r="E73" s="1998">
        <f t="shared" si="5"/>
        <v>1475.88</v>
      </c>
    </row>
    <row r="74" spans="1:5">
      <c r="A74" s="1980" t="s">
        <v>3529</v>
      </c>
      <c r="B74" s="1975">
        <v>2</v>
      </c>
      <c r="C74" s="1997" t="s">
        <v>3</v>
      </c>
      <c r="D74" s="1984">
        <v>582.36</v>
      </c>
      <c r="E74" s="1998">
        <f t="shared" si="5"/>
        <v>1164.72</v>
      </c>
    </row>
    <row r="75" spans="1:5">
      <c r="A75" s="1982" t="s">
        <v>2651</v>
      </c>
      <c r="B75" s="1983">
        <v>1</v>
      </c>
      <c r="C75" s="1997" t="s">
        <v>3</v>
      </c>
      <c r="D75" s="1987">
        <v>341.1</v>
      </c>
      <c r="E75" s="1985">
        <f t="shared" si="5"/>
        <v>341.1</v>
      </c>
    </row>
    <row r="76" spans="1:5">
      <c r="A76" s="1980" t="s">
        <v>2652</v>
      </c>
      <c r="B76" s="1983">
        <v>1</v>
      </c>
      <c r="C76" s="1997" t="s">
        <v>3</v>
      </c>
      <c r="D76" s="1987">
        <v>298.12</v>
      </c>
      <c r="E76" s="1998">
        <f t="shared" si="5"/>
        <v>298.12</v>
      </c>
    </row>
    <row r="77" spans="1:5">
      <c r="A77" s="1980" t="s">
        <v>2508</v>
      </c>
      <c r="B77" s="1983">
        <v>12</v>
      </c>
      <c r="C77" s="1997" t="s">
        <v>3</v>
      </c>
      <c r="D77" s="1984">
        <v>49.66</v>
      </c>
      <c r="E77" s="1998">
        <f t="shared" si="5"/>
        <v>595.91999999999996</v>
      </c>
    </row>
    <row r="78" spans="1:5">
      <c r="A78" s="1974" t="s">
        <v>2656</v>
      </c>
      <c r="B78" s="1975">
        <v>8</v>
      </c>
      <c r="C78" s="1997" t="s">
        <v>3</v>
      </c>
      <c r="D78" s="1987">
        <v>10.58</v>
      </c>
      <c r="E78" s="1998">
        <f t="shared" si="5"/>
        <v>84.64</v>
      </c>
    </row>
    <row r="79" spans="1:5">
      <c r="A79" s="1980" t="s">
        <v>33</v>
      </c>
      <c r="B79" s="1988">
        <v>0.05</v>
      </c>
      <c r="C79" s="1997" t="s">
        <v>46</v>
      </c>
      <c r="D79" s="1984">
        <f>E67+E68+E69+E70+E71+E72+E73+E74+E75+E76+E77+E78</f>
        <v>16610.64</v>
      </c>
      <c r="E79" s="1998">
        <f>B79*D79</f>
        <v>830.53</v>
      </c>
    </row>
    <row r="80" spans="1:5">
      <c r="A80" s="3177"/>
      <c r="B80" s="3177"/>
      <c r="C80" s="4897" t="s">
        <v>2502</v>
      </c>
      <c r="D80" s="4897"/>
      <c r="E80" s="3178">
        <f>SUM(E67:E79)</f>
        <v>17441.169999999998</v>
      </c>
    </row>
    <row r="81" spans="1:5">
      <c r="A81" s="1968"/>
      <c r="B81" s="1969"/>
      <c r="C81" s="1969"/>
      <c r="D81" s="1969"/>
      <c r="E81" s="1969"/>
    </row>
    <row r="82" spans="1:5">
      <c r="A82" s="2019" t="s">
        <v>2657</v>
      </c>
      <c r="B82" s="1969"/>
      <c r="C82" s="1969"/>
      <c r="D82" s="1969"/>
      <c r="E82" s="1969"/>
    </row>
    <row r="83" spans="1:5">
      <c r="A83" s="2000" t="s">
        <v>2646</v>
      </c>
      <c r="B83" s="2001">
        <v>4</v>
      </c>
      <c r="C83" s="2002" t="s">
        <v>3</v>
      </c>
      <c r="D83" s="1995">
        <v>2875.45</v>
      </c>
      <c r="E83" s="2004">
        <f t="shared" ref="E83:E94" si="6">ROUND(B83*D83,2)</f>
        <v>11501.8</v>
      </c>
    </row>
    <row r="84" spans="1:5">
      <c r="A84" s="2005" t="s">
        <v>2647</v>
      </c>
      <c r="B84" s="2006">
        <v>8</v>
      </c>
      <c r="C84" s="1997" t="s">
        <v>3</v>
      </c>
      <c r="D84" s="1984">
        <v>284.69</v>
      </c>
      <c r="E84" s="1978">
        <f t="shared" si="6"/>
        <v>2277.52</v>
      </c>
    </row>
    <row r="85" spans="1:5">
      <c r="A85" s="2007" t="s">
        <v>2496</v>
      </c>
      <c r="B85" s="2006">
        <v>4</v>
      </c>
      <c r="C85" s="1997" t="s">
        <v>3</v>
      </c>
      <c r="D85" s="1984">
        <v>214.5</v>
      </c>
      <c r="E85" s="1978">
        <f t="shared" si="6"/>
        <v>858</v>
      </c>
    </row>
    <row r="86" spans="1:5">
      <c r="A86" s="2007" t="s">
        <v>2655</v>
      </c>
      <c r="B86" s="2006">
        <v>8</v>
      </c>
      <c r="C86" s="1997" t="s">
        <v>3</v>
      </c>
      <c r="D86" s="1984">
        <v>258.37</v>
      </c>
      <c r="E86" s="1978">
        <f t="shared" si="6"/>
        <v>2066.96</v>
      </c>
    </row>
    <row r="87" spans="1:5">
      <c r="A87" s="2005" t="s">
        <v>2648</v>
      </c>
      <c r="B87" s="2006">
        <v>8</v>
      </c>
      <c r="C87" s="1997" t="s">
        <v>3</v>
      </c>
      <c r="D87" s="1984">
        <v>48.2</v>
      </c>
      <c r="E87" s="1978">
        <f t="shared" si="6"/>
        <v>385.6</v>
      </c>
    </row>
    <row r="88" spans="1:5">
      <c r="A88" s="2005" t="s">
        <v>2649</v>
      </c>
      <c r="B88" s="2006">
        <v>4</v>
      </c>
      <c r="C88" s="1997" t="s">
        <v>3</v>
      </c>
      <c r="D88" s="1984">
        <v>684.22</v>
      </c>
      <c r="E88" s="1978">
        <f t="shared" si="6"/>
        <v>2736.88</v>
      </c>
    </row>
    <row r="89" spans="1:5">
      <c r="A89" s="2005" t="s">
        <v>2650</v>
      </c>
      <c r="B89" s="2006">
        <v>4</v>
      </c>
      <c r="C89" s="1997" t="s">
        <v>3</v>
      </c>
      <c r="D89" s="1987">
        <v>323.64</v>
      </c>
      <c r="E89" s="1978">
        <f t="shared" si="6"/>
        <v>1294.56</v>
      </c>
    </row>
    <row r="90" spans="1:5">
      <c r="A90" s="2005" t="s">
        <v>2508</v>
      </c>
      <c r="B90" s="1983">
        <v>20</v>
      </c>
      <c r="C90" s="1997" t="s">
        <v>3</v>
      </c>
      <c r="D90" s="1984">
        <v>49.66</v>
      </c>
      <c r="E90" s="1978">
        <f t="shared" si="6"/>
        <v>993.2</v>
      </c>
    </row>
    <row r="91" spans="1:5">
      <c r="A91" s="2007" t="s">
        <v>2656</v>
      </c>
      <c r="B91" s="2006">
        <v>16</v>
      </c>
      <c r="C91" s="1997" t="s">
        <v>3</v>
      </c>
      <c r="D91" s="1987">
        <v>10.58</v>
      </c>
      <c r="E91" s="1978">
        <f t="shared" si="6"/>
        <v>169.28</v>
      </c>
    </row>
    <row r="92" spans="1:5">
      <c r="A92" s="2005" t="s">
        <v>2652</v>
      </c>
      <c r="B92" s="1983">
        <v>14</v>
      </c>
      <c r="C92" s="1997" t="s">
        <v>3</v>
      </c>
      <c r="D92" s="1987">
        <v>298.12</v>
      </c>
      <c r="E92" s="1978">
        <f t="shared" si="6"/>
        <v>4173.68</v>
      </c>
    </row>
    <row r="93" spans="1:5">
      <c r="A93" s="2005" t="s">
        <v>2658</v>
      </c>
      <c r="B93" s="2006">
        <v>8</v>
      </c>
      <c r="C93" s="1997" t="s">
        <v>3</v>
      </c>
      <c r="D93" s="1984">
        <v>108.34</v>
      </c>
      <c r="E93" s="1978">
        <f t="shared" si="6"/>
        <v>866.72</v>
      </c>
    </row>
    <row r="94" spans="1:5">
      <c r="A94" s="2005" t="s">
        <v>2659</v>
      </c>
      <c r="B94" s="2006">
        <v>8</v>
      </c>
      <c r="C94" s="1997" t="s">
        <v>3</v>
      </c>
      <c r="D94" s="1987">
        <v>690.57</v>
      </c>
      <c r="E94" s="1978">
        <f t="shared" si="6"/>
        <v>5524.56</v>
      </c>
    </row>
    <row r="95" spans="1:5">
      <c r="A95" s="2005" t="s">
        <v>33</v>
      </c>
      <c r="B95" s="1988">
        <v>0.05</v>
      </c>
      <c r="C95" s="1997" t="s">
        <v>46</v>
      </c>
      <c r="D95" s="1984">
        <f>E83+E84+E85+E86+E87+E88+E89+E90+E91+E92+E93+E94</f>
        <v>32848.76</v>
      </c>
      <c r="E95" s="1978">
        <f>B95*D95</f>
        <v>1642.44</v>
      </c>
    </row>
    <row r="96" spans="1:5">
      <c r="A96" s="3177"/>
      <c r="B96" s="3177"/>
      <c r="C96" s="4897" t="s">
        <v>2491</v>
      </c>
      <c r="D96" s="4897"/>
      <c r="E96" s="3178">
        <f>SUM(E83:E95)</f>
        <v>34491.199999999997</v>
      </c>
    </row>
    <row r="97" spans="1:5">
      <c r="A97" s="1968"/>
      <c r="B97" s="1969"/>
      <c r="C97" s="1969"/>
      <c r="D97" s="1969"/>
      <c r="E97" s="1969"/>
    </row>
    <row r="98" spans="1:5">
      <c r="A98" s="2019" t="s">
        <v>2660</v>
      </c>
      <c r="B98" s="1969"/>
      <c r="C98" s="1969"/>
      <c r="D98" s="1969"/>
      <c r="E98" s="1969"/>
    </row>
    <row r="99" spans="1:5">
      <c r="A99" s="1992" t="s">
        <v>2646</v>
      </c>
      <c r="B99" s="1993">
        <v>2</v>
      </c>
      <c r="C99" s="1994" t="s">
        <v>3</v>
      </c>
      <c r="D99" s="1995">
        <v>2875.45</v>
      </c>
      <c r="E99" s="1996">
        <f>ROUND(B99*D99,2)</f>
        <v>5750.9</v>
      </c>
    </row>
    <row r="100" spans="1:5">
      <c r="A100" s="1980" t="s">
        <v>2647</v>
      </c>
      <c r="B100" s="1975">
        <v>4</v>
      </c>
      <c r="C100" s="1997" t="s">
        <v>3</v>
      </c>
      <c r="D100" s="1984">
        <v>284.69</v>
      </c>
      <c r="E100" s="1998">
        <f>ROUND(B100*D100,2)</f>
        <v>1138.76</v>
      </c>
    </row>
    <row r="101" spans="1:5">
      <c r="A101" s="1974" t="s">
        <v>2496</v>
      </c>
      <c r="B101" s="1975">
        <v>2</v>
      </c>
      <c r="C101" s="1997" t="s">
        <v>3</v>
      </c>
      <c r="D101" s="1984">
        <v>214.5</v>
      </c>
      <c r="E101" s="1998">
        <f>ROUND(B101*D101,2)</f>
        <v>429</v>
      </c>
    </row>
    <row r="102" spans="1:5">
      <c r="A102" s="1974" t="s">
        <v>2655</v>
      </c>
      <c r="B102" s="1975">
        <v>4</v>
      </c>
      <c r="C102" s="1997" t="s">
        <v>3</v>
      </c>
      <c r="D102" s="1984">
        <v>258.37</v>
      </c>
      <c r="E102" s="1998">
        <f>ROUND(B102*D102,2)</f>
        <v>1033.48</v>
      </c>
    </row>
    <row r="103" spans="1:5">
      <c r="A103" s="1980" t="s">
        <v>2648</v>
      </c>
      <c r="B103" s="1975">
        <v>4</v>
      </c>
      <c r="C103" s="1997" t="s">
        <v>3</v>
      </c>
      <c r="D103" s="1984">
        <v>48.2</v>
      </c>
      <c r="E103" s="1998">
        <f t="shared" ref="E103:E108" si="7">ROUND(B103*D103,2)</f>
        <v>192.8</v>
      </c>
    </row>
    <row r="104" spans="1:5">
      <c r="A104" s="1980" t="s">
        <v>2661</v>
      </c>
      <c r="B104" s="1975">
        <v>7</v>
      </c>
      <c r="C104" s="1997" t="s">
        <v>3</v>
      </c>
      <c r="D104" s="1987">
        <v>594.79999999999995</v>
      </c>
      <c r="E104" s="1998">
        <f t="shared" si="7"/>
        <v>4163.6000000000004</v>
      </c>
    </row>
    <row r="105" spans="1:5">
      <c r="A105" s="1980" t="s">
        <v>2662</v>
      </c>
      <c r="B105" s="1975">
        <v>4</v>
      </c>
      <c r="C105" s="1997" t="s">
        <v>3</v>
      </c>
      <c r="D105" s="1987">
        <v>690.57</v>
      </c>
      <c r="E105" s="1998">
        <f t="shared" si="7"/>
        <v>2762.28</v>
      </c>
    </row>
    <row r="106" spans="1:5">
      <c r="A106" s="1982" t="s">
        <v>2663</v>
      </c>
      <c r="B106" s="1983">
        <v>4</v>
      </c>
      <c r="C106" s="1997" t="s">
        <v>3</v>
      </c>
      <c r="D106" s="1984">
        <v>227.36</v>
      </c>
      <c r="E106" s="1985">
        <f t="shared" si="7"/>
        <v>909.44</v>
      </c>
    </row>
    <row r="107" spans="1:5">
      <c r="A107" s="1980" t="s">
        <v>2508</v>
      </c>
      <c r="B107" s="1983">
        <v>8</v>
      </c>
      <c r="C107" s="1997" t="s">
        <v>3</v>
      </c>
      <c r="D107" s="1984">
        <v>49.66</v>
      </c>
      <c r="E107" s="1998">
        <f t="shared" si="7"/>
        <v>397.28</v>
      </c>
    </row>
    <row r="108" spans="1:5">
      <c r="A108" s="1974" t="s">
        <v>2656</v>
      </c>
      <c r="B108" s="1975">
        <v>8</v>
      </c>
      <c r="C108" s="1997" t="s">
        <v>3</v>
      </c>
      <c r="D108" s="1984">
        <v>18.670000000000002</v>
      </c>
      <c r="E108" s="1998">
        <f t="shared" si="7"/>
        <v>149.36000000000001</v>
      </c>
    </row>
    <row r="109" spans="1:5">
      <c r="A109" s="1980" t="s">
        <v>33</v>
      </c>
      <c r="B109" s="1988">
        <v>0.05</v>
      </c>
      <c r="C109" s="1997" t="s">
        <v>46</v>
      </c>
      <c r="D109" s="1984">
        <f>E99+E100+E101+E102+E103+E104+E105+E106+E107+E108</f>
        <v>16926.900000000001</v>
      </c>
      <c r="E109" s="1998">
        <f>B109*D109</f>
        <v>846.35</v>
      </c>
    </row>
    <row r="110" spans="1:5">
      <c r="A110" s="3177"/>
      <c r="B110" s="3177"/>
      <c r="C110" s="4897" t="s">
        <v>2653</v>
      </c>
      <c r="D110" s="4897"/>
      <c r="E110" s="3178">
        <f>SUM(E99:E109)</f>
        <v>17773.25</v>
      </c>
    </row>
    <row r="111" spans="1:5">
      <c r="A111" s="1968"/>
      <c r="B111" s="1969"/>
      <c r="C111" s="1969"/>
      <c r="D111" s="1969"/>
      <c r="E111" s="1969"/>
    </row>
    <row r="112" spans="1:5">
      <c r="A112" s="2019" t="s">
        <v>2664</v>
      </c>
      <c r="B112" s="1969"/>
      <c r="C112" s="1969"/>
      <c r="D112" s="1969"/>
      <c r="E112" s="1969"/>
    </row>
    <row r="113" spans="1:5">
      <c r="A113" s="1992" t="s">
        <v>2646</v>
      </c>
      <c r="B113" s="1993">
        <v>2</v>
      </c>
      <c r="C113" s="1994" t="s">
        <v>3</v>
      </c>
      <c r="D113" s="1995">
        <v>2875.45</v>
      </c>
      <c r="E113" s="1996">
        <f>ROUND(B113*D113,2)</f>
        <v>5750.9</v>
      </c>
    </row>
    <row r="114" spans="1:5">
      <c r="A114" s="1980" t="s">
        <v>2647</v>
      </c>
      <c r="B114" s="1975">
        <v>4</v>
      </c>
      <c r="C114" s="1997" t="s">
        <v>3</v>
      </c>
      <c r="D114" s="1984">
        <v>284.69</v>
      </c>
      <c r="E114" s="1998">
        <f>ROUND(B114*D114,2)</f>
        <v>1138.76</v>
      </c>
    </row>
    <row r="115" spans="1:5">
      <c r="A115" s="1974" t="s">
        <v>2496</v>
      </c>
      <c r="B115" s="1975">
        <v>2</v>
      </c>
      <c r="C115" s="1997" t="s">
        <v>3</v>
      </c>
      <c r="D115" s="1984">
        <v>214.5</v>
      </c>
      <c r="E115" s="1998">
        <f>ROUND(B115*D115,2)</f>
        <v>429</v>
      </c>
    </row>
    <row r="116" spans="1:5">
      <c r="A116" s="1974" t="s">
        <v>2655</v>
      </c>
      <c r="B116" s="1975">
        <v>4</v>
      </c>
      <c r="C116" s="1997" t="s">
        <v>3</v>
      </c>
      <c r="D116" s="1984">
        <v>258.37</v>
      </c>
      <c r="E116" s="1998">
        <f>ROUND(B116*D116,2)</f>
        <v>1033.48</v>
      </c>
    </row>
    <row r="117" spans="1:5">
      <c r="A117" s="1980" t="s">
        <v>2648</v>
      </c>
      <c r="B117" s="1975">
        <v>4</v>
      </c>
      <c r="C117" s="1997" t="s">
        <v>3</v>
      </c>
      <c r="D117" s="1984">
        <v>48.2</v>
      </c>
      <c r="E117" s="1998">
        <f t="shared" ref="E117:E125" si="8">ROUND(B117*D117,2)</f>
        <v>192.8</v>
      </c>
    </row>
    <row r="118" spans="1:5">
      <c r="A118" s="1980" t="s">
        <v>2649</v>
      </c>
      <c r="B118" s="1975">
        <v>3</v>
      </c>
      <c r="C118" s="1997" t="s">
        <v>3</v>
      </c>
      <c r="D118" s="1984">
        <v>684.22</v>
      </c>
      <c r="E118" s="1998">
        <f t="shared" si="8"/>
        <v>2052.66</v>
      </c>
    </row>
    <row r="119" spans="1:5">
      <c r="A119" s="1980" t="s">
        <v>2650</v>
      </c>
      <c r="B119" s="1975">
        <v>2</v>
      </c>
      <c r="C119" s="1997" t="s">
        <v>3</v>
      </c>
      <c r="D119" s="1987">
        <v>368.97</v>
      </c>
      <c r="E119" s="1998">
        <f t="shared" si="8"/>
        <v>737.94</v>
      </c>
    </row>
    <row r="120" spans="1:5">
      <c r="A120" s="1980" t="s">
        <v>3529</v>
      </c>
      <c r="B120" s="1975">
        <v>1</v>
      </c>
      <c r="C120" s="1997" t="s">
        <v>3</v>
      </c>
      <c r="D120" s="1984">
        <v>582.36</v>
      </c>
      <c r="E120" s="1998">
        <f t="shared" si="8"/>
        <v>582.36</v>
      </c>
    </row>
    <row r="121" spans="1:5">
      <c r="A121" s="1980" t="s">
        <v>2661</v>
      </c>
      <c r="B121" s="1983">
        <v>14</v>
      </c>
      <c r="C121" s="1997" t="s">
        <v>3</v>
      </c>
      <c r="D121" s="1987">
        <v>594.79999999999995</v>
      </c>
      <c r="E121" s="1998">
        <f t="shared" si="8"/>
        <v>8327.2000000000007</v>
      </c>
    </row>
    <row r="122" spans="1:5">
      <c r="A122" s="1982" t="s">
        <v>2663</v>
      </c>
      <c r="B122" s="1983">
        <v>8</v>
      </c>
      <c r="C122" s="1997" t="s">
        <v>3</v>
      </c>
      <c r="D122" s="1984">
        <v>108.34</v>
      </c>
      <c r="E122" s="1985">
        <f t="shared" si="8"/>
        <v>866.72</v>
      </c>
    </row>
    <row r="123" spans="1:5">
      <c r="A123" s="1980" t="s">
        <v>2508</v>
      </c>
      <c r="B123" s="1983">
        <v>8</v>
      </c>
      <c r="C123" s="1997" t="s">
        <v>3</v>
      </c>
      <c r="D123" s="1984">
        <v>49.66</v>
      </c>
      <c r="E123" s="1998">
        <f t="shared" si="8"/>
        <v>397.28</v>
      </c>
    </row>
    <row r="124" spans="1:5">
      <c r="A124" s="1974" t="s">
        <v>2656</v>
      </c>
      <c r="B124" s="1975">
        <v>8</v>
      </c>
      <c r="C124" s="1997" t="s">
        <v>3</v>
      </c>
      <c r="D124" s="1987">
        <v>10.58</v>
      </c>
      <c r="E124" s="1998">
        <f t="shared" si="8"/>
        <v>84.64</v>
      </c>
    </row>
    <row r="125" spans="1:5">
      <c r="A125" s="1980" t="s">
        <v>2662</v>
      </c>
      <c r="B125" s="1975">
        <v>8</v>
      </c>
      <c r="C125" s="1997" t="s">
        <v>3</v>
      </c>
      <c r="D125" s="1987">
        <v>690.57</v>
      </c>
      <c r="E125" s="1998">
        <f t="shared" si="8"/>
        <v>5524.56</v>
      </c>
    </row>
    <row r="126" spans="1:5">
      <c r="A126" s="1980" t="s">
        <v>33</v>
      </c>
      <c r="B126" s="1988">
        <v>0.05</v>
      </c>
      <c r="C126" s="1997" t="s">
        <v>46</v>
      </c>
      <c r="D126" s="1984">
        <f>E113+E114+E115+E116+E117+E118+E119+E120+E121+E122+E123+E124+E125</f>
        <v>27118.3</v>
      </c>
      <c r="E126" s="1998">
        <f>B126*D126</f>
        <v>1355.92</v>
      </c>
    </row>
    <row r="127" spans="1:5">
      <c r="A127" s="3177"/>
      <c r="B127" s="3177"/>
      <c r="C127" s="4897" t="s">
        <v>2665</v>
      </c>
      <c r="D127" s="4897"/>
      <c r="E127" s="3178">
        <f>SUM(E113:E126)</f>
        <v>28474.22</v>
      </c>
    </row>
    <row r="128" spans="1:5">
      <c r="A128" s="1968"/>
      <c r="B128" s="1969"/>
      <c r="C128" s="1969"/>
      <c r="D128" s="1969"/>
      <c r="E128" s="1969"/>
    </row>
    <row r="129" spans="1:5">
      <c r="A129" s="2019" t="s">
        <v>2666</v>
      </c>
      <c r="B129" s="1969"/>
      <c r="C129" s="1969"/>
      <c r="D129" s="1969"/>
      <c r="E129" s="1969"/>
    </row>
    <row r="130" spans="1:5">
      <c r="A130" s="1974" t="s">
        <v>2667</v>
      </c>
      <c r="B130" s="1975">
        <v>2</v>
      </c>
      <c r="C130" s="1997" t="s">
        <v>3</v>
      </c>
      <c r="D130" s="1987">
        <v>58.12</v>
      </c>
      <c r="E130" s="1998">
        <f t="shared" ref="E130:E140" si="9">ROUND(B130*D130,2)</f>
        <v>116.24</v>
      </c>
    </row>
    <row r="131" spans="1:5">
      <c r="A131" s="1974" t="s">
        <v>2668</v>
      </c>
      <c r="B131" s="1975">
        <v>1</v>
      </c>
      <c r="C131" s="1997" t="s">
        <v>3</v>
      </c>
      <c r="D131" s="1987">
        <v>182.65</v>
      </c>
      <c r="E131" s="1998">
        <f t="shared" si="9"/>
        <v>182.65</v>
      </c>
    </row>
    <row r="132" spans="1:5">
      <c r="A132" s="1974" t="s">
        <v>2669</v>
      </c>
      <c r="B132" s="1975">
        <v>2</v>
      </c>
      <c r="C132" s="1997" t="s">
        <v>3</v>
      </c>
      <c r="D132" s="1987">
        <v>168.54</v>
      </c>
      <c r="E132" s="1998">
        <f t="shared" si="9"/>
        <v>337.08</v>
      </c>
    </row>
    <row r="133" spans="1:5">
      <c r="A133" s="1974" t="s">
        <v>2670</v>
      </c>
      <c r="B133" s="1975">
        <v>3</v>
      </c>
      <c r="C133" s="1997" t="s">
        <v>3</v>
      </c>
      <c r="D133" s="1987">
        <v>63.58</v>
      </c>
      <c r="E133" s="1998">
        <f t="shared" si="9"/>
        <v>190.74</v>
      </c>
    </row>
    <row r="134" spans="1:5">
      <c r="A134" s="1980" t="s">
        <v>2647</v>
      </c>
      <c r="B134" s="1975">
        <v>2</v>
      </c>
      <c r="C134" s="1997" t="s">
        <v>3</v>
      </c>
      <c r="D134" s="1984">
        <v>284.69</v>
      </c>
      <c r="E134" s="1998">
        <f>ROUND(B134*D134,2)</f>
        <v>569.38</v>
      </c>
    </row>
    <row r="135" spans="1:5">
      <c r="A135" s="1992" t="s">
        <v>2646</v>
      </c>
      <c r="B135" s="1993">
        <v>1</v>
      </c>
      <c r="C135" s="1994" t="s">
        <v>3</v>
      </c>
      <c r="D135" s="1995">
        <v>2875.45</v>
      </c>
      <c r="E135" s="1996">
        <f>ROUND(B135*D135,2)</f>
        <v>2875.45</v>
      </c>
    </row>
    <row r="136" spans="1:5">
      <c r="A136" s="1980" t="s">
        <v>2671</v>
      </c>
      <c r="B136" s="1983">
        <v>1</v>
      </c>
      <c r="C136" s="1997" t="s">
        <v>3</v>
      </c>
      <c r="D136" s="1987">
        <v>49.66</v>
      </c>
      <c r="E136" s="1998">
        <f t="shared" si="9"/>
        <v>49.66</v>
      </c>
    </row>
    <row r="137" spans="1:5">
      <c r="A137" s="1980" t="s">
        <v>2489</v>
      </c>
      <c r="B137" s="1983">
        <v>2</v>
      </c>
      <c r="C137" s="1997" t="s">
        <v>3</v>
      </c>
      <c r="D137" s="1984">
        <v>69.3</v>
      </c>
      <c r="E137" s="1998">
        <f t="shared" si="9"/>
        <v>138.6</v>
      </c>
    </row>
    <row r="138" spans="1:5">
      <c r="A138" s="1980" t="s">
        <v>2672</v>
      </c>
      <c r="B138" s="1983">
        <v>2</v>
      </c>
      <c r="C138" s="1997" t="s">
        <v>3</v>
      </c>
      <c r="D138" s="1987">
        <v>9.42</v>
      </c>
      <c r="E138" s="1998">
        <f t="shared" si="9"/>
        <v>18.84</v>
      </c>
    </row>
    <row r="139" spans="1:5">
      <c r="A139" s="1980" t="s">
        <v>2673</v>
      </c>
      <c r="B139" s="1983">
        <v>4</v>
      </c>
      <c r="C139" s="1997" t="s">
        <v>3</v>
      </c>
      <c r="D139" s="1987">
        <v>10</v>
      </c>
      <c r="E139" s="1998">
        <f t="shared" si="9"/>
        <v>40</v>
      </c>
    </row>
    <row r="140" spans="1:5">
      <c r="A140" s="1980" t="s">
        <v>2674</v>
      </c>
      <c r="B140" s="1983">
        <v>1</v>
      </c>
      <c r="C140" s="1997" t="s">
        <v>3</v>
      </c>
      <c r="D140" s="1987">
        <v>10.28</v>
      </c>
      <c r="E140" s="1998">
        <f t="shared" si="9"/>
        <v>10.28</v>
      </c>
    </row>
    <row r="141" spans="1:5">
      <c r="A141" s="3184" t="s">
        <v>2675</v>
      </c>
      <c r="B141" s="3185">
        <v>3</v>
      </c>
      <c r="C141" s="3186" t="s">
        <v>1691</v>
      </c>
      <c r="D141" s="3187">
        <v>3227.3</v>
      </c>
      <c r="E141" s="3188">
        <f t="shared" ref="E141:E146" si="10">+B141*D141</f>
        <v>9681.9</v>
      </c>
    </row>
    <row r="142" spans="1:5">
      <c r="A142" s="3184" t="s">
        <v>2676</v>
      </c>
      <c r="B142" s="3185">
        <v>3</v>
      </c>
      <c r="C142" s="3186" t="s">
        <v>1691</v>
      </c>
      <c r="D142" s="3187">
        <v>6814.58</v>
      </c>
      <c r="E142" s="3188">
        <f t="shared" si="10"/>
        <v>20443.740000000002</v>
      </c>
    </row>
    <row r="143" spans="1:5">
      <c r="A143" s="3184" t="s">
        <v>2677</v>
      </c>
      <c r="B143" s="3185">
        <v>3</v>
      </c>
      <c r="C143" s="3186" t="s">
        <v>1691</v>
      </c>
      <c r="D143" s="3189">
        <v>1105.6600000000001</v>
      </c>
      <c r="E143" s="3188">
        <f t="shared" si="10"/>
        <v>3316.98</v>
      </c>
    </row>
    <row r="144" spans="1:5">
      <c r="A144" s="3190" t="s">
        <v>2678</v>
      </c>
      <c r="B144" s="3185">
        <v>3</v>
      </c>
      <c r="C144" s="3186" t="s">
        <v>1691</v>
      </c>
      <c r="D144" s="3189">
        <v>58742.76</v>
      </c>
      <c r="E144" s="3188">
        <f t="shared" si="10"/>
        <v>176228.28</v>
      </c>
    </row>
    <row r="145" spans="1:5">
      <c r="A145" s="3184" t="s">
        <v>2679</v>
      </c>
      <c r="B145" s="3185">
        <v>1</v>
      </c>
      <c r="C145" s="3186" t="s">
        <v>1691</v>
      </c>
      <c r="D145" s="3189">
        <v>6071.1</v>
      </c>
      <c r="E145" s="3188">
        <f t="shared" si="10"/>
        <v>6071.1</v>
      </c>
    </row>
    <row r="146" spans="1:5" ht="25.5">
      <c r="A146" s="3191" t="s">
        <v>2680</v>
      </c>
      <c r="B146" s="3185">
        <v>4</v>
      </c>
      <c r="C146" s="3186" t="s">
        <v>1691</v>
      </c>
      <c r="D146" s="3189">
        <v>145</v>
      </c>
      <c r="E146" s="3188">
        <f t="shared" si="10"/>
        <v>580</v>
      </c>
    </row>
    <row r="147" spans="1:5">
      <c r="A147" s="3192" t="s">
        <v>2500</v>
      </c>
      <c r="B147" s="1983">
        <v>2</v>
      </c>
      <c r="C147" s="1997" t="s">
        <v>3</v>
      </c>
      <c r="D147" s="1987">
        <v>168.74</v>
      </c>
      <c r="E147" s="1985">
        <f>ROUND(B147*D147,2)</f>
        <v>337.48</v>
      </c>
    </row>
    <row r="148" spans="1:5">
      <c r="A148" s="3184" t="s">
        <v>2681</v>
      </c>
      <c r="B148" s="3185">
        <v>3</v>
      </c>
      <c r="C148" s="3186" t="s">
        <v>1691</v>
      </c>
      <c r="D148" s="3189">
        <v>700</v>
      </c>
      <c r="E148" s="3188">
        <f>+B148*D148</f>
        <v>2100</v>
      </c>
    </row>
    <row r="149" spans="1:5">
      <c r="A149" s="3192" t="s">
        <v>2682</v>
      </c>
      <c r="B149" s="1983">
        <v>1</v>
      </c>
      <c r="C149" s="1997" t="s">
        <v>3</v>
      </c>
      <c r="D149" s="1987">
        <v>98.25</v>
      </c>
      <c r="E149" s="1985">
        <f>ROUND(B149*D149,2)</f>
        <v>98.25</v>
      </c>
    </row>
    <row r="150" spans="1:5">
      <c r="A150" s="3184" t="s">
        <v>2683</v>
      </c>
      <c r="B150" s="3185">
        <v>8</v>
      </c>
      <c r="C150" s="3186" t="s">
        <v>1691</v>
      </c>
      <c r="D150" s="3189">
        <v>140</v>
      </c>
      <c r="E150" s="3188">
        <f>+B150*D150</f>
        <v>1120</v>
      </c>
    </row>
    <row r="151" spans="1:5">
      <c r="A151" s="1980" t="s">
        <v>33</v>
      </c>
      <c r="B151" s="1988">
        <v>0.05</v>
      </c>
      <c r="C151" s="1997" t="s">
        <v>46</v>
      </c>
      <c r="D151" s="1984">
        <f>+E130+E131+E132+E133+E134+E135+E136+E137+E138+E139+E140+E141+E142+E143+E144+E145+E146+E147+E148+E149+E150</f>
        <v>224506.65</v>
      </c>
      <c r="E151" s="1985">
        <f>B151*D151</f>
        <v>11225.33</v>
      </c>
    </row>
    <row r="152" spans="1:5">
      <c r="A152" s="3177"/>
      <c r="B152" s="3177"/>
      <c r="C152" s="4897" t="s">
        <v>2653</v>
      </c>
      <c r="D152" s="4897"/>
      <c r="E152" s="3178">
        <f>SUM(E130:E151)</f>
        <v>235731.98</v>
      </c>
    </row>
    <row r="153" spans="1:5">
      <c r="A153" s="1968"/>
      <c r="B153" s="1969"/>
      <c r="C153" s="1969"/>
      <c r="D153" s="1969"/>
      <c r="E153" s="1969"/>
    </row>
    <row r="154" spans="1:5">
      <c r="A154" s="3193" t="s">
        <v>2684</v>
      </c>
      <c r="B154" s="3194"/>
      <c r="C154" s="3194"/>
      <c r="D154" s="3195"/>
      <c r="E154" s="3195"/>
    </row>
    <row r="155" spans="1:5">
      <c r="A155" s="3196" t="s">
        <v>2685</v>
      </c>
      <c r="B155" s="3197">
        <v>1</v>
      </c>
      <c r="C155" s="3198" t="s">
        <v>1691</v>
      </c>
      <c r="D155" s="1995">
        <v>2875.45</v>
      </c>
      <c r="E155" s="3199">
        <f t="shared" ref="E155:E165" si="11">+B155*D155</f>
        <v>2875.45</v>
      </c>
    </row>
    <row r="156" spans="1:5">
      <c r="A156" s="3196" t="s">
        <v>2686</v>
      </c>
      <c r="B156" s="3197">
        <v>1</v>
      </c>
      <c r="C156" s="3198" t="s">
        <v>1691</v>
      </c>
      <c r="D156" s="3187">
        <v>324.60000000000002</v>
      </c>
      <c r="E156" s="3199">
        <f t="shared" si="11"/>
        <v>324.60000000000002</v>
      </c>
    </row>
    <row r="157" spans="1:5" ht="25.5">
      <c r="A157" s="3200" t="s">
        <v>2680</v>
      </c>
      <c r="B157" s="3197">
        <v>2</v>
      </c>
      <c r="C157" s="3198" t="s">
        <v>1691</v>
      </c>
      <c r="D157" s="3187">
        <v>145</v>
      </c>
      <c r="E157" s="3199">
        <f t="shared" si="11"/>
        <v>290</v>
      </c>
    </row>
    <row r="158" spans="1:5">
      <c r="A158" s="3196" t="s">
        <v>2687</v>
      </c>
      <c r="B158" s="3197">
        <v>2</v>
      </c>
      <c r="C158" s="3198" t="s">
        <v>1691</v>
      </c>
      <c r="D158" s="1984">
        <v>168.74</v>
      </c>
      <c r="E158" s="3199">
        <f t="shared" si="11"/>
        <v>337.48</v>
      </c>
    </row>
    <row r="159" spans="1:5">
      <c r="A159" s="3196" t="s">
        <v>2681</v>
      </c>
      <c r="B159" s="3197">
        <v>1</v>
      </c>
      <c r="C159" s="3198" t="s">
        <v>1691</v>
      </c>
      <c r="D159" s="3187">
        <v>700</v>
      </c>
      <c r="E159" s="3199">
        <f t="shared" si="11"/>
        <v>700</v>
      </c>
    </row>
    <row r="160" spans="1:5">
      <c r="A160" s="3196" t="s">
        <v>2688</v>
      </c>
      <c r="B160" s="3197">
        <v>1</v>
      </c>
      <c r="C160" s="3198" t="s">
        <v>1691</v>
      </c>
      <c r="D160" s="3187">
        <v>160.41999999999999</v>
      </c>
      <c r="E160" s="3199">
        <f t="shared" si="11"/>
        <v>160.41999999999999</v>
      </c>
    </row>
    <row r="161" spans="1:5">
      <c r="A161" s="3196" t="s">
        <v>2689</v>
      </c>
      <c r="B161" s="3197">
        <v>4</v>
      </c>
      <c r="C161" s="3198" t="s">
        <v>1691</v>
      </c>
      <c r="D161" s="3187">
        <v>140</v>
      </c>
      <c r="E161" s="3199">
        <f t="shared" si="11"/>
        <v>560</v>
      </c>
    </row>
    <row r="162" spans="1:5">
      <c r="A162" s="3201" t="s">
        <v>2690</v>
      </c>
      <c r="B162" s="3197">
        <v>1</v>
      </c>
      <c r="C162" s="3198" t="s">
        <v>1691</v>
      </c>
      <c r="D162" s="3187">
        <v>42444.6</v>
      </c>
      <c r="E162" s="3199">
        <f>+B162*D162</f>
        <v>42444.6</v>
      </c>
    </row>
    <row r="163" spans="1:5">
      <c r="A163" s="3196" t="s">
        <v>2691</v>
      </c>
      <c r="B163" s="3197">
        <v>1</v>
      </c>
      <c r="C163" s="3198" t="s">
        <v>1691</v>
      </c>
      <c r="D163" s="3187">
        <v>6814.58</v>
      </c>
      <c r="E163" s="3199">
        <f>+B163*D163</f>
        <v>6814.58</v>
      </c>
    </row>
    <row r="164" spans="1:5">
      <c r="A164" s="3196" t="s">
        <v>2675</v>
      </c>
      <c r="B164" s="3197">
        <v>1</v>
      </c>
      <c r="C164" s="3198" t="s">
        <v>1691</v>
      </c>
      <c r="D164" s="3187">
        <v>3227.3</v>
      </c>
      <c r="E164" s="3199">
        <f>+B164*D164</f>
        <v>3227.3</v>
      </c>
    </row>
    <row r="165" spans="1:5">
      <c r="A165" s="3196" t="s">
        <v>33</v>
      </c>
      <c r="B165" s="3197">
        <v>0.5</v>
      </c>
      <c r="C165" s="3198" t="s">
        <v>46</v>
      </c>
      <c r="D165" s="3187">
        <f>+SUM(E155:E161)</f>
        <v>5247.95</v>
      </c>
      <c r="E165" s="3199">
        <f t="shared" si="11"/>
        <v>2623.98</v>
      </c>
    </row>
    <row r="166" spans="1:5">
      <c r="A166" s="3202"/>
      <c r="B166" s="3203"/>
      <c r="C166" s="4897" t="s">
        <v>2491</v>
      </c>
      <c r="D166" s="4897"/>
      <c r="E166" s="3204">
        <f>+SUM(E155:E165)</f>
        <v>60358.41</v>
      </c>
    </row>
    <row r="167" spans="1:5">
      <c r="A167" s="1968"/>
      <c r="B167" s="1969"/>
      <c r="C167" s="1969"/>
      <c r="D167" s="1969"/>
      <c r="E167" s="1969"/>
    </row>
    <row r="168" spans="1:5">
      <c r="A168" s="2019" t="s">
        <v>1588</v>
      </c>
      <c r="B168" s="1969"/>
      <c r="C168" s="1969"/>
      <c r="D168" s="1969"/>
      <c r="E168" s="1969"/>
    </row>
    <row r="169" spans="1:5">
      <c r="A169" s="1992" t="s">
        <v>2492</v>
      </c>
      <c r="B169" s="1993">
        <v>1</v>
      </c>
      <c r="C169" s="1994" t="s">
        <v>3</v>
      </c>
      <c r="D169" s="1995">
        <v>160.25</v>
      </c>
      <c r="E169" s="1996">
        <f t="shared" ref="E169:E178" si="12">ROUND(B169*D169,2)</f>
        <v>160.25</v>
      </c>
    </row>
    <row r="170" spans="1:5">
      <c r="A170" s="1980" t="s">
        <v>2493</v>
      </c>
      <c r="B170" s="1975">
        <v>1</v>
      </c>
      <c r="C170" s="1997" t="s">
        <v>3</v>
      </c>
      <c r="D170" s="1984">
        <v>822.31</v>
      </c>
      <c r="E170" s="1998">
        <f t="shared" si="12"/>
        <v>822.31</v>
      </c>
    </row>
    <row r="171" spans="1:5">
      <c r="A171" s="1974" t="s">
        <v>2494</v>
      </c>
      <c r="B171" s="1975">
        <v>2</v>
      </c>
      <c r="C171" s="1997" t="s">
        <v>3</v>
      </c>
      <c r="D171" s="1984">
        <v>398.52</v>
      </c>
      <c r="E171" s="1998">
        <f t="shared" si="12"/>
        <v>797.04</v>
      </c>
    </row>
    <row r="172" spans="1:5">
      <c r="A172" s="1982" t="s">
        <v>2495</v>
      </c>
      <c r="B172" s="1983">
        <v>1</v>
      </c>
      <c r="C172" s="1997" t="s">
        <v>3</v>
      </c>
      <c r="D172" s="1984">
        <v>108.34</v>
      </c>
      <c r="E172" s="1985">
        <f t="shared" si="12"/>
        <v>108.34</v>
      </c>
    </row>
    <row r="173" spans="1:5">
      <c r="A173" s="1974" t="s">
        <v>2496</v>
      </c>
      <c r="B173" s="1975">
        <v>1</v>
      </c>
      <c r="C173" s="1997" t="s">
        <v>3</v>
      </c>
      <c r="D173" s="1984">
        <v>214.5</v>
      </c>
      <c r="E173" s="1998">
        <f t="shared" si="12"/>
        <v>214.5</v>
      </c>
    </row>
    <row r="174" spans="1:5">
      <c r="A174" s="1980" t="s">
        <v>2497</v>
      </c>
      <c r="B174" s="1983">
        <v>1</v>
      </c>
      <c r="C174" s="1997" t="s">
        <v>3</v>
      </c>
      <c r="D174" s="1984">
        <v>88.64</v>
      </c>
      <c r="E174" s="1998">
        <f t="shared" si="12"/>
        <v>88.64</v>
      </c>
    </row>
    <row r="175" spans="1:5">
      <c r="A175" s="1974" t="s">
        <v>2498</v>
      </c>
      <c r="B175" s="1975">
        <v>45</v>
      </c>
      <c r="C175" s="1997" t="s">
        <v>1665</v>
      </c>
      <c r="D175" s="1984">
        <v>31.24</v>
      </c>
      <c r="E175" s="1998">
        <f t="shared" si="12"/>
        <v>1405.8</v>
      </c>
    </row>
    <row r="176" spans="1:5">
      <c r="A176" s="1980" t="s">
        <v>2499</v>
      </c>
      <c r="B176" s="1975">
        <v>8</v>
      </c>
      <c r="C176" s="1997" t="s">
        <v>1665</v>
      </c>
      <c r="D176" s="1984">
        <v>43.86</v>
      </c>
      <c r="E176" s="1998">
        <f t="shared" si="12"/>
        <v>350.88</v>
      </c>
    </row>
    <row r="177" spans="1:5">
      <c r="A177" s="1980" t="s">
        <v>2500</v>
      </c>
      <c r="B177" s="1975">
        <v>1</v>
      </c>
      <c r="C177" s="1997" t="s">
        <v>3</v>
      </c>
      <c r="D177" s="1984">
        <v>168.74</v>
      </c>
      <c r="E177" s="1998">
        <f t="shared" si="12"/>
        <v>168.74</v>
      </c>
    </row>
    <row r="178" spans="1:5">
      <c r="A178" s="1980" t="s">
        <v>2501</v>
      </c>
      <c r="B178" s="1975">
        <v>1</v>
      </c>
      <c r="C178" s="1997" t="s">
        <v>3</v>
      </c>
      <c r="D178" s="1987">
        <v>280.10000000000002</v>
      </c>
      <c r="E178" s="1998">
        <f t="shared" si="12"/>
        <v>280.10000000000002</v>
      </c>
    </row>
    <row r="179" spans="1:5">
      <c r="A179" s="1980" t="s">
        <v>33</v>
      </c>
      <c r="B179" s="1988">
        <v>0.05</v>
      </c>
      <c r="C179" s="1997" t="s">
        <v>46</v>
      </c>
      <c r="D179" s="1984">
        <f>E169+E170+E171+E172+E173+E174+E175+E176+E177+E178</f>
        <v>4396.6000000000004</v>
      </c>
      <c r="E179" s="1998">
        <f>B179*D179</f>
        <v>219.83</v>
      </c>
    </row>
    <row r="180" spans="1:5">
      <c r="A180" s="3177"/>
      <c r="B180" s="3177"/>
      <c r="C180" s="4897" t="s">
        <v>2502</v>
      </c>
      <c r="D180" s="4897"/>
      <c r="E180" s="3178">
        <f>SUM(E169:E179)</f>
        <v>4616.43</v>
      </c>
    </row>
    <row r="181" spans="1:5">
      <c r="A181" s="1999"/>
      <c r="B181" s="1999"/>
      <c r="C181" s="1999"/>
      <c r="D181" s="1999"/>
      <c r="E181" s="1999"/>
    </row>
    <row r="182" spans="1:5">
      <c r="A182" s="2019" t="s">
        <v>2503</v>
      </c>
      <c r="B182" s="1969"/>
      <c r="C182" s="1969"/>
      <c r="D182" s="1969"/>
      <c r="E182" s="1969"/>
    </row>
    <row r="183" spans="1:5">
      <c r="A183" s="2000" t="s">
        <v>2504</v>
      </c>
      <c r="B183" s="2001">
        <v>1</v>
      </c>
      <c r="C183" s="2002" t="s">
        <v>3</v>
      </c>
      <c r="D183" s="2003">
        <v>452.4</v>
      </c>
      <c r="E183" s="2004">
        <f t="shared" ref="E183:E188" si="13">ROUND(B183*D183,2)</f>
        <v>452.4</v>
      </c>
    </row>
    <row r="184" spans="1:5">
      <c r="A184" s="2005" t="s">
        <v>2505</v>
      </c>
      <c r="B184" s="2006">
        <v>1</v>
      </c>
      <c r="C184" s="1976" t="s">
        <v>3</v>
      </c>
      <c r="D184" s="1977">
        <v>50.77</v>
      </c>
      <c r="E184" s="1978">
        <f t="shared" si="13"/>
        <v>50.77</v>
      </c>
    </row>
    <row r="185" spans="1:5">
      <c r="A185" s="2007" t="s">
        <v>2506</v>
      </c>
      <c r="B185" s="2006">
        <v>40</v>
      </c>
      <c r="C185" s="1976" t="s">
        <v>1665</v>
      </c>
      <c r="D185" s="1984">
        <v>85.26</v>
      </c>
      <c r="E185" s="1978">
        <f t="shared" si="13"/>
        <v>3410.4</v>
      </c>
    </row>
    <row r="186" spans="1:5">
      <c r="A186" s="2007" t="s">
        <v>2507</v>
      </c>
      <c r="B186" s="2006">
        <v>1</v>
      </c>
      <c r="C186" s="1976" t="s">
        <v>3</v>
      </c>
      <c r="D186" s="1977">
        <v>97.08</v>
      </c>
      <c r="E186" s="1978">
        <f t="shared" si="13"/>
        <v>97.08</v>
      </c>
    </row>
    <row r="187" spans="1:5">
      <c r="A187" s="2005" t="s">
        <v>2508</v>
      </c>
      <c r="B187" s="2008">
        <v>4</v>
      </c>
      <c r="C187" s="1976" t="s">
        <v>3</v>
      </c>
      <c r="D187" s="1984">
        <v>49.66</v>
      </c>
      <c r="E187" s="1978">
        <f t="shared" si="13"/>
        <v>198.64</v>
      </c>
    </row>
    <row r="188" spans="1:5">
      <c r="A188" s="2007" t="s">
        <v>2509</v>
      </c>
      <c r="B188" s="2006">
        <v>4</v>
      </c>
      <c r="C188" s="1976" t="s">
        <v>3</v>
      </c>
      <c r="D188" s="1987">
        <v>10.28</v>
      </c>
      <c r="E188" s="1978">
        <f t="shared" si="13"/>
        <v>41.12</v>
      </c>
    </row>
    <row r="189" spans="1:5">
      <c r="A189" s="2005" t="s">
        <v>33</v>
      </c>
      <c r="B189" s="2009">
        <v>0.05</v>
      </c>
      <c r="C189" s="1976" t="s">
        <v>46</v>
      </c>
      <c r="D189" s="1977">
        <f>E183+E184+E185+E186+E187+E188</f>
        <v>4250.41</v>
      </c>
      <c r="E189" s="1978">
        <f>B189*D189</f>
        <v>212.52</v>
      </c>
    </row>
    <row r="190" spans="1:5">
      <c r="A190" s="3177"/>
      <c r="B190" s="3177"/>
      <c r="C190" s="4897" t="s">
        <v>2491</v>
      </c>
      <c r="D190" s="4897"/>
      <c r="E190" s="3178">
        <f>SUM(E183:E189)</f>
        <v>4462.93</v>
      </c>
    </row>
    <row r="191" spans="1:5">
      <c r="A191" s="1999"/>
      <c r="B191" s="1999"/>
      <c r="C191" s="1999"/>
      <c r="D191" s="1999"/>
      <c r="E191" s="1999"/>
    </row>
    <row r="192" spans="1:5">
      <c r="A192" s="2019" t="s">
        <v>2692</v>
      </c>
      <c r="B192" s="2010"/>
      <c r="C192" s="2010"/>
      <c r="D192" s="2010"/>
      <c r="E192" s="2010"/>
    </row>
    <row r="193" spans="1:5">
      <c r="A193" s="1992" t="s">
        <v>2646</v>
      </c>
      <c r="B193" s="1993">
        <v>1</v>
      </c>
      <c r="C193" s="1994" t="s">
        <v>3</v>
      </c>
      <c r="D193" s="1995">
        <v>2875.45</v>
      </c>
      <c r="E193" s="1996">
        <f t="shared" ref="E193:E202" si="14">ROUND(B193*D193,2)</f>
        <v>2875.45</v>
      </c>
    </row>
    <row r="194" spans="1:5">
      <c r="A194" s="1980" t="s">
        <v>2647</v>
      </c>
      <c r="B194" s="1975">
        <v>2</v>
      </c>
      <c r="C194" s="1997" t="s">
        <v>3</v>
      </c>
      <c r="D194" s="1984">
        <v>284.69</v>
      </c>
      <c r="E194" s="1998">
        <f t="shared" si="14"/>
        <v>569.38</v>
      </c>
    </row>
    <row r="195" spans="1:5">
      <c r="A195" s="1974" t="s">
        <v>2667</v>
      </c>
      <c r="B195" s="1975">
        <v>2</v>
      </c>
      <c r="C195" s="1997" t="s">
        <v>3</v>
      </c>
      <c r="D195" s="1987">
        <v>58.12</v>
      </c>
      <c r="E195" s="1998">
        <f t="shared" si="14"/>
        <v>116.24</v>
      </c>
    </row>
    <row r="196" spans="1:5">
      <c r="A196" s="1974" t="s">
        <v>2693</v>
      </c>
      <c r="B196" s="1975">
        <v>1</v>
      </c>
      <c r="C196" s="1997" t="s">
        <v>3</v>
      </c>
      <c r="D196" s="1987">
        <v>182.65</v>
      </c>
      <c r="E196" s="1998">
        <f t="shared" si="14"/>
        <v>182.65</v>
      </c>
    </row>
    <row r="197" spans="1:5">
      <c r="A197" s="1974" t="s">
        <v>2694</v>
      </c>
      <c r="B197" s="1975">
        <v>1</v>
      </c>
      <c r="C197" s="1997" t="s">
        <v>3</v>
      </c>
      <c r="D197" s="1987">
        <v>168.54</v>
      </c>
      <c r="E197" s="1998">
        <f t="shared" si="14"/>
        <v>168.54</v>
      </c>
    </row>
    <row r="198" spans="1:5">
      <c r="A198" s="1980" t="s">
        <v>2671</v>
      </c>
      <c r="B198" s="1983">
        <v>1</v>
      </c>
      <c r="C198" s="1997" t="s">
        <v>3</v>
      </c>
      <c r="D198" s="1987">
        <v>49.66</v>
      </c>
      <c r="E198" s="1998">
        <f t="shared" si="14"/>
        <v>49.66</v>
      </c>
    </row>
    <row r="199" spans="1:5">
      <c r="A199" s="1980" t="s">
        <v>2695</v>
      </c>
      <c r="B199" s="1983">
        <v>1</v>
      </c>
      <c r="C199" s="1997" t="s">
        <v>3</v>
      </c>
      <c r="D199" s="1984">
        <v>69.3</v>
      </c>
      <c r="E199" s="1998">
        <f t="shared" si="14"/>
        <v>69.3</v>
      </c>
    </row>
    <row r="200" spans="1:5">
      <c r="A200" s="1980" t="s">
        <v>2672</v>
      </c>
      <c r="B200" s="1983">
        <v>2</v>
      </c>
      <c r="C200" s="1997" t="s">
        <v>3</v>
      </c>
      <c r="D200" s="1987">
        <v>9.42</v>
      </c>
      <c r="E200" s="1998">
        <f t="shared" si="14"/>
        <v>18.84</v>
      </c>
    </row>
    <row r="201" spans="1:5">
      <c r="A201" s="1980" t="s">
        <v>2673</v>
      </c>
      <c r="B201" s="1983">
        <v>1</v>
      </c>
      <c r="C201" s="1997" t="s">
        <v>3</v>
      </c>
      <c r="D201" s="1987">
        <v>10</v>
      </c>
      <c r="E201" s="1998">
        <f t="shared" si="14"/>
        <v>10</v>
      </c>
    </row>
    <row r="202" spans="1:5">
      <c r="A202" s="1980" t="s">
        <v>2674</v>
      </c>
      <c r="B202" s="1983">
        <v>1</v>
      </c>
      <c r="C202" s="1997" t="s">
        <v>3</v>
      </c>
      <c r="D202" s="1987">
        <v>10.28</v>
      </c>
      <c r="E202" s="1998">
        <f t="shared" si="14"/>
        <v>10.28</v>
      </c>
    </row>
    <row r="203" spans="1:5">
      <c r="A203" s="1980" t="s">
        <v>33</v>
      </c>
      <c r="B203" s="1988">
        <v>0.05</v>
      </c>
      <c r="C203" s="1997" t="s">
        <v>46</v>
      </c>
      <c r="D203" s="1984">
        <f>E193+E194+E195+E196+E197+E198+E199+E200+E201+E202</f>
        <v>4070.34</v>
      </c>
      <c r="E203" s="1998">
        <f>B203*D203</f>
        <v>203.52</v>
      </c>
    </row>
    <row r="204" spans="1:5">
      <c r="A204" s="3205"/>
      <c r="B204" s="3205"/>
      <c r="C204" s="4898" t="s">
        <v>2491</v>
      </c>
      <c r="D204" s="4898"/>
      <c r="E204" s="3178">
        <f>SUM(E193:E203)</f>
        <v>4273.8599999999997</v>
      </c>
    </row>
    <row r="205" spans="1:5">
      <c r="A205" s="1999"/>
      <c r="B205" s="1999"/>
      <c r="C205" s="1999"/>
      <c r="D205" s="1999"/>
      <c r="E205" s="1999"/>
    </row>
    <row r="206" spans="1:5">
      <c r="A206" s="2019" t="s">
        <v>2696</v>
      </c>
      <c r="B206" s="1969"/>
      <c r="C206" s="1969"/>
      <c r="D206" s="1969"/>
      <c r="E206" s="1969"/>
    </row>
    <row r="207" spans="1:5">
      <c r="A207" s="1992" t="s">
        <v>2646</v>
      </c>
      <c r="B207" s="1993">
        <v>1</v>
      </c>
      <c r="C207" s="1994" t="s">
        <v>3</v>
      </c>
      <c r="D207" s="1995">
        <v>2875.45</v>
      </c>
      <c r="E207" s="1996">
        <f t="shared" ref="E207:E218" si="15">ROUND(B207*D207,2)</f>
        <v>2875.45</v>
      </c>
    </row>
    <row r="208" spans="1:5">
      <c r="A208" s="1980" t="s">
        <v>2647</v>
      </c>
      <c r="B208" s="1975">
        <v>2</v>
      </c>
      <c r="C208" s="1997" t="s">
        <v>3</v>
      </c>
      <c r="D208" s="1984">
        <v>284.69</v>
      </c>
      <c r="E208" s="1998">
        <f t="shared" si="15"/>
        <v>569.38</v>
      </c>
    </row>
    <row r="209" spans="1:5">
      <c r="A209" s="1992" t="s">
        <v>2697</v>
      </c>
      <c r="B209" s="1993">
        <v>3</v>
      </c>
      <c r="C209" s="1994" t="s">
        <v>3</v>
      </c>
      <c r="D209" s="3189">
        <v>6814.58</v>
      </c>
      <c r="E209" s="1996">
        <f t="shared" si="15"/>
        <v>20443.740000000002</v>
      </c>
    </row>
    <row r="210" spans="1:5">
      <c r="A210" s="1974" t="s">
        <v>2667</v>
      </c>
      <c r="B210" s="1975">
        <v>2</v>
      </c>
      <c r="C210" s="1997" t="s">
        <v>3</v>
      </c>
      <c r="D210" s="1987">
        <v>58.12</v>
      </c>
      <c r="E210" s="1998">
        <f t="shared" si="15"/>
        <v>116.24</v>
      </c>
    </row>
    <row r="211" spans="1:5">
      <c r="A211" s="1974" t="s">
        <v>2668</v>
      </c>
      <c r="B211" s="1975">
        <v>1</v>
      </c>
      <c r="C211" s="1997" t="s">
        <v>3</v>
      </c>
      <c r="D211" s="1987">
        <v>182.65</v>
      </c>
      <c r="E211" s="1998">
        <f t="shared" si="15"/>
        <v>182.65</v>
      </c>
    </row>
    <row r="212" spans="1:5">
      <c r="A212" s="1974" t="s">
        <v>2669</v>
      </c>
      <c r="B212" s="1975">
        <v>2</v>
      </c>
      <c r="C212" s="1997" t="s">
        <v>3</v>
      </c>
      <c r="D212" s="1987">
        <v>168.54</v>
      </c>
      <c r="E212" s="1998">
        <f t="shared" si="15"/>
        <v>337.08</v>
      </c>
    </row>
    <row r="213" spans="1:5">
      <c r="A213" s="1974" t="s">
        <v>2670</v>
      </c>
      <c r="B213" s="1975">
        <v>1</v>
      </c>
      <c r="C213" s="1997" t="s">
        <v>3</v>
      </c>
      <c r="D213" s="1987">
        <v>63.58</v>
      </c>
      <c r="E213" s="1998">
        <f t="shared" si="15"/>
        <v>63.58</v>
      </c>
    </row>
    <row r="214" spans="1:5">
      <c r="A214" s="1980" t="s">
        <v>2671</v>
      </c>
      <c r="B214" s="1983">
        <v>1</v>
      </c>
      <c r="C214" s="1997" t="s">
        <v>3</v>
      </c>
      <c r="D214" s="1987">
        <v>49.66</v>
      </c>
      <c r="E214" s="1998">
        <f t="shared" si="15"/>
        <v>49.66</v>
      </c>
    </row>
    <row r="215" spans="1:5">
      <c r="A215" s="1980" t="s">
        <v>2489</v>
      </c>
      <c r="B215" s="1983">
        <v>3</v>
      </c>
      <c r="C215" s="1997" t="s">
        <v>3</v>
      </c>
      <c r="D215" s="1984">
        <v>69.3</v>
      </c>
      <c r="E215" s="1998">
        <f t="shared" si="15"/>
        <v>207.9</v>
      </c>
    </row>
    <row r="216" spans="1:5">
      <c r="A216" s="1980" t="s">
        <v>2672</v>
      </c>
      <c r="B216" s="1983">
        <v>2</v>
      </c>
      <c r="C216" s="1997" t="s">
        <v>3</v>
      </c>
      <c r="D216" s="1987">
        <v>9.42</v>
      </c>
      <c r="E216" s="1998">
        <f t="shared" si="15"/>
        <v>18.84</v>
      </c>
    </row>
    <row r="217" spans="1:5">
      <c r="A217" s="1980" t="s">
        <v>2673</v>
      </c>
      <c r="B217" s="1983">
        <v>4</v>
      </c>
      <c r="C217" s="1997" t="s">
        <v>3</v>
      </c>
      <c r="D217" s="1987">
        <v>10</v>
      </c>
      <c r="E217" s="1998">
        <f t="shared" si="15"/>
        <v>40</v>
      </c>
    </row>
    <row r="218" spans="1:5">
      <c r="A218" s="1980" t="s">
        <v>2674</v>
      </c>
      <c r="B218" s="1983">
        <v>2</v>
      </c>
      <c r="C218" s="1997" t="s">
        <v>3</v>
      </c>
      <c r="D218" s="1987">
        <v>10.28</v>
      </c>
      <c r="E218" s="1998">
        <f t="shared" si="15"/>
        <v>20.56</v>
      </c>
    </row>
    <row r="219" spans="1:5">
      <c r="A219" s="1980" t="s">
        <v>2500</v>
      </c>
      <c r="B219" s="1975">
        <v>6</v>
      </c>
      <c r="C219" s="1997" t="s">
        <v>3</v>
      </c>
      <c r="D219" s="1987">
        <v>168.74</v>
      </c>
      <c r="E219" s="1998">
        <f>ROUND(B219*D219,2)</f>
        <v>1012.44</v>
      </c>
    </row>
    <row r="220" spans="1:5">
      <c r="A220" s="1980" t="s">
        <v>2682</v>
      </c>
      <c r="B220" s="1975">
        <v>1</v>
      </c>
      <c r="C220" s="1997" t="s">
        <v>3</v>
      </c>
      <c r="D220" s="1987">
        <v>98.25</v>
      </c>
      <c r="E220" s="1998">
        <f>ROUND(B220*D220,2)</f>
        <v>98.25</v>
      </c>
    </row>
    <row r="221" spans="1:5">
      <c r="A221" s="1980" t="s">
        <v>33</v>
      </c>
      <c r="B221" s="1988">
        <v>0.05</v>
      </c>
      <c r="C221" s="1997" t="s">
        <v>46</v>
      </c>
      <c r="D221" s="1984">
        <f>E207+E208+E209+E210+E211+E212+E213+E214+E215+E216+E217+E218+E219+E220</f>
        <v>26035.77</v>
      </c>
      <c r="E221" s="1998">
        <f>B221*D221</f>
        <v>1301.79</v>
      </c>
    </row>
    <row r="222" spans="1:5">
      <c r="A222" s="3177"/>
      <c r="B222" s="3177"/>
      <c r="C222" s="4897" t="s">
        <v>2653</v>
      </c>
      <c r="D222" s="4897"/>
      <c r="E222" s="3178">
        <f>SUM(E207:E221)</f>
        <v>27337.56</v>
      </c>
    </row>
    <row r="223" spans="1:5">
      <c r="A223" s="1999"/>
      <c r="B223" s="1999"/>
      <c r="C223" s="1999"/>
      <c r="D223" s="1999"/>
      <c r="E223" s="1999"/>
    </row>
    <row r="224" spans="1:5">
      <c r="A224" s="2019" t="s">
        <v>2698</v>
      </c>
      <c r="B224" s="1969"/>
      <c r="C224" s="1969"/>
      <c r="D224" s="1969"/>
      <c r="E224" s="1969"/>
    </row>
    <row r="225" spans="1:5">
      <c r="A225" s="1974" t="s">
        <v>2668</v>
      </c>
      <c r="B225" s="1975">
        <v>4</v>
      </c>
      <c r="C225" s="1997" t="s">
        <v>3</v>
      </c>
      <c r="D225" s="1987">
        <v>182.65</v>
      </c>
      <c r="E225" s="1998">
        <f>ROUND(B225*D225,2)</f>
        <v>730.6</v>
      </c>
    </row>
    <row r="226" spans="1:5">
      <c r="A226" s="1980" t="s">
        <v>2647</v>
      </c>
      <c r="B226" s="1975">
        <v>2</v>
      </c>
      <c r="C226" s="1997" t="s">
        <v>3</v>
      </c>
      <c r="D226" s="1984">
        <v>284.69</v>
      </c>
      <c r="E226" s="1998">
        <f>ROUND(B226*D226,2)</f>
        <v>569.38</v>
      </c>
    </row>
    <row r="227" spans="1:5">
      <c r="A227" s="1980" t="s">
        <v>2489</v>
      </c>
      <c r="B227" s="1983">
        <v>4</v>
      </c>
      <c r="C227" s="1997" t="s">
        <v>3</v>
      </c>
      <c r="D227" s="1984">
        <v>69.3</v>
      </c>
      <c r="E227" s="1998">
        <f>ROUND(B227*D227,2)</f>
        <v>277.2</v>
      </c>
    </row>
    <row r="228" spans="1:5">
      <c r="A228" s="1980" t="s">
        <v>2673</v>
      </c>
      <c r="B228" s="1983">
        <v>4</v>
      </c>
      <c r="C228" s="1997" t="s">
        <v>3</v>
      </c>
      <c r="D228" s="1987">
        <v>10</v>
      </c>
      <c r="E228" s="1998">
        <f>ROUND(B228*D228,2)</f>
        <v>40</v>
      </c>
    </row>
    <row r="229" spans="1:5" ht="25.5">
      <c r="A229" s="3191" t="s">
        <v>2699</v>
      </c>
      <c r="B229" s="3185">
        <v>3</v>
      </c>
      <c r="C229" s="1997" t="s">
        <v>3</v>
      </c>
      <c r="D229" s="3206">
        <v>12284.6</v>
      </c>
      <c r="E229" s="3188">
        <f>+B229*D229</f>
        <v>36853.800000000003</v>
      </c>
    </row>
    <row r="230" spans="1:5" ht="25.5">
      <c r="A230" s="3191" t="s">
        <v>2700</v>
      </c>
      <c r="B230" s="3185">
        <v>3</v>
      </c>
      <c r="C230" s="1997" t="s">
        <v>3</v>
      </c>
      <c r="D230" s="3206">
        <v>10692.94</v>
      </c>
      <c r="E230" s="3188">
        <f>+B230*D230</f>
        <v>32078.82</v>
      </c>
    </row>
    <row r="231" spans="1:5">
      <c r="A231" s="3184" t="s">
        <v>2701</v>
      </c>
      <c r="B231" s="3185">
        <v>1</v>
      </c>
      <c r="C231" s="1997" t="s">
        <v>3</v>
      </c>
      <c r="D231" s="3206">
        <v>5886.68</v>
      </c>
      <c r="E231" s="3188">
        <f>+B231*D231</f>
        <v>5886.68</v>
      </c>
    </row>
    <row r="232" spans="1:5">
      <c r="A232" s="3192" t="s">
        <v>2702</v>
      </c>
      <c r="B232" s="1983">
        <v>3</v>
      </c>
      <c r="C232" s="1997" t="s">
        <v>3</v>
      </c>
      <c r="D232" s="1987">
        <v>66.5</v>
      </c>
      <c r="E232" s="1985">
        <f>ROUND(B232*D232,2)</f>
        <v>199.5</v>
      </c>
    </row>
    <row r="233" spans="1:5">
      <c r="A233" s="3184" t="s">
        <v>2683</v>
      </c>
      <c r="B233" s="3185">
        <v>3</v>
      </c>
      <c r="C233" s="3186" t="s">
        <v>3</v>
      </c>
      <c r="D233" s="3189">
        <v>140</v>
      </c>
      <c r="E233" s="3188">
        <f>+B233*D233</f>
        <v>420</v>
      </c>
    </row>
    <row r="234" spans="1:5">
      <c r="A234" s="1980" t="s">
        <v>33</v>
      </c>
      <c r="B234" s="1988">
        <v>0.05</v>
      </c>
      <c r="C234" s="1997" t="s">
        <v>46</v>
      </c>
      <c r="D234" s="1984">
        <f>+E225+E226+E227+E228+E229+E230+E231+E232+E233</f>
        <v>77055.98</v>
      </c>
      <c r="E234" s="1985">
        <f>B234*D234</f>
        <v>3852.8</v>
      </c>
    </row>
    <row r="235" spans="1:5">
      <c r="A235" s="3177"/>
      <c r="B235" s="3177"/>
      <c r="C235" s="4897" t="s">
        <v>2653</v>
      </c>
      <c r="D235" s="4897"/>
      <c r="E235" s="3178">
        <f>SUM(E225:E234)</f>
        <v>80908.78</v>
      </c>
    </row>
    <row r="236" spans="1:5">
      <c r="A236" s="1999"/>
      <c r="B236" s="1999"/>
      <c r="C236" s="1999"/>
      <c r="D236" s="1999"/>
      <c r="E236" s="1999"/>
    </row>
    <row r="237" spans="1:5">
      <c r="A237" s="2019" t="s">
        <v>953</v>
      </c>
      <c r="B237" s="2010"/>
      <c r="C237" s="2010"/>
      <c r="D237" s="2010"/>
      <c r="E237" s="2010"/>
    </row>
    <row r="238" spans="1:5">
      <c r="A238" s="2011" t="s">
        <v>2510</v>
      </c>
      <c r="B238" s="2012">
        <v>2</v>
      </c>
      <c r="C238" s="1994" t="s">
        <v>148</v>
      </c>
      <c r="D238" s="1995">
        <v>800</v>
      </c>
      <c r="E238" s="1996">
        <f>ROUND(B238*D238,2)</f>
        <v>1600</v>
      </c>
    </row>
    <row r="239" spans="1:5">
      <c r="A239" s="2013" t="s">
        <v>2511</v>
      </c>
      <c r="B239" s="1988">
        <v>0.05</v>
      </c>
      <c r="C239" s="1997" t="s">
        <v>46</v>
      </c>
      <c r="D239" s="1984">
        <f>E238</f>
        <v>1600</v>
      </c>
      <c r="E239" s="1998">
        <f>ROUND(B239*D239,2)</f>
        <v>80</v>
      </c>
    </row>
    <row r="240" spans="1:5">
      <c r="A240" s="3207"/>
      <c r="B240" s="3208"/>
      <c r="C240" s="4899" t="s">
        <v>2512</v>
      </c>
      <c r="D240" s="4900"/>
      <c r="E240" s="3178">
        <f>SUM(E238:E239)</f>
        <v>1680</v>
      </c>
    </row>
    <row r="241" spans="1:5">
      <c r="A241" s="2016"/>
      <c r="B241" s="2016"/>
      <c r="C241" s="2017"/>
      <c r="D241" s="2017"/>
      <c r="E241" s="2018"/>
    </row>
    <row r="242" spans="1:5">
      <c r="A242" s="2019" t="s">
        <v>925</v>
      </c>
      <c r="B242" s="2010"/>
      <c r="C242" s="2010"/>
      <c r="D242" s="2010"/>
      <c r="E242" s="2010"/>
    </row>
    <row r="243" spans="1:5">
      <c r="A243" s="2011" t="s">
        <v>2513</v>
      </c>
      <c r="B243" s="2012">
        <v>2</v>
      </c>
      <c r="C243" s="1994" t="s">
        <v>148</v>
      </c>
      <c r="D243" s="1995">
        <v>600</v>
      </c>
      <c r="E243" s="1996">
        <f>ROUND(B243*D243,2)</f>
        <v>1200</v>
      </c>
    </row>
    <row r="244" spans="1:5">
      <c r="A244" s="2013" t="s">
        <v>2511</v>
      </c>
      <c r="B244" s="1988">
        <v>0.05</v>
      </c>
      <c r="C244" s="1997" t="s">
        <v>46</v>
      </c>
      <c r="D244" s="1984">
        <f>E243</f>
        <v>1200</v>
      </c>
      <c r="E244" s="1998">
        <f>ROUND(B244*D244,2)</f>
        <v>60</v>
      </c>
    </row>
    <row r="245" spans="1:5">
      <c r="A245" s="3207"/>
      <c r="B245" s="3208"/>
      <c r="C245" s="4899" t="s">
        <v>2512</v>
      </c>
      <c r="D245" s="4900"/>
      <c r="E245" s="3178">
        <f>SUM(E243:E244)</f>
        <v>1260</v>
      </c>
    </row>
    <row r="247" spans="1:5">
      <c r="A247" s="2019" t="s">
        <v>2514</v>
      </c>
      <c r="B247" s="1969"/>
      <c r="C247" s="1969"/>
      <c r="D247" s="1969"/>
      <c r="E247" s="1969"/>
    </row>
    <row r="248" spans="1:5">
      <c r="A248" s="2007" t="s">
        <v>2515</v>
      </c>
      <c r="B248" s="2001">
        <v>2</v>
      </c>
      <c r="C248" s="2002" t="s">
        <v>3</v>
      </c>
      <c r="D248" s="2003">
        <v>170.32</v>
      </c>
      <c r="E248" s="2004">
        <f t="shared" ref="E248:E253" si="16">ROUND(B248*D248,2)</f>
        <v>340.64</v>
      </c>
    </row>
    <row r="249" spans="1:5">
      <c r="A249" s="1974" t="s">
        <v>2516</v>
      </c>
      <c r="B249" s="2006">
        <v>1</v>
      </c>
      <c r="C249" s="1976" t="s">
        <v>3</v>
      </c>
      <c r="D249" s="1984">
        <v>405.92</v>
      </c>
      <c r="E249" s="1978">
        <f t="shared" si="16"/>
        <v>405.92</v>
      </c>
    </row>
    <row r="250" spans="1:5">
      <c r="A250" s="1974" t="s">
        <v>2517</v>
      </c>
      <c r="B250" s="2006">
        <v>1</v>
      </c>
      <c r="C250" s="1976" t="s">
        <v>3</v>
      </c>
      <c r="D250" s="1984">
        <v>951.08</v>
      </c>
      <c r="E250" s="1978">
        <f t="shared" si="16"/>
        <v>951.08</v>
      </c>
    </row>
    <row r="251" spans="1:5">
      <c r="A251" s="1980" t="s">
        <v>2518</v>
      </c>
      <c r="B251" s="2008">
        <v>1</v>
      </c>
      <c r="C251" s="1976" t="s">
        <v>3</v>
      </c>
      <c r="D251" s="1984">
        <v>4646.84</v>
      </c>
      <c r="E251" s="1978">
        <f t="shared" si="16"/>
        <v>4646.84</v>
      </c>
    </row>
    <row r="252" spans="1:5">
      <c r="A252" s="1980" t="s">
        <v>2489</v>
      </c>
      <c r="B252" s="2008">
        <v>2</v>
      </c>
      <c r="C252" s="1976" t="s">
        <v>3</v>
      </c>
      <c r="D252" s="1987">
        <v>69.3</v>
      </c>
      <c r="E252" s="1978">
        <f t="shared" si="16"/>
        <v>138.6</v>
      </c>
    </row>
    <row r="253" spans="1:5">
      <c r="A253" s="1974" t="s">
        <v>2509</v>
      </c>
      <c r="B253" s="2006">
        <v>2</v>
      </c>
      <c r="C253" s="1976" t="s">
        <v>3</v>
      </c>
      <c r="D253" s="1984">
        <v>10.28</v>
      </c>
      <c r="E253" s="1978">
        <f t="shared" si="16"/>
        <v>20.56</v>
      </c>
    </row>
    <row r="254" spans="1:5">
      <c r="A254" s="1980" t="s">
        <v>33</v>
      </c>
      <c r="B254" s="2009">
        <v>0.05</v>
      </c>
      <c r="C254" s="1976" t="s">
        <v>46</v>
      </c>
      <c r="D254" s="1977">
        <f>E248+E249+E250+E251+E252+E253</f>
        <v>6503.64</v>
      </c>
      <c r="E254" s="1978">
        <f>B254*D254</f>
        <v>325.18</v>
      </c>
    </row>
    <row r="255" spans="1:5">
      <c r="A255" s="3177"/>
      <c r="B255" s="3177"/>
      <c r="C255" s="4897" t="s">
        <v>2491</v>
      </c>
      <c r="D255" s="4897"/>
      <c r="E255" s="3178">
        <f>SUM(E248:E254)</f>
        <v>6828.82</v>
      </c>
    </row>
    <row r="257" spans="1:5">
      <c r="A257" s="3209" t="s">
        <v>2703</v>
      </c>
      <c r="B257" s="1969"/>
      <c r="C257" s="1969"/>
      <c r="D257" s="1969"/>
      <c r="E257" s="1969"/>
    </row>
    <row r="258" spans="1:5">
      <c r="A258" s="2007" t="s">
        <v>2704</v>
      </c>
      <c r="B258" s="2001">
        <v>1</v>
      </c>
      <c r="C258" s="2002" t="s">
        <v>3</v>
      </c>
      <c r="D258" s="2003">
        <v>170.32</v>
      </c>
      <c r="E258" s="2004">
        <f>ROUND(B258*D258,2)</f>
        <v>170.32</v>
      </c>
    </row>
    <row r="259" spans="1:5">
      <c r="A259" s="2005" t="s">
        <v>2705</v>
      </c>
      <c r="B259" s="2006">
        <v>1</v>
      </c>
      <c r="C259" s="1976" t="s">
        <v>3</v>
      </c>
      <c r="D259" s="1981">
        <v>689.04</v>
      </c>
      <c r="E259" s="1978">
        <f>ROUND(B259*D259,2)</f>
        <v>689.04</v>
      </c>
    </row>
    <row r="260" spans="1:5">
      <c r="A260" s="3210" t="s">
        <v>2706</v>
      </c>
      <c r="B260" s="2008">
        <v>1</v>
      </c>
      <c r="C260" s="1976" t="s">
        <v>3</v>
      </c>
      <c r="D260" s="1984">
        <v>227.36</v>
      </c>
      <c r="E260" s="1985">
        <f>ROUND(B260*D260,2)</f>
        <v>227.36</v>
      </c>
    </row>
    <row r="261" spans="1:5">
      <c r="A261" s="1980" t="s">
        <v>2489</v>
      </c>
      <c r="B261" s="2008">
        <v>2</v>
      </c>
      <c r="C261" s="1976" t="s">
        <v>3</v>
      </c>
      <c r="D261" s="1987">
        <v>69.3</v>
      </c>
      <c r="E261" s="1978">
        <f>ROUND(B261*D261,2)</f>
        <v>138.6</v>
      </c>
    </row>
    <row r="262" spans="1:5">
      <c r="A262" s="1974" t="s">
        <v>2509</v>
      </c>
      <c r="B262" s="2006">
        <v>2</v>
      </c>
      <c r="C262" s="1976" t="s">
        <v>3</v>
      </c>
      <c r="D262" s="1987">
        <v>10.28</v>
      </c>
      <c r="E262" s="1978">
        <f>ROUND(B262*D262,2)</f>
        <v>20.56</v>
      </c>
    </row>
    <row r="263" spans="1:5">
      <c r="A263" s="2005" t="s">
        <v>33</v>
      </c>
      <c r="B263" s="2009">
        <v>0.05</v>
      </c>
      <c r="C263" s="1976" t="s">
        <v>46</v>
      </c>
      <c r="D263" s="1977">
        <f>E258+E259+E260+E262</f>
        <v>1107.28</v>
      </c>
      <c r="E263" s="1978">
        <f>B263*D263</f>
        <v>55.36</v>
      </c>
    </row>
    <row r="264" spans="1:5">
      <c r="A264" s="3177"/>
      <c r="B264" s="3177"/>
      <c r="C264" s="4897" t="s">
        <v>2491</v>
      </c>
      <c r="D264" s="4897"/>
      <c r="E264" s="3178">
        <f>SUM(E258:E263)</f>
        <v>1301.24</v>
      </c>
    </row>
    <row r="266" spans="1:5">
      <c r="A266" s="3209" t="s">
        <v>2707</v>
      </c>
      <c r="B266" s="1969"/>
      <c r="C266" s="1969"/>
      <c r="D266" s="1969"/>
      <c r="E266" s="1969"/>
    </row>
    <row r="267" spans="1:5">
      <c r="A267" s="2007" t="s">
        <v>2708</v>
      </c>
      <c r="B267" s="2001">
        <v>1</v>
      </c>
      <c r="C267" s="2002" t="s">
        <v>3</v>
      </c>
      <c r="D267" s="2003">
        <v>199.52</v>
      </c>
      <c r="E267" s="2004">
        <f t="shared" ref="E267:E272" si="17">ROUND(B267*D267,2)</f>
        <v>199.52</v>
      </c>
    </row>
    <row r="268" spans="1:5">
      <c r="A268" s="1980" t="s">
        <v>2709</v>
      </c>
      <c r="B268" s="2006">
        <v>1</v>
      </c>
      <c r="C268" s="1976" t="s">
        <v>3</v>
      </c>
      <c r="D268" s="1981">
        <v>145</v>
      </c>
      <c r="E268" s="1978">
        <f>ROUND(B268*D268,2)</f>
        <v>145</v>
      </c>
    </row>
    <row r="269" spans="1:5">
      <c r="A269" s="2005" t="s">
        <v>2705</v>
      </c>
      <c r="B269" s="2006">
        <v>2</v>
      </c>
      <c r="C269" s="1976" t="s">
        <v>3</v>
      </c>
      <c r="D269" s="1981">
        <v>584.36</v>
      </c>
      <c r="E269" s="1978">
        <f t="shared" si="17"/>
        <v>1168.72</v>
      </c>
    </row>
    <row r="270" spans="1:5">
      <c r="A270" s="3210" t="s">
        <v>2706</v>
      </c>
      <c r="B270" s="2008">
        <v>2</v>
      </c>
      <c r="C270" s="1976" t="s">
        <v>3</v>
      </c>
      <c r="D270" s="1984">
        <v>227.36</v>
      </c>
      <c r="E270" s="1985">
        <f t="shared" si="17"/>
        <v>454.72</v>
      </c>
    </row>
    <row r="271" spans="1:5">
      <c r="A271" s="1980" t="s">
        <v>2489</v>
      </c>
      <c r="B271" s="2008">
        <v>2</v>
      </c>
      <c r="C271" s="1976" t="s">
        <v>3</v>
      </c>
      <c r="D271" s="1987">
        <v>69.3</v>
      </c>
      <c r="E271" s="1978">
        <f t="shared" si="17"/>
        <v>138.6</v>
      </c>
    </row>
    <row r="272" spans="1:5">
      <c r="A272" s="1974" t="s">
        <v>2509</v>
      </c>
      <c r="B272" s="2006">
        <v>2</v>
      </c>
      <c r="C272" s="1976" t="s">
        <v>3</v>
      </c>
      <c r="D272" s="1987">
        <v>10.28</v>
      </c>
      <c r="E272" s="1978">
        <f t="shared" si="17"/>
        <v>20.56</v>
      </c>
    </row>
    <row r="273" spans="1:5">
      <c r="A273" s="2005" t="s">
        <v>33</v>
      </c>
      <c r="B273" s="2009">
        <v>0.05</v>
      </c>
      <c r="C273" s="1976" t="s">
        <v>46</v>
      </c>
      <c r="D273" s="1977">
        <f>E267+E269+E270+E272</f>
        <v>1843.52</v>
      </c>
      <c r="E273" s="1978">
        <f>B273*D273</f>
        <v>92.18</v>
      </c>
    </row>
    <row r="274" spans="1:5">
      <c r="A274" s="3177"/>
      <c r="B274" s="3177"/>
      <c r="C274" s="4897" t="s">
        <v>2491</v>
      </c>
      <c r="D274" s="4897"/>
      <c r="E274" s="3178">
        <f>SUM(E267:E273)</f>
        <v>2219.3000000000002</v>
      </c>
    </row>
    <row r="276" spans="1:5">
      <c r="A276" s="3209" t="s">
        <v>2710</v>
      </c>
      <c r="B276" s="1969"/>
      <c r="C276" s="1969"/>
      <c r="D276" s="1969"/>
      <c r="E276" s="1969"/>
    </row>
    <row r="277" spans="1:5">
      <c r="A277" s="1974" t="s">
        <v>2711</v>
      </c>
      <c r="B277" s="1993">
        <v>1</v>
      </c>
      <c r="C277" s="1994" t="s">
        <v>3</v>
      </c>
      <c r="D277" s="1995">
        <v>170.32</v>
      </c>
      <c r="E277" s="1996">
        <f>ROUND(B277*D277,2)</f>
        <v>170.32</v>
      </c>
    </row>
    <row r="278" spans="1:5">
      <c r="A278" s="1980" t="s">
        <v>2712</v>
      </c>
      <c r="B278" s="1975">
        <v>1</v>
      </c>
      <c r="C278" s="1997" t="s">
        <v>3</v>
      </c>
      <c r="D278" s="1987">
        <v>250.32</v>
      </c>
      <c r="E278" s="1998">
        <f>ROUND(B278*D278,2)</f>
        <v>250.32</v>
      </c>
    </row>
    <row r="279" spans="1:5">
      <c r="A279" s="1980" t="s">
        <v>2640</v>
      </c>
      <c r="B279" s="1975">
        <v>1</v>
      </c>
      <c r="C279" s="1997" t="s">
        <v>3</v>
      </c>
      <c r="D279" s="1984">
        <v>464.5</v>
      </c>
      <c r="E279" s="1998">
        <f>ROUND(B279*D279,2)</f>
        <v>464.5</v>
      </c>
    </row>
    <row r="280" spans="1:5">
      <c r="A280" s="1980" t="s">
        <v>2489</v>
      </c>
      <c r="B280" s="1983">
        <v>1</v>
      </c>
      <c r="C280" s="1997" t="s">
        <v>3</v>
      </c>
      <c r="D280" s="1987">
        <v>69.3</v>
      </c>
      <c r="E280" s="1998">
        <f>ROUND(B280*D280,2)</f>
        <v>69.3</v>
      </c>
    </row>
    <row r="281" spans="1:5">
      <c r="A281" s="1974" t="s">
        <v>2509</v>
      </c>
      <c r="B281" s="1975">
        <v>1</v>
      </c>
      <c r="C281" s="1997" t="s">
        <v>3</v>
      </c>
      <c r="D281" s="1987">
        <v>10.28</v>
      </c>
      <c r="E281" s="1998">
        <f>ROUND(B281*D281,2)</f>
        <v>10.28</v>
      </c>
    </row>
    <row r="282" spans="1:5">
      <c r="A282" s="2005" t="s">
        <v>33</v>
      </c>
      <c r="B282" s="2009">
        <v>0.05</v>
      </c>
      <c r="C282" s="1976" t="s">
        <v>46</v>
      </c>
      <c r="D282" s="1977">
        <f>E277+E278+E279+E281</f>
        <v>895.42</v>
      </c>
      <c r="E282" s="1978">
        <f>B282*D282</f>
        <v>44.77</v>
      </c>
    </row>
    <row r="283" spans="1:5">
      <c r="A283" s="3177"/>
      <c r="B283" s="3177"/>
      <c r="C283" s="4897" t="s">
        <v>2491</v>
      </c>
      <c r="D283" s="4897"/>
      <c r="E283" s="3178">
        <f>SUM(E277:E282)</f>
        <v>1009.49</v>
      </c>
    </row>
    <row r="285" spans="1:5">
      <c r="A285" s="3209" t="s">
        <v>2713</v>
      </c>
      <c r="B285" s="1969"/>
      <c r="C285" s="1969"/>
      <c r="D285" s="1969"/>
      <c r="E285" s="1969"/>
    </row>
    <row r="286" spans="1:5">
      <c r="A286" s="1980" t="s">
        <v>2640</v>
      </c>
      <c r="B286" s="1975">
        <v>1</v>
      </c>
      <c r="C286" s="1997" t="s">
        <v>3</v>
      </c>
      <c r="D286" s="1984">
        <v>464.5</v>
      </c>
      <c r="E286" s="1998">
        <f>ROUND(B286*D286,2)</f>
        <v>464.5</v>
      </c>
    </row>
    <row r="287" spans="1:5">
      <c r="A287" s="1974" t="s">
        <v>2714</v>
      </c>
      <c r="B287" s="1993">
        <v>1</v>
      </c>
      <c r="C287" s="1994" t="s">
        <v>3</v>
      </c>
      <c r="D287" s="1995">
        <v>238.8</v>
      </c>
      <c r="E287" s="1996">
        <f>ROUND(B287*D287,2)</f>
        <v>238.8</v>
      </c>
    </row>
    <row r="288" spans="1:5">
      <c r="A288" s="1980" t="s">
        <v>2489</v>
      </c>
      <c r="B288" s="2008">
        <v>2</v>
      </c>
      <c r="C288" s="1976" t="s">
        <v>3</v>
      </c>
      <c r="D288" s="1987">
        <v>69.3</v>
      </c>
      <c r="E288" s="1978">
        <f>ROUND(B288*D288,2)</f>
        <v>138.6</v>
      </c>
    </row>
    <row r="289" spans="1:5">
      <c r="A289" s="2005" t="s">
        <v>33</v>
      </c>
      <c r="B289" s="2009">
        <v>0.05</v>
      </c>
      <c r="C289" s="1976" t="s">
        <v>46</v>
      </c>
      <c r="D289" s="1977">
        <f>E286+E287+E288</f>
        <v>841.9</v>
      </c>
      <c r="E289" s="1978">
        <f>B289*D289</f>
        <v>42.1</v>
      </c>
    </row>
    <row r="290" spans="1:5">
      <c r="A290" s="3177"/>
      <c r="B290" s="3177"/>
      <c r="C290" s="4897" t="s">
        <v>2491</v>
      </c>
      <c r="D290" s="4897"/>
      <c r="E290" s="3178">
        <f>SUM(E286:E289)</f>
        <v>884</v>
      </c>
    </row>
  </sheetData>
  <customSheetViews>
    <customSheetView guid="{43BC9397-3E8C-478C-B548-E4A845A7F82B}">
      <pageMargins left="0.7" right="0.7" top="0.75" bottom="0.75" header="0.3" footer="0.3"/>
      <pageSetup paperSize="9" orientation="portrait" r:id="rId1"/>
    </customSheetView>
  </customSheetViews>
  <mergeCells count="23">
    <mergeCell ref="C255:D255"/>
    <mergeCell ref="C264:D264"/>
    <mergeCell ref="C274:D274"/>
    <mergeCell ref="C283:D283"/>
    <mergeCell ref="C290:D290"/>
    <mergeCell ref="C245:D245"/>
    <mergeCell ref="C96:D96"/>
    <mergeCell ref="C110:D110"/>
    <mergeCell ref="C127:D127"/>
    <mergeCell ref="C152:D152"/>
    <mergeCell ref="C166:D166"/>
    <mergeCell ref="C180:D180"/>
    <mergeCell ref="C190:D190"/>
    <mergeCell ref="C204:D204"/>
    <mergeCell ref="C222:D222"/>
    <mergeCell ref="C235:D235"/>
    <mergeCell ref="C240:D240"/>
    <mergeCell ref="C80:D80"/>
    <mergeCell ref="C13:D13"/>
    <mergeCell ref="C26:D26"/>
    <mergeCell ref="C38:D38"/>
    <mergeCell ref="C50:D50"/>
    <mergeCell ref="C64:D64"/>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IU1868"/>
  <sheetViews>
    <sheetView workbookViewId="0">
      <selection sqref="A1:F1"/>
    </sheetView>
  </sheetViews>
  <sheetFormatPr baseColWidth="10" defaultColWidth="11.42578125" defaultRowHeight="12.75"/>
  <cols>
    <col min="1" max="1" width="11.42578125" style="2030"/>
    <col min="2" max="2" width="64.28515625" style="2030" bestFit="1" customWidth="1"/>
    <col min="3" max="16384" width="11.42578125" style="2030"/>
  </cols>
  <sheetData>
    <row r="1" spans="1:255" s="2352" customFormat="1" ht="15.75" customHeight="1">
      <c r="A1" s="4902"/>
      <c r="B1" s="4902"/>
      <c r="C1" s="4902"/>
      <c r="D1" s="4902"/>
      <c r="E1" s="4902"/>
      <c r="F1" s="4902"/>
      <c r="G1" s="2244"/>
      <c r="H1" s="2244"/>
      <c r="I1" s="2357"/>
      <c r="IS1" s="2094"/>
      <c r="IT1" s="2094"/>
      <c r="IU1" s="2094"/>
    </row>
    <row r="2" spans="1:255" s="2352" customFormat="1" ht="15.75" customHeight="1">
      <c r="A2" s="4903"/>
      <c r="B2" s="4903"/>
      <c r="C2" s="4903"/>
      <c r="D2" s="4903"/>
      <c r="E2" s="4903"/>
      <c r="F2" s="4903"/>
      <c r="G2" s="2244"/>
      <c r="H2" s="2244"/>
      <c r="I2" s="2357"/>
      <c r="IS2" s="2358"/>
      <c r="IT2" s="2359"/>
      <c r="IU2" s="2359"/>
    </row>
    <row r="3" spans="1:255" s="2352" customFormat="1" ht="12.75" customHeight="1">
      <c r="A3" s="4904"/>
      <c r="B3" s="4904"/>
      <c r="C3" s="4904"/>
      <c r="D3" s="4904"/>
      <c r="E3" s="4904"/>
      <c r="F3" s="4904"/>
      <c r="G3" s="2244"/>
      <c r="H3" s="2244"/>
      <c r="I3" s="2357"/>
      <c r="IS3" s="2358"/>
      <c r="IT3" s="2358"/>
      <c r="IU3" s="2359"/>
    </row>
    <row r="4" spans="1:255" s="2352" customFormat="1" ht="12.75" customHeight="1">
      <c r="A4" s="4904"/>
      <c r="B4" s="4904"/>
      <c r="C4" s="4904"/>
      <c r="D4" s="4904"/>
      <c r="E4" s="4904"/>
      <c r="F4" s="4904"/>
      <c r="G4" s="2244"/>
      <c r="H4" s="2244"/>
      <c r="I4" s="2357"/>
      <c r="IS4" s="2358"/>
      <c r="IT4" s="2358"/>
      <c r="IU4" s="2359"/>
    </row>
    <row r="5" spans="1:255" s="2352" customFormat="1" ht="15.75" customHeight="1">
      <c r="A5" s="2033"/>
      <c r="B5" s="2033"/>
      <c r="C5" s="2033"/>
      <c r="D5" s="2033"/>
      <c r="E5" s="2033"/>
      <c r="F5" s="2033"/>
      <c r="G5" s="2244"/>
      <c r="H5" s="2244"/>
      <c r="I5" s="2357"/>
      <c r="IS5" s="2358"/>
      <c r="IT5" s="2358"/>
      <c r="IU5" s="2359"/>
    </row>
    <row r="6" spans="1:255" s="2352" customFormat="1" ht="15.75" customHeight="1">
      <c r="A6" s="2034"/>
      <c r="B6" s="2035"/>
      <c r="C6" s="2036"/>
      <c r="D6" s="2036"/>
      <c r="E6" s="2034"/>
      <c r="F6" s="2510"/>
      <c r="G6" s="2244"/>
      <c r="H6" s="2244"/>
      <c r="I6" s="2357"/>
      <c r="O6" s="2094"/>
      <c r="P6" s="2094"/>
      <c r="IS6" s="2358"/>
      <c r="IT6" s="2358"/>
      <c r="IU6" s="2359"/>
    </row>
    <row r="7" spans="1:255" s="2352" customFormat="1" ht="14.25" customHeight="1">
      <c r="A7" s="2034"/>
      <c r="B7" s="4905"/>
      <c r="C7" s="4905"/>
      <c r="D7" s="4905"/>
      <c r="E7" s="2034"/>
      <c r="F7" s="2510"/>
      <c r="G7" s="2244"/>
      <c r="H7" s="2244"/>
      <c r="I7" s="2357"/>
      <c r="K7" s="2244"/>
      <c r="P7" s="2360"/>
      <c r="IS7" s="2358"/>
      <c r="IT7" s="2358"/>
      <c r="IU7" s="2359"/>
    </row>
    <row r="8" spans="1:255" s="2352" customFormat="1" ht="12.75" customHeight="1">
      <c r="A8" s="2034"/>
      <c r="B8" s="2035"/>
      <c r="C8" s="2037"/>
      <c r="D8" s="2037"/>
      <c r="E8" s="2034"/>
      <c r="F8" s="2035"/>
      <c r="G8" s="2244"/>
      <c r="H8" s="2244"/>
      <c r="I8" s="2357"/>
      <c r="K8" s="2244"/>
      <c r="IS8" s="2358"/>
      <c r="IT8" s="2358"/>
      <c r="IU8" s="2359"/>
    </row>
    <row r="9" spans="1:255" s="2352" customFormat="1" ht="15" customHeight="1" thickBot="1">
      <c r="A9" s="2038"/>
      <c r="B9" s="4901"/>
      <c r="C9" s="4901"/>
      <c r="D9" s="4901"/>
      <c r="E9" s="2038"/>
      <c r="F9" s="2039"/>
      <c r="G9" s="2244"/>
      <c r="H9" s="2244"/>
      <c r="I9" s="2357"/>
      <c r="K9" s="2244"/>
      <c r="IS9" s="2358"/>
      <c r="IT9" s="2358"/>
      <c r="IU9" s="2359"/>
    </row>
    <row r="10" spans="1:255" s="2352" customFormat="1" ht="13.5" customHeight="1" thickTop="1" thickBot="1">
      <c r="A10" s="2040"/>
      <c r="B10" s="2041"/>
      <c r="C10" s="2042"/>
      <c r="D10" s="2042"/>
      <c r="E10" s="2042"/>
      <c r="F10" s="2042"/>
      <c r="G10" s="2361"/>
      <c r="H10" s="2244"/>
      <c r="I10" s="2357"/>
      <c r="IS10" s="2358"/>
      <c r="IT10" s="2358"/>
      <c r="IU10" s="2359"/>
    </row>
    <row r="11" spans="1:255" s="2352" customFormat="1" ht="4.5" customHeight="1" thickTop="1">
      <c r="A11" s="2043"/>
      <c r="B11" s="2044"/>
      <c r="C11" s="2044"/>
      <c r="D11" s="2044"/>
      <c r="E11" s="2044"/>
      <c r="F11" s="2044"/>
      <c r="G11" s="2361"/>
      <c r="H11" s="2244"/>
      <c r="I11" s="2357"/>
      <c r="IS11" s="2359"/>
      <c r="IT11" s="2359"/>
      <c r="IU11" s="2359"/>
    </row>
    <row r="12" spans="1:255" s="2352" customFormat="1" ht="15" customHeight="1" thickBot="1">
      <c r="A12" s="2045"/>
      <c r="B12" s="4908"/>
      <c r="C12" s="4908"/>
      <c r="D12" s="4908"/>
      <c r="E12" s="4908"/>
      <c r="F12" s="4908"/>
      <c r="G12" s="2361"/>
      <c r="H12" s="2244"/>
      <c r="I12" s="2357"/>
      <c r="M12" s="2244"/>
      <c r="IS12" s="2358"/>
      <c r="IT12" s="2358"/>
      <c r="IU12" s="2359"/>
    </row>
    <row r="13" spans="1:255" s="2352" customFormat="1" ht="12.75" customHeight="1" thickTop="1">
      <c r="A13" s="2046"/>
      <c r="B13" s="2047"/>
      <c r="C13" s="2048"/>
      <c r="D13" s="2049"/>
      <c r="E13" s="2048"/>
      <c r="F13" s="2511"/>
      <c r="G13" s="2362"/>
      <c r="H13" s="2362"/>
      <c r="I13" s="2357"/>
      <c r="M13" s="2244"/>
      <c r="IS13" s="2358"/>
      <c r="IT13" s="2358"/>
      <c r="IU13" s="2359"/>
    </row>
    <row r="14" spans="1:255" s="2352" customFormat="1" ht="12.75" customHeight="1">
      <c r="A14" s="2050"/>
      <c r="B14" s="2051"/>
      <c r="C14" s="2052"/>
      <c r="D14" s="2053"/>
      <c r="E14" s="2052"/>
      <c r="F14" s="2132"/>
      <c r="G14" s="2362"/>
      <c r="H14" s="2362"/>
      <c r="I14" s="2357"/>
      <c r="M14" s="2244"/>
      <c r="IS14" s="2358"/>
      <c r="IT14" s="2358"/>
      <c r="IU14" s="2359"/>
    </row>
    <row r="15" spans="1:255" s="2352" customFormat="1" ht="12.75" customHeight="1">
      <c r="A15" s="2050"/>
      <c r="B15" s="2051"/>
      <c r="C15" s="2052"/>
      <c r="D15" s="2053"/>
      <c r="E15" s="2052"/>
      <c r="F15" s="2132"/>
      <c r="G15" s="2362"/>
      <c r="H15" s="2244"/>
      <c r="I15" s="2357"/>
      <c r="M15" s="2244"/>
      <c r="IS15" s="2358"/>
      <c r="IT15" s="2358"/>
      <c r="IU15" s="2359"/>
    </row>
    <row r="16" spans="1:255" s="2352" customFormat="1" ht="12.75" customHeight="1">
      <c r="A16" s="2050"/>
      <c r="B16" s="2051"/>
      <c r="C16" s="2052"/>
      <c r="D16" s="2053"/>
      <c r="E16" s="2052"/>
      <c r="F16" s="2132"/>
      <c r="G16" s="2362"/>
      <c r="H16" s="2362"/>
      <c r="I16" s="2357"/>
      <c r="O16" s="2360"/>
      <c r="P16" s="2360"/>
      <c r="IS16" s="2358"/>
      <c r="IT16" s="2358"/>
      <c r="IU16" s="2359"/>
    </row>
    <row r="17" spans="1:255" s="2352" customFormat="1" ht="12.75" customHeight="1">
      <c r="A17" s="2050"/>
      <c r="B17" s="2051"/>
      <c r="C17" s="2052"/>
      <c r="D17" s="2053"/>
      <c r="E17" s="2052"/>
      <c r="F17" s="2132"/>
      <c r="G17" s="2362"/>
      <c r="H17" s="2362"/>
      <c r="I17" s="2357"/>
      <c r="IS17" s="2358"/>
      <c r="IT17" s="2358"/>
      <c r="IU17" s="2359"/>
    </row>
    <row r="18" spans="1:255" s="2352" customFormat="1" ht="12.75" customHeight="1">
      <c r="A18" s="2050"/>
      <c r="B18" s="2051"/>
      <c r="C18" s="2052"/>
      <c r="D18" s="2053"/>
      <c r="E18" s="2052"/>
      <c r="F18" s="2132"/>
      <c r="G18" s="2362"/>
      <c r="H18" s="2362"/>
      <c r="I18" s="2357"/>
      <c r="IS18" s="2358"/>
      <c r="IT18" s="2358"/>
      <c r="IU18" s="2359"/>
    </row>
    <row r="19" spans="1:255" s="2352" customFormat="1" ht="12.75" customHeight="1">
      <c r="A19" s="2050"/>
      <c r="B19" s="2051"/>
      <c r="C19" s="2052"/>
      <c r="D19" s="2053"/>
      <c r="E19" s="2052"/>
      <c r="F19" s="2132"/>
      <c r="G19" s="2362"/>
      <c r="H19" s="2362"/>
      <c r="I19" s="2357"/>
      <c r="IS19" s="2358"/>
      <c r="IT19" s="2358"/>
      <c r="IU19" s="2359"/>
    </row>
    <row r="20" spans="1:255" s="2352" customFormat="1" ht="12.75" customHeight="1">
      <c r="A20" s="2050"/>
      <c r="B20" s="2051"/>
      <c r="C20" s="2052"/>
      <c r="D20" s="2053"/>
      <c r="E20" s="2052"/>
      <c r="F20" s="2132"/>
      <c r="G20" s="2362"/>
      <c r="H20" s="2362"/>
      <c r="I20" s="2357"/>
      <c r="IS20" s="2358"/>
      <c r="IT20" s="2358"/>
      <c r="IU20" s="2359"/>
    </row>
    <row r="21" spans="1:255" s="2352" customFormat="1" ht="12.75" customHeight="1">
      <c r="A21" s="2050"/>
      <c r="B21" s="2051"/>
      <c r="C21" s="2052"/>
      <c r="D21" s="2053"/>
      <c r="E21" s="2054"/>
      <c r="F21" s="2132"/>
      <c r="G21" s="2362"/>
      <c r="H21" s="2362"/>
      <c r="I21" s="2357"/>
      <c r="IS21" s="2358"/>
      <c r="IT21" s="2358"/>
      <c r="IU21" s="2359"/>
    </row>
    <row r="22" spans="1:255" s="2352" customFormat="1" ht="12.75" customHeight="1">
      <c r="A22" s="2050"/>
      <c r="B22" s="2051"/>
      <c r="C22" s="2052"/>
      <c r="D22" s="2053"/>
      <c r="E22" s="2055"/>
      <c r="F22" s="2132"/>
      <c r="G22" s="2362"/>
      <c r="H22" s="2362"/>
      <c r="I22" s="2357"/>
      <c r="IS22" s="2358"/>
      <c r="IT22" s="2358"/>
      <c r="IU22" s="2359"/>
    </row>
    <row r="23" spans="1:255" s="2352" customFormat="1" ht="12.75" customHeight="1">
      <c r="A23" s="2050"/>
      <c r="B23" s="2051"/>
      <c r="C23" s="2052"/>
      <c r="D23" s="2053"/>
      <c r="E23" s="2055"/>
      <c r="F23" s="2132"/>
      <c r="G23" s="2362"/>
      <c r="H23" s="2362"/>
      <c r="I23" s="2357"/>
      <c r="IS23" s="2358"/>
      <c r="IT23" s="2358"/>
      <c r="IU23" s="2359"/>
    </row>
    <row r="24" spans="1:255" s="2352" customFormat="1" ht="12.75" customHeight="1">
      <c r="A24" s="2050"/>
      <c r="B24" s="2051"/>
      <c r="C24" s="2052"/>
      <c r="D24" s="2053"/>
      <c r="E24" s="2052"/>
      <c r="F24" s="2132"/>
      <c r="G24" s="2362"/>
      <c r="H24" s="2362"/>
      <c r="I24" s="2357"/>
      <c r="IS24" s="2358"/>
      <c r="IT24" s="2358"/>
      <c r="IU24" s="2359"/>
    </row>
    <row r="25" spans="1:255" s="2352" customFormat="1" ht="12.75" customHeight="1">
      <c r="A25" s="2050"/>
      <c r="B25" s="2051"/>
      <c r="C25" s="2052"/>
      <c r="D25" s="2053"/>
      <c r="E25" s="2052"/>
      <c r="F25" s="2132"/>
      <c r="G25" s="2362"/>
      <c r="H25" s="2362"/>
      <c r="I25" s="2357"/>
      <c r="IS25" s="2358"/>
      <c r="IT25" s="2358"/>
      <c r="IU25" s="2359"/>
    </row>
    <row r="26" spans="1:255" s="2352" customFormat="1" ht="12.75" customHeight="1">
      <c r="A26" s="2050"/>
      <c r="B26" s="2051"/>
      <c r="C26" s="2052"/>
      <c r="D26" s="2053"/>
      <c r="E26" s="2052"/>
      <c r="F26" s="2132"/>
      <c r="G26" s="2362"/>
      <c r="H26" s="2362"/>
      <c r="I26" s="2357"/>
      <c r="IS26" s="2358"/>
      <c r="IT26" s="2358"/>
      <c r="IU26" s="2359"/>
    </row>
    <row r="27" spans="1:255" s="2352" customFormat="1" ht="12.75" customHeight="1">
      <c r="A27" s="2050"/>
      <c r="B27" s="2051"/>
      <c r="C27" s="2052"/>
      <c r="D27" s="2053"/>
      <c r="E27" s="2055"/>
      <c r="F27" s="2132"/>
      <c r="G27" s="2362"/>
      <c r="H27" s="2362"/>
      <c r="I27" s="2357"/>
      <c r="IS27" s="2358"/>
      <c r="IT27" s="2358"/>
      <c r="IU27" s="2359"/>
    </row>
    <row r="28" spans="1:255" s="2352" customFormat="1" ht="12.75" customHeight="1">
      <c r="A28" s="2050"/>
      <c r="B28" s="2051"/>
      <c r="C28" s="2052"/>
      <c r="D28" s="2053"/>
      <c r="E28" s="2052"/>
      <c r="F28" s="2132"/>
      <c r="G28" s="2362"/>
      <c r="H28" s="2362"/>
      <c r="I28" s="2357"/>
      <c r="IS28" s="2358"/>
      <c r="IT28" s="2358"/>
      <c r="IU28" s="2359"/>
    </row>
    <row r="29" spans="1:255" s="2352" customFormat="1" ht="12.75" customHeight="1">
      <c r="A29" s="2050"/>
      <c r="B29" s="2051"/>
      <c r="C29" s="2052"/>
      <c r="D29" s="2053"/>
      <c r="E29" s="2052"/>
      <c r="F29" s="2132"/>
      <c r="G29" s="2362"/>
      <c r="H29" s="2362"/>
      <c r="I29" s="2357"/>
      <c r="IS29" s="2358"/>
      <c r="IT29" s="2358"/>
      <c r="IU29" s="2359"/>
    </row>
    <row r="30" spans="1:255" s="2352" customFormat="1" ht="12.75" customHeight="1">
      <c r="A30" s="2050"/>
      <c r="B30" s="2051"/>
      <c r="C30" s="2052"/>
      <c r="D30" s="2053"/>
      <c r="E30" s="2055"/>
      <c r="F30" s="2132"/>
      <c r="G30" s="2362"/>
      <c r="H30" s="2362"/>
      <c r="I30" s="2357"/>
      <c r="IS30" s="2358"/>
      <c r="IT30" s="2358"/>
      <c r="IU30" s="2359"/>
    </row>
    <row r="31" spans="1:255" s="2352" customFormat="1" ht="12.75" customHeight="1">
      <c r="A31" s="2050"/>
      <c r="B31" s="2051"/>
      <c r="C31" s="2052"/>
      <c r="D31" s="2053"/>
      <c r="E31" s="2055"/>
      <c r="F31" s="2132"/>
      <c r="G31" s="2362"/>
      <c r="H31" s="2362"/>
      <c r="I31" s="2357"/>
      <c r="IS31" s="2358"/>
      <c r="IT31" s="2358"/>
      <c r="IU31" s="2359"/>
    </row>
    <row r="32" spans="1:255" s="2352" customFormat="1" ht="12.75" customHeight="1">
      <c r="A32" s="2050"/>
      <c r="B32" s="2051"/>
      <c r="C32" s="2052"/>
      <c r="D32" s="2053"/>
      <c r="E32" s="2055"/>
      <c r="F32" s="2132"/>
      <c r="G32" s="2362"/>
      <c r="H32" s="2362"/>
      <c r="I32" s="2357"/>
      <c r="IS32" s="2358"/>
      <c r="IT32" s="2358"/>
      <c r="IU32" s="2359"/>
    </row>
    <row r="33" spans="1:255" s="2352" customFormat="1" ht="12.75" customHeight="1">
      <c r="A33" s="2050"/>
      <c r="B33" s="2051"/>
      <c r="C33" s="2052"/>
      <c r="D33" s="2053"/>
      <c r="E33" s="2055"/>
      <c r="F33" s="2132"/>
      <c r="G33" s="2362"/>
      <c r="H33" s="2362"/>
      <c r="I33" s="2357"/>
      <c r="IS33" s="2358"/>
      <c r="IT33" s="2358"/>
      <c r="IU33" s="2359"/>
    </row>
    <row r="34" spans="1:255" s="2352" customFormat="1" ht="12.75" customHeight="1">
      <c r="A34" s="2050"/>
      <c r="B34" s="2051"/>
      <c r="C34" s="2052"/>
      <c r="D34" s="2053"/>
      <c r="E34" s="2055"/>
      <c r="F34" s="2132"/>
      <c r="G34" s="2362"/>
      <c r="H34" s="2362"/>
      <c r="I34" s="2357"/>
    </row>
    <row r="35" spans="1:255" s="2352" customFormat="1" ht="12.75" customHeight="1">
      <c r="A35" s="2050"/>
      <c r="B35" s="2051"/>
      <c r="C35" s="2052"/>
      <c r="D35" s="2053"/>
      <c r="E35" s="2052"/>
      <c r="F35" s="2132"/>
      <c r="G35" s="2362"/>
      <c r="H35" s="2362"/>
      <c r="I35" s="2357"/>
    </row>
    <row r="36" spans="1:255" s="2352" customFormat="1" ht="12.75" customHeight="1">
      <c r="A36" s="2050"/>
      <c r="B36" s="2051"/>
      <c r="C36" s="2052"/>
      <c r="D36" s="2053"/>
      <c r="E36" s="2052"/>
      <c r="F36" s="2132"/>
      <c r="G36" s="2362"/>
      <c r="H36" s="2362"/>
      <c r="I36" s="2357"/>
    </row>
    <row r="37" spans="1:255" s="2352" customFormat="1" ht="12.75" customHeight="1">
      <c r="A37" s="2050"/>
      <c r="B37" s="2051"/>
      <c r="C37" s="2052"/>
      <c r="D37" s="2053"/>
      <c r="E37" s="2052"/>
      <c r="F37" s="2132"/>
      <c r="G37" s="2362"/>
      <c r="H37" s="2362"/>
      <c r="I37" s="2357"/>
    </row>
    <row r="38" spans="1:255" s="2352" customFormat="1" ht="12.75" customHeight="1">
      <c r="A38" s="2050"/>
      <c r="B38" s="2051"/>
      <c r="C38" s="2052"/>
      <c r="D38" s="2053"/>
      <c r="E38" s="2052"/>
      <c r="F38" s="2132"/>
      <c r="G38" s="2362"/>
      <c r="H38" s="2362"/>
      <c r="I38" s="2357"/>
    </row>
    <row r="39" spans="1:255" s="2352" customFormat="1" ht="12.75" customHeight="1">
      <c r="A39" s="2050"/>
      <c r="B39" s="2051"/>
      <c r="C39" s="2052"/>
      <c r="D39" s="2053"/>
      <c r="E39" s="2052"/>
      <c r="F39" s="2132"/>
      <c r="G39" s="2362"/>
      <c r="H39" s="2362"/>
      <c r="I39" s="2357"/>
    </row>
    <row r="40" spans="1:255" s="2352" customFormat="1" ht="12.75" customHeight="1">
      <c r="A40" s="2050"/>
      <c r="B40" s="2056"/>
      <c r="C40" s="2057"/>
      <c r="D40" s="2058"/>
      <c r="E40" s="2057"/>
      <c r="F40" s="2512"/>
      <c r="G40" s="2362"/>
      <c r="H40" s="2362"/>
      <c r="I40" s="2357"/>
    </row>
    <row r="41" spans="1:255" s="2352" customFormat="1" ht="12.75" customHeight="1">
      <c r="A41" s="2050"/>
      <c r="B41" s="2051"/>
      <c r="C41" s="2059"/>
      <c r="D41" s="2060"/>
      <c r="E41" s="2057"/>
      <c r="F41" s="2512"/>
      <c r="G41" s="2362"/>
      <c r="H41" s="2362"/>
      <c r="I41" s="2357"/>
    </row>
    <row r="42" spans="1:255" s="2352" customFormat="1" ht="12.95" customHeight="1">
      <c r="A42" s="2061"/>
      <c r="B42" s="2062"/>
      <c r="C42" s="2063"/>
      <c r="D42" s="2060"/>
      <c r="E42" s="2064"/>
      <c r="F42" s="2513"/>
      <c r="G42" s="2362"/>
      <c r="H42" s="2362"/>
      <c r="I42" s="2357"/>
      <c r="T42" s="2363"/>
      <c r="U42" s="2359"/>
      <c r="V42" s="2359"/>
    </row>
    <row r="43" spans="1:255" s="2352" customFormat="1" ht="12.95" customHeight="1">
      <c r="A43" s="2050"/>
      <c r="B43" s="2064"/>
      <c r="C43" s="2065"/>
      <c r="D43" s="2066"/>
      <c r="E43" s="2067"/>
      <c r="F43" s="2514"/>
      <c r="G43" s="2362"/>
      <c r="H43" s="2362"/>
      <c r="I43" s="2357"/>
      <c r="T43" s="2364"/>
      <c r="U43" s="2244"/>
      <c r="V43" s="2244"/>
    </row>
    <row r="44" spans="1:255" s="2352" customFormat="1" ht="12.95" customHeight="1">
      <c r="A44" s="2050"/>
      <c r="B44" s="2064"/>
      <c r="C44" s="2065"/>
      <c r="D44" s="2066"/>
      <c r="E44" s="2067"/>
      <c r="F44" s="2514"/>
      <c r="G44" s="2362"/>
      <c r="H44" s="2362"/>
      <c r="I44" s="2357"/>
      <c r="T44" s="2364"/>
      <c r="U44" s="2244"/>
      <c r="V44" s="2244"/>
    </row>
    <row r="45" spans="1:255" s="2352" customFormat="1" ht="12.95" customHeight="1">
      <c r="A45" s="2050"/>
      <c r="B45" s="2064"/>
      <c r="C45" s="2065"/>
      <c r="D45" s="2066"/>
      <c r="E45" s="2067"/>
      <c r="F45" s="2514"/>
      <c r="G45" s="2362"/>
      <c r="H45" s="2362"/>
      <c r="I45" s="2357"/>
      <c r="T45" s="2364"/>
      <c r="U45" s="2244"/>
      <c r="V45" s="2244"/>
    </row>
    <row r="46" spans="1:255" s="2352" customFormat="1" ht="12.95" customHeight="1">
      <c r="A46" s="2050"/>
      <c r="B46" s="2064"/>
      <c r="C46" s="2065"/>
      <c r="D46" s="2066"/>
      <c r="E46" s="2067"/>
      <c r="F46" s="2514"/>
      <c r="G46" s="2362"/>
      <c r="H46" s="2362"/>
      <c r="I46" s="2357"/>
      <c r="T46" s="2364"/>
      <c r="U46" s="2244"/>
      <c r="V46" s="2244"/>
    </row>
    <row r="47" spans="1:255" s="2352" customFormat="1" ht="12.95" customHeight="1">
      <c r="A47" s="2068"/>
      <c r="B47" s="2064"/>
      <c r="C47" s="2064"/>
      <c r="D47" s="2069"/>
      <c r="E47" s="2063"/>
      <c r="F47" s="2515"/>
      <c r="G47" s="2362"/>
      <c r="H47" s="2362"/>
      <c r="I47" s="2357"/>
    </row>
    <row r="48" spans="1:255" s="2352" customFormat="1" ht="12.95" customHeight="1">
      <c r="A48" s="2050"/>
      <c r="B48" s="2051"/>
      <c r="C48" s="2059"/>
      <c r="D48" s="2060"/>
      <c r="E48" s="2063"/>
      <c r="F48" s="2515"/>
      <c r="G48" s="2362"/>
      <c r="H48" s="2362"/>
      <c r="I48" s="2357"/>
    </row>
    <row r="49" spans="1:9" s="2352" customFormat="1" ht="12.95" customHeight="1">
      <c r="A49" s="2061"/>
      <c r="B49" s="2062"/>
      <c r="C49" s="2063"/>
      <c r="D49" s="2060"/>
      <c r="E49" s="2064"/>
      <c r="F49" s="2513"/>
      <c r="G49" s="2362"/>
      <c r="H49" s="2362"/>
      <c r="I49" s="2357"/>
    </row>
    <row r="50" spans="1:9" s="2352" customFormat="1" ht="12.95" customHeight="1">
      <c r="A50" s="2050"/>
      <c r="B50" s="2064"/>
      <c r="C50" s="2065"/>
      <c r="D50" s="2066"/>
      <c r="E50" s="2067"/>
      <c r="F50" s="2514"/>
      <c r="G50" s="2362"/>
      <c r="H50" s="2362"/>
      <c r="I50" s="2357"/>
    </row>
    <row r="51" spans="1:9" s="2352" customFormat="1" ht="12.95" customHeight="1">
      <c r="A51" s="2050"/>
      <c r="B51" s="2064"/>
      <c r="C51" s="2065"/>
      <c r="D51" s="2066"/>
      <c r="E51" s="2067"/>
      <c r="F51" s="2514"/>
      <c r="G51" s="2362"/>
      <c r="H51" s="2362"/>
      <c r="I51" s="2357"/>
    </row>
    <row r="52" spans="1:9" s="2352" customFormat="1" ht="12.95" customHeight="1">
      <c r="A52" s="2050"/>
      <c r="B52" s="2064"/>
      <c r="C52" s="2065"/>
      <c r="D52" s="2066"/>
      <c r="E52" s="2067"/>
      <c r="F52" s="2514"/>
      <c r="G52" s="2362"/>
      <c r="H52" s="2362"/>
      <c r="I52" s="2357"/>
    </row>
    <row r="53" spans="1:9" s="2352" customFormat="1" ht="12.95" customHeight="1">
      <c r="A53" s="2050"/>
      <c r="B53" s="2064"/>
      <c r="C53" s="2065"/>
      <c r="D53" s="2066"/>
      <c r="E53" s="2067"/>
      <c r="F53" s="2514"/>
      <c r="G53" s="2362"/>
      <c r="H53" s="2362"/>
      <c r="I53" s="2357"/>
    </row>
    <row r="54" spans="1:9" s="2352" customFormat="1" ht="12.95" customHeight="1">
      <c r="A54" s="2068"/>
      <c r="B54" s="2064"/>
      <c r="C54" s="2064"/>
      <c r="D54" s="2069"/>
      <c r="E54" s="2063"/>
      <c r="F54" s="2515"/>
      <c r="G54" s="2362"/>
      <c r="H54" s="2362"/>
      <c r="I54" s="2357"/>
    </row>
    <row r="55" spans="1:9" s="2352" customFormat="1" ht="12.95" customHeight="1">
      <c r="A55" s="2070"/>
      <c r="B55" s="2071"/>
      <c r="C55" s="2072"/>
      <c r="D55" s="2073"/>
      <c r="E55" s="2072"/>
      <c r="F55" s="2072"/>
      <c r="G55" s="2362"/>
      <c r="H55" s="2362"/>
      <c r="I55" s="2357"/>
    </row>
    <row r="56" spans="1:9" s="2352" customFormat="1" ht="13.5" customHeight="1">
      <c r="A56" s="2074"/>
      <c r="B56" s="4903"/>
      <c r="C56" s="4903"/>
      <c r="D56" s="4903"/>
      <c r="E56" s="4903"/>
      <c r="F56" s="4903"/>
      <c r="G56" s="2362"/>
      <c r="H56" s="2362"/>
      <c r="I56" s="2357"/>
    </row>
    <row r="57" spans="1:9" s="2352" customFormat="1" ht="12.95" customHeight="1" thickBot="1">
      <c r="A57" s="2075"/>
      <c r="B57" s="2076"/>
      <c r="C57" s="2077"/>
      <c r="D57" s="2078"/>
      <c r="E57" s="2077"/>
      <c r="F57" s="2077"/>
      <c r="G57" s="2244"/>
      <c r="H57" s="2244"/>
      <c r="I57" s="2357"/>
    </row>
    <row r="58" spans="1:9" s="2352" customFormat="1" ht="12.95" customHeight="1" thickTop="1">
      <c r="A58" s="2079"/>
      <c r="B58" s="2080"/>
      <c r="C58" s="2048"/>
      <c r="D58" s="2081"/>
      <c r="E58" s="2048"/>
      <c r="F58" s="2511"/>
      <c r="G58" s="2362"/>
      <c r="H58" s="2244"/>
      <c r="I58" s="2357"/>
    </row>
    <row r="59" spans="1:9" s="2352" customFormat="1" ht="12.95" customHeight="1">
      <c r="A59" s="2050"/>
      <c r="B59" s="2082"/>
      <c r="C59" s="2052"/>
      <c r="D59" s="2083"/>
      <c r="E59" s="2052"/>
      <c r="F59" s="2132"/>
      <c r="G59" s="2362"/>
      <c r="H59" s="2244"/>
      <c r="I59" s="2357"/>
    </row>
    <row r="60" spans="1:9" s="2366" customFormat="1" ht="12.95" customHeight="1">
      <c r="A60" s="2050"/>
      <c r="B60" s="2084"/>
      <c r="C60" s="2085"/>
      <c r="D60" s="2086"/>
      <c r="E60" s="2087"/>
      <c r="F60" s="2132"/>
      <c r="G60" s="2365"/>
      <c r="H60" s="2365"/>
    </row>
    <row r="61" spans="1:9" s="2352" customFormat="1" ht="12.95" customHeight="1" thickBot="1">
      <c r="A61" s="2088"/>
      <c r="B61" s="2089"/>
      <c r="C61" s="2090"/>
      <c r="D61" s="2091"/>
      <c r="E61" s="2092"/>
      <c r="F61" s="2516"/>
      <c r="G61" s="2367"/>
      <c r="H61" s="2244"/>
      <c r="I61" s="2357"/>
    </row>
    <row r="62" spans="1:9" s="2352" customFormat="1" ht="12.95" customHeight="1" thickTop="1">
      <c r="A62" s="2043"/>
      <c r="B62" s="2043"/>
      <c r="C62" s="2093"/>
      <c r="D62" s="2094"/>
      <c r="E62" s="2093"/>
      <c r="F62" s="2093"/>
      <c r="G62" s="2244"/>
      <c r="H62" s="2244"/>
      <c r="I62" s="2357"/>
    </row>
    <row r="63" spans="1:9" s="2352" customFormat="1" ht="12.95" customHeight="1" thickBot="1">
      <c r="A63" s="2075"/>
      <c r="B63" s="2095"/>
      <c r="C63" s="2093"/>
      <c r="D63" s="2094"/>
      <c r="E63" s="2093"/>
      <c r="F63" s="2093"/>
      <c r="G63" s="2244"/>
      <c r="H63" s="2244"/>
      <c r="I63" s="2357"/>
    </row>
    <row r="64" spans="1:9" s="2352" customFormat="1" ht="12.95" customHeight="1" thickTop="1">
      <c r="A64" s="2079"/>
      <c r="B64" s="2096"/>
      <c r="C64" s="2097"/>
      <c r="D64" s="2098"/>
      <c r="E64" s="2097"/>
      <c r="F64" s="2511"/>
      <c r="G64" s="2362"/>
      <c r="H64" s="2244"/>
      <c r="I64" s="2357"/>
    </row>
    <row r="65" spans="1:9" s="2352" customFormat="1" ht="12.95" customHeight="1">
      <c r="A65" s="2050"/>
      <c r="B65" s="2082"/>
      <c r="C65" s="2052"/>
      <c r="D65" s="2083"/>
      <c r="E65" s="2052"/>
      <c r="F65" s="2132"/>
      <c r="G65" s="2362"/>
      <c r="H65" s="2244"/>
      <c r="I65" s="2357"/>
    </row>
    <row r="66" spans="1:9" s="2366" customFormat="1" ht="12.95" customHeight="1">
      <c r="A66" s="2050"/>
      <c r="B66" s="2084"/>
      <c r="C66" s="2085"/>
      <c r="D66" s="2086"/>
      <c r="E66" s="2087"/>
      <c r="F66" s="2132"/>
      <c r="G66" s="2365"/>
      <c r="H66" s="2365"/>
    </row>
    <row r="67" spans="1:9" s="2352" customFormat="1" ht="12.95" customHeight="1" thickBot="1">
      <c r="A67" s="2099"/>
      <c r="B67" s="2100"/>
      <c r="C67" s="2101"/>
      <c r="D67" s="2091"/>
      <c r="E67" s="2092"/>
      <c r="F67" s="2516"/>
      <c r="G67" s="2367"/>
      <c r="H67" s="2244"/>
      <c r="I67" s="2357"/>
    </row>
    <row r="68" spans="1:9" s="2352" customFormat="1" ht="12.95" customHeight="1" thickTop="1">
      <c r="A68" s="2043"/>
      <c r="B68" s="2043"/>
      <c r="C68" s="2102"/>
      <c r="D68" s="2103"/>
      <c r="E68" s="2072"/>
      <c r="F68" s="2149"/>
      <c r="G68" s="2227"/>
      <c r="H68" s="2244"/>
      <c r="I68" s="2357"/>
    </row>
    <row r="69" spans="1:9" s="2352" customFormat="1" ht="12.95" customHeight="1" thickBot="1">
      <c r="A69" s="2075"/>
      <c r="B69" s="2104"/>
      <c r="C69" s="2093"/>
      <c r="D69" s="2094"/>
      <c r="E69" s="2093"/>
      <c r="F69" s="2093"/>
      <c r="G69" s="2227"/>
      <c r="H69" s="2244"/>
      <c r="I69" s="2357"/>
    </row>
    <row r="70" spans="1:9" s="2352" customFormat="1" ht="12.95" customHeight="1" thickTop="1">
      <c r="A70" s="2079"/>
      <c r="B70" s="2080"/>
      <c r="C70" s="2048"/>
      <c r="D70" s="2081"/>
      <c r="E70" s="2048"/>
      <c r="F70" s="2511"/>
      <c r="G70" s="2227"/>
      <c r="H70" s="2244"/>
      <c r="I70" s="2357"/>
    </row>
    <row r="71" spans="1:9" s="2352" customFormat="1" ht="12.95" customHeight="1">
      <c r="A71" s="2050"/>
      <c r="B71" s="2082"/>
      <c r="C71" s="2052"/>
      <c r="D71" s="2083"/>
      <c r="E71" s="2052"/>
      <c r="F71" s="2132"/>
      <c r="G71" s="2227"/>
      <c r="H71" s="2244"/>
      <c r="I71" s="2357"/>
    </row>
    <row r="72" spans="1:9" s="2352" customFormat="1" ht="12.95" customHeight="1">
      <c r="A72" s="2050"/>
      <c r="B72" s="2084"/>
      <c r="C72" s="2085"/>
      <c r="D72" s="2086"/>
      <c r="E72" s="2087"/>
      <c r="F72" s="2132"/>
      <c r="G72" s="2227"/>
      <c r="H72" s="2244"/>
      <c r="I72" s="2357"/>
    </row>
    <row r="73" spans="1:9" s="2352" customFormat="1" ht="12.95" customHeight="1" thickBot="1">
      <c r="A73" s="2099"/>
      <c r="B73" s="2100"/>
      <c r="C73" s="2101"/>
      <c r="D73" s="2105"/>
      <c r="E73" s="2092"/>
      <c r="F73" s="2516"/>
      <c r="G73" s="2227"/>
      <c r="H73" s="2244"/>
      <c r="I73" s="2357"/>
    </row>
    <row r="74" spans="1:9" s="2352" customFormat="1" ht="12.95" customHeight="1" thickTop="1">
      <c r="A74" s="2043"/>
      <c r="B74" s="2043"/>
      <c r="C74" s="2102"/>
      <c r="D74" s="2103"/>
      <c r="E74" s="2072"/>
      <c r="F74" s="2149"/>
      <c r="G74" s="2227"/>
      <c r="H74" s="2244"/>
      <c r="I74" s="2357"/>
    </row>
    <row r="75" spans="1:9" s="2352" customFormat="1" ht="12.95" customHeight="1" thickBot="1">
      <c r="A75" s="2075"/>
      <c r="B75" s="2104"/>
      <c r="C75" s="2102"/>
      <c r="D75" s="2103"/>
      <c r="E75" s="2072"/>
      <c r="F75" s="2149"/>
      <c r="G75" s="2227"/>
      <c r="H75" s="2244"/>
      <c r="I75" s="2357"/>
    </row>
    <row r="76" spans="1:9" s="2352" customFormat="1" ht="12.95" customHeight="1" thickTop="1">
      <c r="A76" s="2079"/>
      <c r="B76" s="2080"/>
      <c r="C76" s="2106"/>
      <c r="D76" s="2081"/>
      <c r="E76" s="2048"/>
      <c r="F76" s="2511"/>
      <c r="G76" s="2227"/>
      <c r="H76" s="2244"/>
      <c r="I76" s="2357"/>
    </row>
    <row r="77" spans="1:9" s="2352" customFormat="1" ht="12.95" customHeight="1">
      <c r="A77" s="2050"/>
      <c r="B77" s="2107"/>
      <c r="C77" s="2108"/>
      <c r="D77" s="2083"/>
      <c r="E77" s="2109"/>
      <c r="F77" s="2132"/>
      <c r="G77" s="2227"/>
      <c r="H77" s="2244"/>
      <c r="I77" s="2357"/>
    </row>
    <row r="78" spans="1:9" s="2352" customFormat="1" ht="12.95" customHeight="1">
      <c r="A78" s="2050"/>
      <c r="B78" s="2107"/>
      <c r="C78" s="2108"/>
      <c r="D78" s="2083"/>
      <c r="E78" s="2109"/>
      <c r="F78" s="2132"/>
      <c r="G78" s="2227"/>
      <c r="H78" s="2244"/>
      <c r="I78" s="2357"/>
    </row>
    <row r="79" spans="1:9" s="2352" customFormat="1" ht="12.95" customHeight="1">
      <c r="A79" s="2050"/>
      <c r="B79" s="2110"/>
      <c r="C79" s="2108"/>
      <c r="D79" s="2083"/>
      <c r="E79" s="2111"/>
      <c r="F79" s="2516"/>
      <c r="G79" s="2227"/>
      <c r="H79" s="2244"/>
      <c r="I79" s="2357"/>
    </row>
    <row r="80" spans="1:9" s="2352" customFormat="1" ht="12.95" customHeight="1" thickBot="1">
      <c r="A80" s="2050"/>
      <c r="B80" s="2110"/>
      <c r="C80" s="2112"/>
      <c r="D80" s="2083"/>
      <c r="E80" s="2113"/>
      <c r="F80" s="2516"/>
      <c r="G80" s="2227"/>
      <c r="H80" s="2244"/>
      <c r="I80" s="2357"/>
    </row>
    <row r="81" spans="1:9" s="2352" customFormat="1" ht="12.95" customHeight="1" thickTop="1" thickBot="1">
      <c r="A81" s="2099"/>
      <c r="B81" s="2114"/>
      <c r="C81" s="2115"/>
      <c r="D81" s="2091"/>
      <c r="E81" s="2113"/>
      <c r="F81" s="2517"/>
      <c r="G81" s="2227"/>
      <c r="H81" s="2244"/>
      <c r="I81" s="2357"/>
    </row>
    <row r="82" spans="1:9" s="2352" customFormat="1" ht="12.95" customHeight="1" thickTop="1">
      <c r="A82" s="2070"/>
      <c r="B82" s="2070"/>
      <c r="C82" s="2102"/>
      <c r="D82" s="2103"/>
      <c r="E82" s="2116"/>
      <c r="F82" s="2518"/>
      <c r="G82" s="2227"/>
      <c r="H82" s="2244"/>
      <c r="I82" s="2357"/>
    </row>
    <row r="83" spans="1:9" s="2352" customFormat="1" ht="12.95" customHeight="1">
      <c r="A83" s="2117"/>
      <c r="B83" s="2117"/>
      <c r="C83" s="2118"/>
      <c r="D83" s="2119"/>
      <c r="E83" s="2120"/>
      <c r="F83" s="2519"/>
      <c r="G83" s="2227"/>
      <c r="H83" s="2244"/>
      <c r="I83" s="2357"/>
    </row>
    <row r="84" spans="1:9" s="2352" customFormat="1" ht="12.95" customHeight="1" thickBot="1">
      <c r="A84" s="2121"/>
      <c r="B84" s="2122"/>
      <c r="C84" s="2118"/>
      <c r="D84" s="2119"/>
      <c r="E84" s="2120"/>
      <c r="F84" s="2519"/>
      <c r="G84" s="2227"/>
      <c r="H84" s="2244"/>
      <c r="I84" s="2357"/>
    </row>
    <row r="85" spans="1:9" s="2352" customFormat="1" ht="12.95" customHeight="1" thickTop="1">
      <c r="A85" s="2123"/>
      <c r="B85" s="2124"/>
      <c r="C85" s="2125"/>
      <c r="D85" s="2126"/>
      <c r="E85" s="2127"/>
      <c r="F85" s="2511"/>
      <c r="G85" s="2227"/>
      <c r="H85" s="2244"/>
      <c r="I85" s="2357"/>
    </row>
    <row r="86" spans="1:9" s="2352" customFormat="1" ht="12.95" customHeight="1">
      <c r="A86" s="2128"/>
      <c r="B86" s="2129"/>
      <c r="C86" s="2130"/>
      <c r="D86" s="2131"/>
      <c r="E86" s="2132"/>
      <c r="F86" s="2132"/>
      <c r="G86" s="2227"/>
      <c r="H86" s="2244"/>
      <c r="I86" s="2357"/>
    </row>
    <row r="87" spans="1:9" s="2352" customFormat="1" ht="25.5" customHeight="1">
      <c r="A87" s="2128"/>
      <c r="B87" s="2133"/>
      <c r="C87" s="2112"/>
      <c r="D87" s="2083"/>
      <c r="E87" s="2134"/>
      <c r="F87" s="2132"/>
      <c r="G87" s="2227"/>
      <c r="H87" s="2244"/>
      <c r="I87" s="2357"/>
    </row>
    <row r="88" spans="1:9" s="2352" customFormat="1" ht="12.95" customHeight="1">
      <c r="A88" s="2128"/>
      <c r="B88" s="2129"/>
      <c r="C88" s="2130"/>
      <c r="D88" s="2131"/>
      <c r="E88" s="2135"/>
      <c r="F88" s="2132"/>
      <c r="G88" s="2227"/>
      <c r="H88" s="2244"/>
      <c r="I88" s="2357"/>
    </row>
    <row r="89" spans="1:9" s="2352" customFormat="1" ht="12.95" customHeight="1">
      <c r="A89" s="2128"/>
      <c r="B89" s="2129"/>
      <c r="C89" s="2130"/>
      <c r="D89" s="2131"/>
      <c r="E89" s="2135"/>
      <c r="F89" s="2132"/>
      <c r="G89" s="2227"/>
      <c r="H89" s="2244"/>
      <c r="I89" s="2357"/>
    </row>
    <row r="90" spans="1:9" s="2352" customFormat="1" ht="12.95" customHeight="1">
      <c r="A90" s="2128"/>
      <c r="B90" s="2129"/>
      <c r="C90" s="2130"/>
      <c r="D90" s="2131"/>
      <c r="E90" s="2135"/>
      <c r="F90" s="2132"/>
      <c r="G90" s="2227"/>
      <c r="H90" s="2244"/>
      <c r="I90" s="2357"/>
    </row>
    <row r="91" spans="1:9" s="2352" customFormat="1" ht="12.95" customHeight="1">
      <c r="A91" s="2136"/>
      <c r="B91" s="2137"/>
      <c r="C91" s="2138"/>
      <c r="D91" s="2083"/>
      <c r="E91" s="2111"/>
      <c r="F91" s="2520"/>
      <c r="G91" s="2227"/>
      <c r="H91" s="2244"/>
      <c r="I91" s="2357"/>
    </row>
    <row r="92" spans="1:9" s="2352" customFormat="1" ht="12.95" customHeight="1" thickBot="1">
      <c r="A92" s="2139"/>
      <c r="B92" s="2140"/>
      <c r="C92" s="2141"/>
      <c r="D92" s="2142"/>
      <c r="E92" s="2143"/>
      <c r="F92" s="2516"/>
      <c r="G92" s="2227"/>
      <c r="H92" s="2244"/>
      <c r="I92" s="2357"/>
    </row>
    <row r="93" spans="1:9" s="2352" customFormat="1" ht="12.95" customHeight="1" thickTop="1">
      <c r="A93" s="2117"/>
      <c r="B93" s="2117"/>
      <c r="C93" s="2118"/>
      <c r="D93" s="2119"/>
      <c r="E93" s="2120"/>
      <c r="F93" s="2519"/>
      <c r="G93" s="2227"/>
      <c r="H93" s="2244"/>
      <c r="I93" s="2357"/>
    </row>
    <row r="94" spans="1:9" s="2352" customFormat="1" ht="12.75" customHeight="1">
      <c r="A94" s="2074"/>
      <c r="B94" s="4903"/>
      <c r="C94" s="4903"/>
      <c r="D94" s="4903"/>
      <c r="E94" s="4903"/>
      <c r="F94" s="4903"/>
      <c r="G94" s="2227"/>
      <c r="H94" s="2244"/>
      <c r="I94" s="2357"/>
    </row>
    <row r="95" spans="1:9" s="2352" customFormat="1" ht="12.95" customHeight="1" thickBot="1">
      <c r="A95" s="2144"/>
      <c r="B95" s="2104"/>
      <c r="C95" s="2077"/>
      <c r="D95" s="2078"/>
      <c r="E95" s="2077"/>
      <c r="F95" s="2077"/>
      <c r="G95" s="2244"/>
      <c r="H95" s="2244"/>
      <c r="I95" s="2357"/>
    </row>
    <row r="96" spans="1:9" s="2352" customFormat="1" ht="12.95" customHeight="1" thickTop="1">
      <c r="A96" s="2079"/>
      <c r="B96" s="2080"/>
      <c r="C96" s="2048"/>
      <c r="D96" s="2145"/>
      <c r="E96" s="2048"/>
      <c r="F96" s="2511"/>
      <c r="G96" s="2225"/>
      <c r="H96" s="2244"/>
      <c r="I96" s="2357"/>
    </row>
    <row r="97" spans="1:9" s="2352" customFormat="1" ht="12.95" customHeight="1">
      <c r="A97" s="2050"/>
      <c r="B97" s="2082"/>
      <c r="C97" s="2052"/>
      <c r="D97" s="2146"/>
      <c r="E97" s="2052"/>
      <c r="F97" s="2132"/>
      <c r="G97" s="2225"/>
      <c r="H97" s="2244"/>
      <c r="I97" s="2357"/>
    </row>
    <row r="98" spans="1:9" s="2352" customFormat="1" ht="12.95" customHeight="1">
      <c r="A98" s="2050"/>
      <c r="B98" s="2082"/>
      <c r="C98" s="2052"/>
      <c r="D98" s="2146"/>
      <c r="E98" s="2052"/>
      <c r="F98" s="2132"/>
      <c r="G98" s="2225"/>
      <c r="H98" s="2244"/>
      <c r="I98" s="2357"/>
    </row>
    <row r="99" spans="1:9" s="2352" customFormat="1" ht="12.95" customHeight="1">
      <c r="A99" s="2050"/>
      <c r="B99" s="2082"/>
      <c r="C99" s="2052"/>
      <c r="D99" s="2146"/>
      <c r="E99" s="2052"/>
      <c r="F99" s="2132"/>
      <c r="G99" s="2225"/>
      <c r="H99" s="2244"/>
      <c r="I99" s="2357"/>
    </row>
    <row r="100" spans="1:9" s="2352" customFormat="1" ht="12.95" customHeight="1">
      <c r="A100" s="2050"/>
      <c r="B100" s="2082"/>
      <c r="C100" s="2052"/>
      <c r="D100" s="2146"/>
      <c r="E100" s="2052"/>
      <c r="F100" s="2132"/>
      <c r="G100" s="2225"/>
      <c r="H100" s="2244"/>
      <c r="I100" s="2357"/>
    </row>
    <row r="101" spans="1:9" s="2352" customFormat="1" ht="12.95" customHeight="1">
      <c r="A101" s="2050"/>
      <c r="B101" s="2082"/>
      <c r="C101" s="2052"/>
      <c r="D101" s="2146"/>
      <c r="E101" s="2052"/>
      <c r="F101" s="2132"/>
      <c r="G101" s="2225"/>
      <c r="H101" s="2244"/>
      <c r="I101" s="2357"/>
    </row>
    <row r="102" spans="1:9" s="2352" customFormat="1" ht="12.95" customHeight="1" thickBot="1">
      <c r="A102" s="2099"/>
      <c r="B102" s="2100"/>
      <c r="C102" s="2101"/>
      <c r="D102" s="2105"/>
      <c r="E102" s="2143"/>
      <c r="F102" s="2516"/>
      <c r="G102" s="2227"/>
      <c r="H102" s="2244"/>
      <c r="I102" s="2357"/>
    </row>
    <row r="103" spans="1:9" s="2352" customFormat="1" ht="12.95" customHeight="1" thickTop="1">
      <c r="A103" s="2043"/>
      <c r="B103" s="2147"/>
      <c r="C103" s="2072"/>
      <c r="D103" s="2148"/>
      <c r="E103" s="2149"/>
      <c r="F103" s="2149"/>
      <c r="G103" s="2227"/>
      <c r="H103" s="2244"/>
      <c r="I103" s="2357"/>
    </row>
    <row r="104" spans="1:9" s="2352" customFormat="1" ht="12.95" customHeight="1" thickBot="1">
      <c r="A104" s="2144"/>
      <c r="B104" s="2150"/>
      <c r="C104" s="2093"/>
      <c r="D104" s="2094"/>
      <c r="E104" s="2093"/>
      <c r="F104" s="2093"/>
      <c r="G104" s="2244"/>
      <c r="H104" s="2244"/>
      <c r="I104" s="2357"/>
    </row>
    <row r="105" spans="1:9" s="2352" customFormat="1" ht="12.95" customHeight="1" thickTop="1">
      <c r="A105" s="2079"/>
      <c r="B105" s="2080"/>
      <c r="C105" s="2048"/>
      <c r="D105" s="2081"/>
      <c r="E105" s="2048"/>
      <c r="F105" s="2511"/>
      <c r="G105" s="2225"/>
      <c r="H105" s="2244"/>
      <c r="I105" s="2357"/>
    </row>
    <row r="106" spans="1:9" s="2352" customFormat="1" ht="12.95" customHeight="1">
      <c r="A106" s="2050"/>
      <c r="B106" s="2082"/>
      <c r="C106" s="2052"/>
      <c r="D106" s="2083"/>
      <c r="E106" s="2052"/>
      <c r="F106" s="2132"/>
      <c r="G106" s="2225"/>
      <c r="H106" s="2244"/>
      <c r="I106" s="2357"/>
    </row>
    <row r="107" spans="1:9" s="2352" customFormat="1" ht="12.95" customHeight="1">
      <c r="A107" s="2050"/>
      <c r="B107" s="2082"/>
      <c r="C107" s="2052"/>
      <c r="D107" s="2083"/>
      <c r="E107" s="2052"/>
      <c r="F107" s="2132"/>
      <c r="G107" s="2225"/>
      <c r="H107" s="2244"/>
      <c r="I107" s="2357"/>
    </row>
    <row r="108" spans="1:9" s="2352" customFormat="1" ht="12.95" customHeight="1">
      <c r="A108" s="2050"/>
      <c r="B108" s="2082"/>
      <c r="C108" s="2052"/>
      <c r="D108" s="2083"/>
      <c r="E108" s="2052"/>
      <c r="F108" s="2132"/>
      <c r="G108" s="2225"/>
      <c r="H108" s="2244"/>
      <c r="I108" s="2357"/>
    </row>
    <row r="109" spans="1:9" s="2352" customFormat="1" ht="12.95" customHeight="1">
      <c r="A109" s="2050"/>
      <c r="B109" s="2082"/>
      <c r="C109" s="2052"/>
      <c r="D109" s="2083"/>
      <c r="E109" s="2052"/>
      <c r="F109" s="2132"/>
      <c r="G109" s="2225"/>
      <c r="H109" s="2244"/>
      <c r="I109" s="2357"/>
    </row>
    <row r="110" spans="1:9" s="2352" customFormat="1" ht="12.95" customHeight="1">
      <c r="A110" s="2050"/>
      <c r="B110" s="2082"/>
      <c r="C110" s="2052"/>
      <c r="D110" s="2146"/>
      <c r="E110" s="2052"/>
      <c r="F110" s="2132"/>
      <c r="G110" s="2225"/>
      <c r="H110" s="2244"/>
      <c r="I110" s="2357"/>
    </row>
    <row r="111" spans="1:9" s="2352" customFormat="1" ht="12.95" customHeight="1" thickBot="1">
      <c r="A111" s="2099"/>
      <c r="B111" s="2100"/>
      <c r="C111" s="2101"/>
      <c r="D111" s="2105"/>
      <c r="E111" s="2143"/>
      <c r="F111" s="2516"/>
      <c r="G111" s="2227"/>
      <c r="H111" s="2244"/>
      <c r="I111" s="2357"/>
    </row>
    <row r="112" spans="1:9" s="2352" customFormat="1" ht="12.95" customHeight="1" thickTop="1">
      <c r="A112" s="2043"/>
      <c r="B112" s="2147"/>
      <c r="C112" s="2072"/>
      <c r="D112" s="2148"/>
      <c r="E112" s="2149"/>
      <c r="F112" s="2149"/>
      <c r="G112" s="2227"/>
      <c r="H112" s="2244"/>
      <c r="I112" s="2357"/>
    </row>
    <row r="113" spans="1:9" s="2352" customFormat="1" ht="12.95" customHeight="1" thickBot="1">
      <c r="A113" s="2144"/>
      <c r="B113" s="2150"/>
      <c r="C113" s="2093"/>
      <c r="D113" s="2094"/>
      <c r="E113" s="2093"/>
      <c r="F113" s="2093"/>
      <c r="G113" s="2244"/>
      <c r="H113" s="2244"/>
      <c r="I113" s="2357"/>
    </row>
    <row r="114" spans="1:9" s="2352" customFormat="1" ht="12.95" customHeight="1" thickTop="1">
      <c r="A114" s="2079"/>
      <c r="B114" s="2080"/>
      <c r="C114" s="2048"/>
      <c r="D114" s="2081"/>
      <c r="E114" s="2048"/>
      <c r="F114" s="2511"/>
      <c r="G114" s="2225"/>
      <c r="H114" s="2244"/>
      <c r="I114" s="2357"/>
    </row>
    <row r="115" spans="1:9" s="2352" customFormat="1" ht="12.95" customHeight="1">
      <c r="A115" s="2050"/>
      <c r="B115" s="2082"/>
      <c r="C115" s="2052"/>
      <c r="D115" s="2083"/>
      <c r="E115" s="2052"/>
      <c r="F115" s="2132"/>
      <c r="G115" s="2225"/>
      <c r="H115" s="2244"/>
      <c r="I115" s="2357"/>
    </row>
    <row r="116" spans="1:9" s="2352" customFormat="1" ht="12.95" customHeight="1">
      <c r="A116" s="2050"/>
      <c r="B116" s="2082"/>
      <c r="C116" s="2052"/>
      <c r="D116" s="2083"/>
      <c r="E116" s="2052"/>
      <c r="F116" s="2132"/>
      <c r="G116" s="2225"/>
      <c r="H116" s="2244"/>
      <c r="I116" s="2357"/>
    </row>
    <row r="117" spans="1:9" s="2352" customFormat="1" ht="12.95" customHeight="1">
      <c r="A117" s="2050"/>
      <c r="B117" s="2082"/>
      <c r="C117" s="2052"/>
      <c r="D117" s="2083"/>
      <c r="E117" s="2052"/>
      <c r="F117" s="2132"/>
      <c r="G117" s="2225"/>
      <c r="H117" s="2244"/>
      <c r="I117" s="2357"/>
    </row>
    <row r="118" spans="1:9" s="2352" customFormat="1" ht="12.95" customHeight="1">
      <c r="A118" s="2050"/>
      <c r="B118" s="2082"/>
      <c r="C118" s="2052"/>
      <c r="D118" s="2083"/>
      <c r="E118" s="2052"/>
      <c r="F118" s="2132"/>
      <c r="G118" s="2225"/>
      <c r="H118" s="2244"/>
      <c r="I118" s="2357"/>
    </row>
    <row r="119" spans="1:9" s="2352" customFormat="1" ht="12.95" customHeight="1">
      <c r="A119" s="2050"/>
      <c r="B119" s="2082"/>
      <c r="C119" s="2109"/>
      <c r="D119" s="2083"/>
      <c r="E119" s="2052"/>
      <c r="F119" s="2132"/>
      <c r="G119" s="2225"/>
      <c r="H119" s="2244"/>
      <c r="I119" s="2357"/>
    </row>
    <row r="120" spans="1:9" s="2352" customFormat="1" ht="12.95" customHeight="1" thickBot="1">
      <c r="A120" s="2099"/>
      <c r="B120" s="2100"/>
      <c r="C120" s="2101"/>
      <c r="D120" s="2105"/>
      <c r="E120" s="2143"/>
      <c r="F120" s="2516"/>
      <c r="G120" s="2227"/>
      <c r="H120" s="2244"/>
      <c r="I120" s="2357"/>
    </row>
    <row r="121" spans="1:9" s="2352" customFormat="1" ht="12.95" customHeight="1" thickTop="1">
      <c r="A121" s="2043"/>
      <c r="B121" s="2147"/>
      <c r="C121" s="2072"/>
      <c r="D121" s="2148"/>
      <c r="E121" s="2149"/>
      <c r="F121" s="2521"/>
      <c r="G121" s="2227"/>
      <c r="H121" s="2244"/>
      <c r="I121" s="2357"/>
    </row>
    <row r="122" spans="1:9" s="2352" customFormat="1" ht="12.95" customHeight="1" thickBot="1">
      <c r="A122" s="2144"/>
      <c r="B122" s="2150"/>
      <c r="C122" s="2093"/>
      <c r="D122" s="2094"/>
      <c r="E122" s="2093"/>
      <c r="F122" s="2093"/>
      <c r="G122" s="2244"/>
      <c r="H122" s="2244"/>
      <c r="I122" s="2357"/>
    </row>
    <row r="123" spans="1:9" s="2352" customFormat="1" ht="12.95" customHeight="1" thickTop="1">
      <c r="A123" s="2079"/>
      <c r="B123" s="2080"/>
      <c r="C123" s="2048"/>
      <c r="D123" s="2081"/>
      <c r="E123" s="2048"/>
      <c r="F123" s="2132"/>
      <c r="G123" s="2225"/>
      <c r="H123" s="2244"/>
      <c r="I123" s="2357"/>
    </row>
    <row r="124" spans="1:9" s="2352" customFormat="1" ht="12.95" customHeight="1">
      <c r="A124" s="2151"/>
      <c r="B124" s="2082"/>
      <c r="C124" s="2152"/>
      <c r="D124" s="2153"/>
      <c r="E124" s="2152"/>
      <c r="F124" s="2132"/>
      <c r="G124" s="2225"/>
      <c r="H124" s="2244"/>
      <c r="I124" s="2357"/>
    </row>
    <row r="125" spans="1:9" s="2352" customFormat="1" ht="12.95" customHeight="1">
      <c r="A125" s="2151"/>
      <c r="B125" s="2082"/>
      <c r="C125" s="2052"/>
      <c r="D125" s="2083"/>
      <c r="E125" s="2052"/>
      <c r="F125" s="2132"/>
      <c r="G125" s="2225"/>
      <c r="H125" s="2244"/>
      <c r="I125" s="2357"/>
    </row>
    <row r="126" spans="1:9" s="2352" customFormat="1" ht="12.95" customHeight="1">
      <c r="A126" s="2151"/>
      <c r="B126" s="2082"/>
      <c r="C126" s="2052"/>
      <c r="D126" s="2083"/>
      <c r="E126" s="2052"/>
      <c r="F126" s="2132"/>
      <c r="G126" s="2225"/>
      <c r="H126" s="2244"/>
      <c r="I126" s="2357"/>
    </row>
    <row r="127" spans="1:9" s="2352" customFormat="1" ht="12.95" customHeight="1">
      <c r="A127" s="2151"/>
      <c r="B127" s="2082"/>
      <c r="C127" s="2052"/>
      <c r="D127" s="2083"/>
      <c r="E127" s="2052"/>
      <c r="F127" s="2132"/>
      <c r="G127" s="2225"/>
      <c r="H127" s="2244"/>
      <c r="I127" s="2357"/>
    </row>
    <row r="128" spans="1:9" s="2352" customFormat="1" ht="12.95" customHeight="1">
      <c r="A128" s="2151"/>
      <c r="B128" s="2082"/>
      <c r="C128" s="2052"/>
      <c r="D128" s="2083"/>
      <c r="E128" s="2052"/>
      <c r="F128" s="2132"/>
      <c r="G128" s="2225"/>
      <c r="H128" s="2244"/>
      <c r="I128" s="2357"/>
    </row>
    <row r="129" spans="1:9" s="2352" customFormat="1" ht="12.95" customHeight="1" thickBot="1">
      <c r="A129" s="2099"/>
      <c r="B129" s="2100"/>
      <c r="C129" s="2101"/>
      <c r="D129" s="2105"/>
      <c r="E129" s="2143"/>
      <c r="F129" s="2516"/>
      <c r="G129" s="2227"/>
      <c r="H129" s="2244"/>
      <c r="I129" s="2357"/>
    </row>
    <row r="130" spans="1:9" s="2352" customFormat="1" ht="12.95" customHeight="1" thickTop="1">
      <c r="A130" s="2043"/>
      <c r="B130" s="2070"/>
      <c r="C130" s="2072"/>
      <c r="D130" s="2148"/>
      <c r="E130" s="2149"/>
      <c r="F130" s="2149"/>
      <c r="G130" s="2227"/>
      <c r="H130" s="2244"/>
      <c r="I130" s="2357"/>
    </row>
    <row r="131" spans="1:9" s="2352" customFormat="1" ht="12.95" customHeight="1" thickBot="1">
      <c r="A131" s="2144"/>
      <c r="B131" s="2147"/>
      <c r="C131" s="2093"/>
      <c r="D131" s="2094"/>
      <c r="E131" s="2093"/>
      <c r="F131" s="2093"/>
      <c r="G131" s="2227"/>
      <c r="H131" s="2244"/>
      <c r="I131" s="2357"/>
    </row>
    <row r="132" spans="1:9" s="2352" customFormat="1" ht="12.95" customHeight="1" thickTop="1">
      <c r="A132" s="2079"/>
      <c r="B132" s="2080"/>
      <c r="C132" s="2048"/>
      <c r="D132" s="2145"/>
      <c r="E132" s="2048"/>
      <c r="F132" s="2511"/>
      <c r="G132" s="2227"/>
      <c r="H132" s="2244"/>
      <c r="I132" s="2357"/>
    </row>
    <row r="133" spans="1:9" s="2352" customFormat="1" ht="12.95" customHeight="1">
      <c r="A133" s="2050"/>
      <c r="B133" s="2082"/>
      <c r="C133" s="2052"/>
      <c r="D133" s="2146"/>
      <c r="E133" s="2052"/>
      <c r="F133" s="2132"/>
      <c r="G133" s="2227"/>
      <c r="H133" s="2244"/>
      <c r="I133" s="2357"/>
    </row>
    <row r="134" spans="1:9" s="2352" customFormat="1" ht="12.95" customHeight="1">
      <c r="A134" s="2050"/>
      <c r="B134" s="2082"/>
      <c r="C134" s="2052"/>
      <c r="D134" s="2146"/>
      <c r="E134" s="2052"/>
      <c r="F134" s="2132"/>
      <c r="G134" s="2227"/>
      <c r="H134" s="2244"/>
      <c r="I134" s="2357"/>
    </row>
    <row r="135" spans="1:9" s="2352" customFormat="1" ht="12.95" customHeight="1" thickBot="1">
      <c r="A135" s="2099"/>
      <c r="B135" s="2100"/>
      <c r="C135" s="2101"/>
      <c r="D135" s="2105"/>
      <c r="E135" s="2143"/>
      <c r="F135" s="2516"/>
      <c r="G135" s="2227"/>
      <c r="H135" s="2244"/>
      <c r="I135" s="2357"/>
    </row>
    <row r="136" spans="1:9" s="2352" customFormat="1" ht="12.95" customHeight="1" thickTop="1">
      <c r="A136" s="2043"/>
      <c r="B136" s="2070"/>
      <c r="C136" s="2072"/>
      <c r="D136" s="2148"/>
      <c r="E136" s="2149"/>
      <c r="F136" s="2149"/>
      <c r="G136" s="2227"/>
      <c r="H136" s="2244"/>
      <c r="I136" s="2357"/>
    </row>
    <row r="137" spans="1:9" s="2352" customFormat="1" ht="12.95" customHeight="1" thickBot="1">
      <c r="A137" s="2144"/>
      <c r="B137" s="2150"/>
      <c r="C137" s="2093"/>
      <c r="D137" s="2094"/>
      <c r="E137" s="2093"/>
      <c r="F137" s="2093"/>
      <c r="G137" s="2227"/>
      <c r="H137" s="2244"/>
      <c r="I137" s="2357"/>
    </row>
    <row r="138" spans="1:9" s="2352" customFormat="1" ht="12.95" customHeight="1" thickTop="1">
      <c r="A138" s="2079"/>
      <c r="B138" s="2080"/>
      <c r="C138" s="2048"/>
      <c r="D138" s="2154"/>
      <c r="E138" s="2048"/>
      <c r="F138" s="199"/>
      <c r="G138" s="2227"/>
      <c r="H138" s="2244"/>
      <c r="I138" s="2357"/>
    </row>
    <row r="139" spans="1:9" s="2352" customFormat="1" ht="12.95" customHeight="1">
      <c r="A139" s="2050"/>
      <c r="B139" s="2082"/>
      <c r="C139" s="2052"/>
      <c r="D139" s="2155"/>
      <c r="E139" s="2052"/>
      <c r="F139" s="204"/>
      <c r="G139" s="2227"/>
      <c r="H139" s="2244"/>
      <c r="I139" s="2357"/>
    </row>
    <row r="140" spans="1:9" s="2352" customFormat="1" ht="12.95" customHeight="1">
      <c r="A140" s="2050"/>
      <c r="B140" s="2082"/>
      <c r="C140" s="2052"/>
      <c r="D140" s="2155"/>
      <c r="E140" s="2052"/>
      <c r="F140" s="204"/>
      <c r="G140" s="2227"/>
      <c r="H140" s="2244"/>
      <c r="I140" s="2357"/>
    </row>
    <row r="141" spans="1:9" s="2352" customFormat="1" ht="12.95" customHeight="1">
      <c r="A141" s="2050"/>
      <c r="B141" s="2082"/>
      <c r="C141" s="2052"/>
      <c r="D141" s="2156"/>
      <c r="E141" s="2052"/>
      <c r="F141" s="204"/>
      <c r="G141" s="2227"/>
      <c r="H141" s="2244"/>
      <c r="I141" s="2357"/>
    </row>
    <row r="142" spans="1:9" s="2352" customFormat="1" ht="12.95" customHeight="1">
      <c r="A142" s="2050"/>
      <c r="B142" s="2082"/>
      <c r="C142" s="2052"/>
      <c r="D142" s="2155"/>
      <c r="E142" s="2052"/>
      <c r="F142" s="204"/>
      <c r="G142" s="2227"/>
      <c r="H142" s="2244"/>
      <c r="I142" s="2357"/>
    </row>
    <row r="143" spans="1:9" s="2352" customFormat="1" ht="12.95" customHeight="1">
      <c r="A143" s="2050"/>
      <c r="B143" s="2157"/>
      <c r="C143" s="2052"/>
      <c r="D143" s="2155"/>
      <c r="E143" s="2052"/>
      <c r="F143" s="2132"/>
      <c r="G143" s="2227"/>
      <c r="H143" s="2244"/>
      <c r="I143" s="2357"/>
    </row>
    <row r="144" spans="1:9" s="2352" customFormat="1" ht="12.95" customHeight="1" thickBot="1">
      <c r="A144" s="2099"/>
      <c r="B144" s="2100"/>
      <c r="C144" s="2101"/>
      <c r="D144" s="2105"/>
      <c r="E144" s="2143"/>
      <c r="F144" s="2516"/>
      <c r="G144" s="2227"/>
      <c r="H144" s="2244"/>
      <c r="I144" s="2357"/>
    </row>
    <row r="145" spans="1:9" s="2352" customFormat="1" ht="12.95" customHeight="1" thickTop="1">
      <c r="A145" s="2070"/>
      <c r="B145" s="2070"/>
      <c r="C145" s="2072"/>
      <c r="D145" s="2148"/>
      <c r="E145" s="2149"/>
      <c r="F145" s="2149"/>
      <c r="G145" s="2227"/>
      <c r="H145" s="2244"/>
      <c r="I145" s="2357"/>
    </row>
    <row r="146" spans="1:9" s="2352" customFormat="1" ht="13.5" customHeight="1">
      <c r="A146" s="2074"/>
      <c r="B146" s="4903"/>
      <c r="C146" s="4903"/>
      <c r="D146" s="4903"/>
      <c r="E146" s="4903"/>
      <c r="F146" s="4903"/>
      <c r="G146" s="2227"/>
      <c r="H146" s="2244"/>
      <c r="I146" s="2357"/>
    </row>
    <row r="147" spans="1:9" s="2352" customFormat="1" ht="12.95" customHeight="1" thickBot="1">
      <c r="A147" s="2144"/>
      <c r="B147" s="2150"/>
      <c r="C147" s="2093"/>
      <c r="D147" s="2094"/>
      <c r="E147" s="2093"/>
      <c r="F147" s="2093"/>
      <c r="G147" s="2244"/>
      <c r="H147" s="2244"/>
      <c r="I147" s="2357"/>
    </row>
    <row r="148" spans="1:9" s="2352" customFormat="1" ht="12.95" customHeight="1" thickTop="1">
      <c r="A148" s="2079"/>
      <c r="B148" s="2080"/>
      <c r="C148" s="2048"/>
      <c r="D148" s="2081"/>
      <c r="E148" s="2048"/>
      <c r="F148" s="2511"/>
      <c r="G148" s="2225"/>
      <c r="H148" s="2244"/>
      <c r="I148" s="2357"/>
    </row>
    <row r="149" spans="1:9" s="2352" customFormat="1" ht="12.95" customHeight="1">
      <c r="A149" s="2050"/>
      <c r="B149" s="2082"/>
      <c r="C149" s="2052"/>
      <c r="D149" s="2083"/>
      <c r="E149" s="2052"/>
      <c r="F149" s="2132"/>
      <c r="G149" s="2225"/>
      <c r="H149" s="2244"/>
      <c r="I149" s="2357"/>
    </row>
    <row r="150" spans="1:9" s="2352" customFormat="1" ht="12.95" customHeight="1">
      <c r="A150" s="2050"/>
      <c r="B150" s="2082"/>
      <c r="C150" s="2052"/>
      <c r="D150" s="2083"/>
      <c r="E150" s="2052"/>
      <c r="F150" s="2132"/>
      <c r="G150" s="2225"/>
      <c r="H150" s="2244"/>
      <c r="I150" s="2357"/>
    </row>
    <row r="151" spans="1:9" s="2352" customFormat="1" ht="12.95" customHeight="1">
      <c r="A151" s="2050"/>
      <c r="B151" s="2082"/>
      <c r="C151" s="2052"/>
      <c r="D151" s="2083"/>
      <c r="E151" s="2052"/>
      <c r="F151" s="2132"/>
      <c r="G151" s="2225"/>
      <c r="H151" s="2244"/>
      <c r="I151" s="2357"/>
    </row>
    <row r="152" spans="1:9" s="2352" customFormat="1" ht="12.95" customHeight="1">
      <c r="A152" s="2050"/>
      <c r="B152" s="2082"/>
      <c r="C152" s="2052"/>
      <c r="D152" s="2083"/>
      <c r="E152" s="2052"/>
      <c r="F152" s="2132"/>
      <c r="G152" s="2225"/>
      <c r="H152" s="2244"/>
      <c r="I152" s="2357"/>
    </row>
    <row r="153" spans="1:9" s="2352" customFormat="1" ht="12.95" customHeight="1">
      <c r="A153" s="2050"/>
      <c r="B153" s="2082"/>
      <c r="C153" s="2052"/>
      <c r="D153" s="2083"/>
      <c r="E153" s="2052"/>
      <c r="F153" s="2132"/>
      <c r="G153" s="2225"/>
      <c r="H153" s="2244"/>
      <c r="I153" s="2357"/>
    </row>
    <row r="154" spans="1:9" s="2352" customFormat="1" ht="12.95" customHeight="1" thickBot="1">
      <c r="A154" s="2099"/>
      <c r="B154" s="2100"/>
      <c r="C154" s="2101"/>
      <c r="D154" s="2105"/>
      <c r="E154" s="2143"/>
      <c r="F154" s="2516"/>
      <c r="G154" s="2227"/>
      <c r="H154" s="2244"/>
      <c r="I154" s="2357"/>
    </row>
    <row r="155" spans="1:9" s="2352" customFormat="1" ht="12.95" customHeight="1" thickTop="1">
      <c r="A155" s="2070"/>
      <c r="B155" s="2070"/>
      <c r="C155" s="2093"/>
      <c r="D155" s="2094"/>
      <c r="E155" s="2158"/>
      <c r="F155" s="2158"/>
      <c r="G155" s="2368"/>
      <c r="H155" s="2244"/>
      <c r="I155" s="2357"/>
    </row>
    <row r="156" spans="1:9" s="2352" customFormat="1" ht="12.95" customHeight="1" thickBot="1">
      <c r="A156" s="2144"/>
      <c r="B156" s="2150"/>
      <c r="C156" s="2093"/>
      <c r="D156" s="2094"/>
      <c r="E156" s="2093"/>
      <c r="F156" s="2093"/>
      <c r="G156" s="2244"/>
      <c r="H156" s="2244"/>
      <c r="I156" s="2357"/>
    </row>
    <row r="157" spans="1:9" s="2352" customFormat="1" ht="12.95" customHeight="1" thickTop="1">
      <c r="A157" s="2079"/>
      <c r="B157" s="2080"/>
      <c r="C157" s="2048"/>
      <c r="D157" s="2145"/>
      <c r="E157" s="2048"/>
      <c r="F157" s="2511"/>
      <c r="G157" s="2225"/>
      <c r="H157" s="2244"/>
      <c r="I157" s="2357"/>
    </row>
    <row r="158" spans="1:9" s="2352" customFormat="1" ht="12.95" customHeight="1">
      <c r="A158" s="2050"/>
      <c r="B158" s="2082"/>
      <c r="C158" s="2052"/>
      <c r="D158" s="2146"/>
      <c r="E158" s="2052"/>
      <c r="F158" s="2132"/>
      <c r="G158" s="2225"/>
      <c r="H158" s="2244"/>
      <c r="I158" s="2357"/>
    </row>
    <row r="159" spans="1:9" s="2352" customFormat="1" ht="12.95" customHeight="1">
      <c r="A159" s="2050"/>
      <c r="B159" s="2082"/>
      <c r="C159" s="2052"/>
      <c r="D159" s="2146"/>
      <c r="E159" s="2052"/>
      <c r="F159" s="2132"/>
      <c r="G159" s="2225"/>
      <c r="H159" s="2244"/>
      <c r="I159" s="2357"/>
    </row>
    <row r="160" spans="1:9" s="2352" customFormat="1" ht="12.95" customHeight="1">
      <c r="A160" s="2050"/>
      <c r="B160" s="2082"/>
      <c r="C160" s="2052"/>
      <c r="D160" s="2146"/>
      <c r="E160" s="2052"/>
      <c r="F160" s="2132"/>
      <c r="G160" s="2225"/>
      <c r="H160" s="2244"/>
      <c r="I160" s="2357"/>
    </row>
    <row r="161" spans="1:9" s="2352" customFormat="1" ht="12.95" customHeight="1">
      <c r="A161" s="2050"/>
      <c r="B161" s="2082"/>
      <c r="C161" s="2052"/>
      <c r="D161" s="2159"/>
      <c r="E161" s="2052"/>
      <c r="F161" s="2132"/>
      <c r="G161" s="2225"/>
      <c r="H161" s="2244"/>
      <c r="I161" s="2357"/>
    </row>
    <row r="162" spans="1:9" s="2352" customFormat="1" ht="12.95" customHeight="1" thickBot="1">
      <c r="A162" s="2099"/>
      <c r="B162" s="2100"/>
      <c r="C162" s="2101"/>
      <c r="D162" s="2105"/>
      <c r="E162" s="2143"/>
      <c r="F162" s="2516"/>
      <c r="G162" s="2227"/>
      <c r="H162" s="2244"/>
      <c r="I162" s="2357"/>
    </row>
    <row r="163" spans="1:9" s="2352" customFormat="1" ht="12.95" customHeight="1" thickTop="1">
      <c r="A163" s="2070"/>
      <c r="B163" s="2070"/>
      <c r="C163" s="2072"/>
      <c r="D163" s="2148"/>
      <c r="E163" s="2149"/>
      <c r="F163" s="2149"/>
      <c r="G163" s="2227"/>
      <c r="H163" s="2244"/>
      <c r="I163" s="2357"/>
    </row>
    <row r="164" spans="1:9" s="2177" customFormat="1" ht="12.95" customHeight="1" thickBot="1">
      <c r="A164" s="2144"/>
      <c r="B164" s="2160"/>
      <c r="C164" s="2161"/>
      <c r="D164" s="2162"/>
      <c r="E164" s="2161"/>
      <c r="F164" s="2161"/>
      <c r="G164" s="2350"/>
      <c r="H164" s="2350"/>
      <c r="I164" s="2353"/>
    </row>
    <row r="165" spans="1:9" s="2177" customFormat="1" ht="12.95" customHeight="1" thickTop="1">
      <c r="A165" s="2163"/>
      <c r="B165" s="2164"/>
      <c r="C165" s="2165"/>
      <c r="D165" s="2166"/>
      <c r="E165" s="2167"/>
      <c r="F165" s="2511"/>
      <c r="G165" s="2356"/>
      <c r="H165" s="2356"/>
      <c r="I165" s="2353"/>
    </row>
    <row r="166" spans="1:9" s="2177" customFormat="1" ht="12.95" customHeight="1">
      <c r="A166" s="2168"/>
      <c r="B166" s="2169"/>
      <c r="C166" s="2170"/>
      <c r="D166" s="2171"/>
      <c r="E166" s="2172"/>
      <c r="F166" s="2132"/>
      <c r="G166" s="2356"/>
      <c r="H166" s="2356"/>
      <c r="I166" s="2353"/>
    </row>
    <row r="167" spans="1:9" s="2177" customFormat="1" ht="12.95" customHeight="1">
      <c r="A167" s="2168"/>
      <c r="B167" s="2169"/>
      <c r="C167" s="2170"/>
      <c r="D167" s="2171"/>
      <c r="E167" s="2172"/>
      <c r="F167" s="2132"/>
      <c r="G167" s="2356"/>
      <c r="H167" s="2356"/>
      <c r="I167" s="2353"/>
    </row>
    <row r="168" spans="1:9" s="2177" customFormat="1" ht="12.95" customHeight="1">
      <c r="A168" s="2168"/>
      <c r="B168" s="2169"/>
      <c r="C168" s="2170"/>
      <c r="D168" s="2171"/>
      <c r="E168" s="2172"/>
      <c r="F168" s="2132"/>
      <c r="G168" s="2356"/>
      <c r="H168" s="2356"/>
      <c r="I168" s="2353"/>
    </row>
    <row r="169" spans="1:9" s="2177" customFormat="1" ht="12.95" customHeight="1">
      <c r="A169" s="2168"/>
      <c r="B169" s="2169"/>
      <c r="C169" s="2170"/>
      <c r="D169" s="2171"/>
      <c r="E169" s="2052"/>
      <c r="F169" s="2132"/>
      <c r="G169" s="2356"/>
      <c r="H169" s="2369"/>
      <c r="I169" s="2353"/>
    </row>
    <row r="170" spans="1:9" s="2177" customFormat="1" ht="12.95" customHeight="1" thickBot="1">
      <c r="A170" s="2173"/>
      <c r="B170" s="2174"/>
      <c r="C170" s="2175"/>
      <c r="D170" s="2176"/>
      <c r="E170" s="2143"/>
      <c r="F170" s="2516"/>
      <c r="G170" s="2370"/>
      <c r="H170" s="2371"/>
      <c r="I170" s="2353"/>
    </row>
    <row r="171" spans="1:9" s="2177" customFormat="1" ht="12.95" customHeight="1" thickTop="1">
      <c r="C171" s="2161"/>
      <c r="D171" s="2162"/>
      <c r="E171" s="2149"/>
      <c r="F171" s="2522"/>
      <c r="G171" s="2370"/>
      <c r="H171" s="2371"/>
      <c r="I171" s="2353"/>
    </row>
    <row r="172" spans="1:9" s="2374" customFormat="1" ht="12.95" customHeight="1" thickBot="1">
      <c r="A172" s="2144"/>
      <c r="B172" s="2160"/>
      <c r="C172" s="2178"/>
      <c r="D172" s="2179"/>
      <c r="E172" s="2178"/>
      <c r="F172" s="2178"/>
      <c r="G172" s="2372"/>
      <c r="H172" s="2372"/>
      <c r="I172" s="2373"/>
    </row>
    <row r="173" spans="1:9" s="2177" customFormat="1" ht="12.95" customHeight="1" thickTop="1">
      <c r="A173" s="2163"/>
      <c r="B173" s="2180"/>
      <c r="C173" s="2165"/>
      <c r="D173" s="2181"/>
      <c r="E173" s="2167"/>
      <c r="F173" s="2511"/>
      <c r="G173" s="2375"/>
      <c r="H173" s="2356"/>
      <c r="I173" s="2353"/>
    </row>
    <row r="174" spans="1:9" s="2177" customFormat="1" ht="12.95" customHeight="1">
      <c r="A174" s="2168"/>
      <c r="B174" s="2182"/>
      <c r="C174" s="2170"/>
      <c r="D174" s="2183"/>
      <c r="E174" s="2172"/>
      <c r="F174" s="2132"/>
      <c r="G174" s="2375"/>
      <c r="H174" s="2356"/>
      <c r="I174" s="2353"/>
    </row>
    <row r="175" spans="1:9" s="2177" customFormat="1" ht="12.95" customHeight="1">
      <c r="A175" s="2168"/>
      <c r="B175" s="2184"/>
      <c r="C175" s="2170"/>
      <c r="D175" s="2183"/>
      <c r="E175" s="2052"/>
      <c r="F175" s="2132"/>
      <c r="G175" s="2375"/>
      <c r="H175" s="2369"/>
      <c r="I175" s="2353"/>
    </row>
    <row r="176" spans="1:9" s="2177" customFormat="1" ht="12.95" customHeight="1" thickBot="1">
      <c r="A176" s="2173"/>
      <c r="B176" s="2185"/>
      <c r="C176" s="2175"/>
      <c r="D176" s="2186"/>
      <c r="E176" s="2143"/>
      <c r="F176" s="2516"/>
      <c r="G176" s="2370"/>
      <c r="H176" s="2371"/>
      <c r="I176" s="2353"/>
    </row>
    <row r="177" spans="1:9" s="2177" customFormat="1" ht="12.95" customHeight="1" thickTop="1">
      <c r="C177" s="2161"/>
      <c r="D177" s="2162"/>
      <c r="E177" s="2187"/>
      <c r="F177" s="2523"/>
      <c r="G177" s="2356"/>
      <c r="H177" s="2371"/>
      <c r="I177" s="2353"/>
    </row>
    <row r="178" spans="1:9" s="2374" customFormat="1" ht="12.95" customHeight="1" thickBot="1">
      <c r="A178" s="2144"/>
      <c r="B178" s="2160"/>
      <c r="C178" s="2178"/>
      <c r="D178" s="2179"/>
      <c r="E178" s="2178"/>
      <c r="F178" s="2178"/>
      <c r="G178" s="2372"/>
      <c r="H178" s="2372"/>
      <c r="I178" s="2373"/>
    </row>
    <row r="179" spans="1:9" s="2177" customFormat="1" ht="12.95" customHeight="1" thickTop="1">
      <c r="A179" s="2163"/>
      <c r="B179" s="2180"/>
      <c r="C179" s="2167"/>
      <c r="D179" s="2181"/>
      <c r="E179" s="2167"/>
      <c r="F179" s="2524"/>
      <c r="G179" s="2375"/>
      <c r="H179" s="2356"/>
      <c r="I179" s="2353"/>
    </row>
    <row r="180" spans="1:9" s="2177" customFormat="1" ht="12.95" customHeight="1">
      <c r="A180" s="2168"/>
      <c r="B180" s="2184"/>
      <c r="C180" s="2170"/>
      <c r="D180" s="2183"/>
      <c r="E180" s="2172"/>
      <c r="F180" s="2525"/>
      <c r="G180" s="2375"/>
      <c r="H180" s="2356"/>
      <c r="I180" s="2353"/>
    </row>
    <row r="181" spans="1:9" s="2177" customFormat="1" ht="12.95" customHeight="1">
      <c r="A181" s="2168"/>
      <c r="B181" s="2184"/>
      <c r="C181" s="2170"/>
      <c r="D181" s="2183"/>
      <c r="E181" s="2172"/>
      <c r="F181" s="2525"/>
      <c r="G181" s="2375"/>
      <c r="H181" s="2356"/>
      <c r="I181" s="2353"/>
    </row>
    <row r="182" spans="1:9" s="2177" customFormat="1" ht="12.95" customHeight="1">
      <c r="A182" s="2168"/>
      <c r="B182" s="2184"/>
      <c r="C182" s="2170"/>
      <c r="D182" s="2183"/>
      <c r="E182" s="2052"/>
      <c r="F182" s="2525"/>
      <c r="G182" s="2375"/>
      <c r="H182" s="2369"/>
      <c r="I182" s="2353"/>
    </row>
    <row r="183" spans="1:9" s="2177" customFormat="1" ht="12.95" customHeight="1" thickBot="1">
      <c r="A183" s="2173"/>
      <c r="B183" s="2185"/>
      <c r="C183" s="2188"/>
      <c r="D183" s="2186"/>
      <c r="E183" s="2143"/>
      <c r="F183" s="2516"/>
      <c r="G183" s="2370"/>
      <c r="H183" s="2371"/>
      <c r="I183" s="2353"/>
    </row>
    <row r="184" spans="1:9" s="2177" customFormat="1" ht="12.95" customHeight="1" thickTop="1">
      <c r="B184" s="2189"/>
      <c r="C184" s="2187"/>
      <c r="D184" s="2190"/>
      <c r="E184" s="2149"/>
      <c r="F184" s="2522"/>
      <c r="G184" s="2370"/>
      <c r="H184" s="2371"/>
      <c r="I184" s="2353"/>
    </row>
    <row r="185" spans="1:9" s="2209" customFormat="1" ht="12.95" customHeight="1" thickBot="1">
      <c r="A185" s="2144"/>
      <c r="B185" s="2191"/>
      <c r="C185" s="2192"/>
      <c r="D185" s="2193"/>
      <c r="E185" s="2192"/>
      <c r="F185" s="2192"/>
      <c r="G185" s="2376"/>
      <c r="H185" s="2377"/>
    </row>
    <row r="186" spans="1:9" s="2209" customFormat="1" ht="12.95" customHeight="1" thickTop="1">
      <c r="A186" s="2194"/>
      <c r="B186" s="2195"/>
      <c r="C186" s="2196"/>
      <c r="D186" s="2197"/>
      <c r="E186" s="2198"/>
      <c r="F186" s="2526"/>
      <c r="G186" s="2378"/>
      <c r="H186" s="2377"/>
    </row>
    <row r="187" spans="1:9" s="2209" customFormat="1" ht="12.95" customHeight="1">
      <c r="A187" s="2199"/>
      <c r="B187" s="2200"/>
      <c r="C187" s="2201"/>
      <c r="D187" s="2202"/>
      <c r="E187" s="2203"/>
      <c r="F187" s="2527"/>
      <c r="G187" s="2378"/>
      <c r="H187" s="2377"/>
    </row>
    <row r="188" spans="1:9" s="2352" customFormat="1" ht="12.95" customHeight="1">
      <c r="A188" s="2199"/>
      <c r="B188" s="2204"/>
      <c r="C188" s="2201"/>
      <c r="D188" s="2202"/>
      <c r="E188" s="2203"/>
      <c r="F188" s="2527"/>
      <c r="G188" s="2225"/>
      <c r="H188" s="2244"/>
      <c r="I188" s="2357"/>
    </row>
    <row r="189" spans="1:9" s="2209" customFormat="1" ht="12.95" customHeight="1">
      <c r="A189" s="2199"/>
      <c r="B189" s="2200"/>
      <c r="C189" s="2203"/>
      <c r="D189" s="2202"/>
      <c r="E189" s="2203"/>
      <c r="F189" s="2527"/>
      <c r="G189" s="2379"/>
      <c r="H189" s="2377"/>
    </row>
    <row r="190" spans="1:9" s="2209" customFormat="1" ht="12.95" customHeight="1" thickBot="1">
      <c r="A190" s="2205"/>
      <c r="B190" s="2206"/>
      <c r="C190" s="2207"/>
      <c r="D190" s="2208"/>
      <c r="E190" s="2143"/>
      <c r="F190" s="2516"/>
      <c r="G190" s="2379"/>
      <c r="H190" s="2377"/>
    </row>
    <row r="191" spans="1:9" s="2209" customFormat="1" ht="12.95" customHeight="1" thickTop="1">
      <c r="C191" s="2192"/>
      <c r="D191" s="2193"/>
      <c r="E191" s="2210"/>
      <c r="F191" s="2528"/>
      <c r="G191" s="2379"/>
      <c r="H191" s="2377"/>
    </row>
    <row r="192" spans="1:9" s="2070" customFormat="1" ht="12.95" customHeight="1" thickBot="1">
      <c r="A192" s="2144"/>
      <c r="B192" s="2211"/>
      <c r="C192" s="2212"/>
      <c r="D192" s="2148"/>
      <c r="E192" s="2072"/>
      <c r="F192" s="2072"/>
      <c r="G192" s="2225"/>
      <c r="H192" s="2225"/>
      <c r="I192" s="2354"/>
    </row>
    <row r="193" spans="1:9" s="2352" customFormat="1" ht="12.95" customHeight="1" thickTop="1">
      <c r="A193" s="2079"/>
      <c r="B193" s="2195"/>
      <c r="C193" s="2213"/>
      <c r="D193" s="2197"/>
      <c r="E193" s="2198"/>
      <c r="F193" s="2526"/>
      <c r="G193" s="2225"/>
      <c r="H193" s="2244"/>
      <c r="I193" s="2357"/>
    </row>
    <row r="194" spans="1:9" s="2352" customFormat="1" ht="12.95" customHeight="1">
      <c r="A194" s="2050"/>
      <c r="B194" s="2200"/>
      <c r="C194" s="2214"/>
      <c r="D194" s="2202"/>
      <c r="E194" s="2203"/>
      <c r="F194" s="2527"/>
      <c r="G194" s="2225"/>
      <c r="H194" s="2244"/>
      <c r="I194" s="2357"/>
    </row>
    <row r="195" spans="1:9" s="2352" customFormat="1" ht="12.95" customHeight="1">
      <c r="A195" s="2050"/>
      <c r="B195" s="2200"/>
      <c r="C195" s="2203"/>
      <c r="D195" s="2202"/>
      <c r="E195" s="2215"/>
      <c r="F195" s="2527"/>
      <c r="G195" s="2225"/>
      <c r="H195" s="2244"/>
      <c r="I195" s="2357"/>
    </row>
    <row r="196" spans="1:9" s="2352" customFormat="1" ht="12.95" customHeight="1">
      <c r="A196" s="2050"/>
      <c r="B196" s="2082"/>
      <c r="C196" s="2052"/>
      <c r="D196" s="2146"/>
      <c r="E196" s="2216"/>
      <c r="F196" s="2527"/>
      <c r="G196" s="2225"/>
      <c r="H196" s="2244"/>
      <c r="I196" s="2357"/>
    </row>
    <row r="197" spans="1:9" s="2352" customFormat="1" ht="12.95" customHeight="1" thickBot="1">
      <c r="A197" s="2099"/>
      <c r="B197" s="2206"/>
      <c r="C197" s="2207"/>
      <c r="D197" s="2208"/>
      <c r="E197" s="2143"/>
      <c r="F197" s="2516"/>
      <c r="G197" s="2227"/>
      <c r="H197" s="2244"/>
      <c r="I197" s="2357"/>
    </row>
    <row r="198" spans="1:9" s="2352" customFormat="1" ht="12.95" customHeight="1" thickTop="1">
      <c r="A198" s="2070"/>
      <c r="B198" s="2070"/>
      <c r="C198" s="2072"/>
      <c r="D198" s="2148"/>
      <c r="E198" s="2149"/>
      <c r="F198" s="2149"/>
      <c r="G198" s="2227"/>
      <c r="H198" s="2244"/>
      <c r="I198" s="2357"/>
    </row>
    <row r="199" spans="1:9" s="2352" customFormat="1" ht="12.95" hidden="1" customHeight="1" thickBot="1">
      <c r="A199" s="2144"/>
      <c r="B199" s="2217"/>
      <c r="C199" s="218"/>
      <c r="D199" s="219"/>
      <c r="E199" s="218"/>
      <c r="F199" s="218"/>
      <c r="G199" s="2227"/>
      <c r="H199" s="2244"/>
      <c r="I199" s="2357"/>
    </row>
    <row r="200" spans="1:9" s="2352" customFormat="1" ht="12.95" hidden="1" customHeight="1" thickTop="1">
      <c r="A200" s="2079"/>
      <c r="B200" s="2218"/>
      <c r="C200" s="2219"/>
      <c r="D200" s="197"/>
      <c r="E200" s="198"/>
      <c r="F200" s="199"/>
      <c r="G200" s="2227"/>
      <c r="H200" s="2244"/>
      <c r="I200" s="2357"/>
    </row>
    <row r="201" spans="1:9" s="2352" customFormat="1" ht="12.95" hidden="1" customHeight="1">
      <c r="A201" s="2050"/>
      <c r="B201" s="2220"/>
      <c r="C201" s="2221"/>
      <c r="D201" s="202"/>
      <c r="E201" s="203"/>
      <c r="F201" s="204"/>
      <c r="G201" s="2227"/>
      <c r="H201" s="2244"/>
      <c r="I201" s="2357"/>
    </row>
    <row r="202" spans="1:9" s="2352" customFormat="1" ht="12.95" hidden="1" customHeight="1">
      <c r="A202" s="2050"/>
      <c r="B202" s="2220"/>
      <c r="C202" s="201"/>
      <c r="D202" s="202"/>
      <c r="E202" s="2222"/>
      <c r="F202" s="204"/>
      <c r="G202" s="2227"/>
      <c r="H202" s="2244"/>
      <c r="I202" s="2357"/>
    </row>
    <row r="203" spans="1:9" s="2352" customFormat="1" ht="12.95" hidden="1" customHeight="1" thickBot="1">
      <c r="A203" s="2068"/>
      <c r="B203" s="2223"/>
      <c r="C203" s="207"/>
      <c r="D203" s="208"/>
      <c r="E203" s="2224"/>
      <c r="F203" s="2529"/>
      <c r="G203" s="2227"/>
      <c r="H203" s="2244"/>
      <c r="I203" s="2357"/>
    </row>
    <row r="204" spans="1:9" s="2352" customFormat="1" ht="12.95" hidden="1" customHeight="1" thickTop="1">
      <c r="A204" s="2070"/>
      <c r="B204" s="2070"/>
      <c r="C204" s="2225"/>
      <c r="D204" s="2226"/>
      <c r="E204" s="2227"/>
      <c r="F204" s="2227"/>
      <c r="G204" s="2227"/>
      <c r="H204" s="2244"/>
      <c r="I204" s="2357"/>
    </row>
    <row r="205" spans="1:9" s="2352" customFormat="1" ht="12.95" hidden="1" customHeight="1" thickBot="1">
      <c r="A205" s="2144"/>
      <c r="B205" s="2228"/>
      <c r="C205" s="8"/>
      <c r="D205" s="8"/>
      <c r="E205" s="8"/>
      <c r="F205" s="8"/>
      <c r="G205" s="2227"/>
      <c r="H205" s="2244"/>
      <c r="I205" s="2357"/>
    </row>
    <row r="206" spans="1:9" s="2352" customFormat="1" ht="12.95" hidden="1" customHeight="1" thickTop="1">
      <c r="A206" s="2079"/>
      <c r="B206" s="2229"/>
      <c r="C206" s="2230"/>
      <c r="D206" s="2231"/>
      <c r="E206" s="2232"/>
      <c r="F206" s="199"/>
      <c r="G206" s="2227"/>
      <c r="H206" s="2244"/>
      <c r="I206" s="2357"/>
    </row>
    <row r="207" spans="1:9" s="2352" customFormat="1" ht="12.95" hidden="1" customHeight="1">
      <c r="A207" s="2050"/>
      <c r="B207" s="2233"/>
      <c r="C207" s="2234"/>
      <c r="D207" s="2235"/>
      <c r="E207" s="2236"/>
      <c r="F207" s="204"/>
      <c r="G207" s="2244"/>
      <c r="H207" s="2244"/>
      <c r="I207" s="2357"/>
    </row>
    <row r="208" spans="1:9" s="2352" customFormat="1" ht="12.95" hidden="1" customHeight="1" thickBot="1">
      <c r="A208" s="2099"/>
      <c r="B208" s="2237"/>
      <c r="C208" s="2238"/>
      <c r="D208" s="2239"/>
      <c r="E208" s="2240"/>
      <c r="F208" s="2530"/>
      <c r="G208" s="2225"/>
      <c r="H208" s="2244"/>
      <c r="I208" s="2357"/>
    </row>
    <row r="209" spans="1:9" s="2352" customFormat="1" ht="12.95" customHeight="1">
      <c r="A209" s="2070"/>
      <c r="B209" s="2070"/>
      <c r="C209" s="2072"/>
      <c r="D209" s="2148"/>
      <c r="E209" s="2149"/>
      <c r="F209" s="2149"/>
      <c r="G209" s="2225"/>
      <c r="H209" s="2244"/>
      <c r="I209" s="2357"/>
    </row>
    <row r="210" spans="1:9" s="2352" customFormat="1" ht="12.95" customHeight="1" thickBot="1">
      <c r="A210" s="2144"/>
      <c r="B210" s="2241"/>
      <c r="C210" s="8"/>
      <c r="D210" s="1413"/>
      <c r="E210" s="8"/>
      <c r="F210" s="8"/>
      <c r="G210" s="2225"/>
      <c r="H210" s="2244"/>
      <c r="I210" s="2357"/>
    </row>
    <row r="211" spans="1:9" s="2352" customFormat="1" ht="12.95" customHeight="1" thickTop="1">
      <c r="A211" s="2079"/>
      <c r="B211" s="2242"/>
      <c r="C211" s="2242"/>
      <c r="D211" s="2231"/>
      <c r="E211" s="2232"/>
      <c r="F211" s="199"/>
      <c r="G211" s="2225"/>
      <c r="H211" s="2244"/>
      <c r="I211" s="2357"/>
    </row>
    <row r="212" spans="1:9" s="2352" customFormat="1" ht="12.95" customHeight="1">
      <c r="A212" s="2050"/>
      <c r="B212" s="2243"/>
      <c r="C212" s="2244"/>
      <c r="D212" s="2235"/>
      <c r="E212" s="2245"/>
      <c r="F212" s="204"/>
      <c r="G212" s="2225"/>
      <c r="H212" s="2244"/>
      <c r="I212" s="2357"/>
    </row>
    <row r="213" spans="1:9" s="2352" customFormat="1" ht="12.95" customHeight="1">
      <c r="A213" s="2068"/>
      <c r="B213" s="2243"/>
      <c r="C213" s="2243"/>
      <c r="D213" s="4909"/>
      <c r="E213" s="4909"/>
      <c r="F213" s="2531"/>
      <c r="G213" s="2225"/>
      <c r="H213" s="2244"/>
      <c r="I213" s="2357"/>
    </row>
    <row r="214" spans="1:9" s="2352" customFormat="1" ht="12.95" customHeight="1" thickBot="1">
      <c r="A214" s="2099"/>
      <c r="B214" s="2238"/>
      <c r="C214" s="2238"/>
      <c r="D214" s="4910"/>
      <c r="E214" s="4910"/>
      <c r="F214" s="2532"/>
      <c r="G214" s="2225"/>
      <c r="H214" s="2244"/>
      <c r="I214" s="2357"/>
    </row>
    <row r="215" spans="1:9" s="2352" customFormat="1" ht="12.95" customHeight="1" thickTop="1">
      <c r="A215" s="2070"/>
      <c r="B215" s="2070"/>
      <c r="C215" s="2072"/>
      <c r="D215" s="2148"/>
      <c r="E215" s="2149"/>
      <c r="F215" s="2149"/>
      <c r="G215" s="2225"/>
      <c r="H215" s="2244"/>
      <c r="I215" s="2357"/>
    </row>
    <row r="216" spans="1:9" s="2352" customFormat="1" ht="12.95" customHeight="1" thickBot="1">
      <c r="A216" s="2070"/>
      <c r="B216" s="2150"/>
      <c r="C216" s="2093"/>
      <c r="D216" s="2094"/>
      <c r="E216" s="2093"/>
      <c r="F216" s="2093"/>
      <c r="G216" s="2225"/>
      <c r="H216" s="2244"/>
      <c r="I216" s="2357"/>
    </row>
    <row r="217" spans="1:9" s="2352" customFormat="1" ht="12.95" customHeight="1" thickTop="1">
      <c r="A217" s="2246"/>
      <c r="B217" s="2080"/>
      <c r="C217" s="2247"/>
      <c r="D217" s="2145"/>
      <c r="E217" s="2048"/>
      <c r="F217" s="199"/>
      <c r="G217" s="2225"/>
      <c r="H217" s="2244"/>
      <c r="I217" s="2357"/>
    </row>
    <row r="218" spans="1:9" s="2352" customFormat="1" ht="12.95" customHeight="1">
      <c r="A218" s="2068"/>
      <c r="B218" s="2082"/>
      <c r="C218" s="2052"/>
      <c r="D218" s="2146"/>
      <c r="E218" s="2052"/>
      <c r="F218" s="204"/>
      <c r="G218" s="2227"/>
      <c r="H218" s="2244"/>
      <c r="I218" s="2357"/>
    </row>
    <row r="219" spans="1:9" s="2352" customFormat="1" ht="12.95" customHeight="1">
      <c r="A219" s="2068"/>
      <c r="B219" s="2082"/>
      <c r="C219" s="2052"/>
      <c r="D219" s="2146"/>
      <c r="E219" s="2248"/>
      <c r="F219" s="204"/>
      <c r="G219" s="2227"/>
      <c r="H219" s="2244"/>
      <c r="I219" s="2357"/>
    </row>
    <row r="220" spans="1:9" s="2352" customFormat="1" ht="12.95" customHeight="1">
      <c r="A220" s="2068"/>
      <c r="B220" s="2082"/>
      <c r="C220" s="2052"/>
      <c r="D220" s="2146"/>
      <c r="E220" s="2052"/>
      <c r="F220" s="204"/>
      <c r="G220" s="2244"/>
      <c r="H220" s="2244"/>
      <c r="I220" s="2357"/>
    </row>
    <row r="221" spans="1:9" s="2352" customFormat="1" ht="12.95" customHeight="1" thickBot="1">
      <c r="A221" s="2099"/>
      <c r="B221" s="2100"/>
      <c r="C221" s="2101"/>
      <c r="D221" s="2105"/>
      <c r="E221" s="2143"/>
      <c r="F221" s="2533"/>
      <c r="G221" s="2225"/>
      <c r="H221" s="2244"/>
      <c r="I221" s="2357"/>
    </row>
    <row r="222" spans="1:9" s="2352" customFormat="1" ht="12.95" customHeight="1" thickTop="1">
      <c r="A222" s="2070"/>
      <c r="B222" s="2070"/>
      <c r="C222" s="2072"/>
      <c r="D222" s="2148"/>
      <c r="E222" s="2149"/>
      <c r="F222" s="2149"/>
      <c r="G222" s="2225"/>
      <c r="H222" s="2244"/>
      <c r="I222" s="2357"/>
    </row>
    <row r="223" spans="1:9" s="2352" customFormat="1" ht="12.95" customHeight="1" thickBot="1">
      <c r="A223" s="2070"/>
      <c r="B223" s="2147"/>
      <c r="C223" s="2093"/>
      <c r="D223" s="2094"/>
      <c r="E223" s="2093"/>
      <c r="F223" s="2093"/>
      <c r="G223" s="2225"/>
      <c r="H223" s="2244"/>
      <c r="I223" s="2357"/>
    </row>
    <row r="224" spans="1:9" s="2352" customFormat="1" ht="12.95" customHeight="1" thickTop="1">
      <c r="A224" s="2246"/>
      <c r="B224" s="2080"/>
      <c r="C224" s="2247"/>
      <c r="D224" s="2145"/>
      <c r="E224" s="2048"/>
      <c r="F224" s="199"/>
      <c r="G224" s="2225"/>
      <c r="H224" s="2244"/>
      <c r="I224" s="2357"/>
    </row>
    <row r="225" spans="1:9" s="2352" customFormat="1" ht="12.95" customHeight="1">
      <c r="A225" s="2068"/>
      <c r="B225" s="2082"/>
      <c r="C225" s="2052"/>
      <c r="D225" s="2146"/>
      <c r="E225" s="2052"/>
      <c r="F225" s="204"/>
      <c r="G225" s="2225"/>
      <c r="H225" s="2244"/>
      <c r="I225" s="2357"/>
    </row>
    <row r="226" spans="1:9" s="2352" customFormat="1" ht="12.95" customHeight="1">
      <c r="A226" s="2068"/>
      <c r="B226" s="2082"/>
      <c r="C226" s="2052"/>
      <c r="D226" s="2146"/>
      <c r="E226" s="2249"/>
      <c r="F226" s="204"/>
      <c r="G226" s="2227"/>
      <c r="H226" s="2244"/>
      <c r="I226" s="2357"/>
    </row>
    <row r="227" spans="1:9" s="2352" customFormat="1" ht="12.95" customHeight="1">
      <c r="A227" s="2068"/>
      <c r="B227" s="2082"/>
      <c r="C227" s="2052"/>
      <c r="D227" s="2146"/>
      <c r="E227" s="2052"/>
      <c r="F227" s="204"/>
      <c r="G227" s="2227"/>
      <c r="H227" s="2244"/>
      <c r="I227" s="2357"/>
    </row>
    <row r="228" spans="1:9" s="2352" customFormat="1" ht="12.95" customHeight="1" thickBot="1">
      <c r="A228" s="2099"/>
      <c r="B228" s="2100"/>
      <c r="C228" s="2101"/>
      <c r="D228" s="2105"/>
      <c r="E228" s="2143"/>
      <c r="F228" s="2533"/>
      <c r="G228" s="2244"/>
      <c r="H228" s="2244"/>
      <c r="I228" s="2357"/>
    </row>
    <row r="229" spans="1:9" s="2352" customFormat="1" ht="12.95" customHeight="1" thickTop="1">
      <c r="A229" s="2070"/>
      <c r="B229" s="2147"/>
      <c r="C229" s="2250"/>
      <c r="D229" s="2148"/>
      <c r="E229" s="2149"/>
      <c r="F229" s="2149"/>
      <c r="G229" s="2225"/>
      <c r="H229" s="2244"/>
      <c r="I229" s="2357"/>
    </row>
    <row r="230" spans="1:9" s="2352" customFormat="1" ht="12.95" customHeight="1" thickBot="1">
      <c r="A230" s="2070"/>
      <c r="B230" s="2147"/>
      <c r="C230" s="2093"/>
      <c r="D230" s="2094"/>
      <c r="E230" s="2093"/>
      <c r="F230" s="2093"/>
      <c r="G230" s="2225"/>
      <c r="H230" s="2244"/>
      <c r="I230" s="2357"/>
    </row>
    <row r="231" spans="1:9" s="2352" customFormat="1" ht="12.95" customHeight="1" thickTop="1">
      <c r="A231" s="2246"/>
      <c r="B231" s="2080"/>
      <c r="C231" s="2247"/>
      <c r="D231" s="2145"/>
      <c r="E231" s="2048"/>
      <c r="F231" s="199"/>
      <c r="G231" s="2225"/>
      <c r="H231" s="2244"/>
      <c r="I231" s="2357"/>
    </row>
    <row r="232" spans="1:9" s="2352" customFormat="1" ht="12.95" customHeight="1">
      <c r="A232" s="2068"/>
      <c r="B232" s="2082"/>
      <c r="C232" s="2052"/>
      <c r="D232" s="2146"/>
      <c r="E232" s="2052"/>
      <c r="F232" s="204"/>
      <c r="G232" s="2225"/>
      <c r="H232" s="2244"/>
      <c r="I232" s="2357"/>
    </row>
    <row r="233" spans="1:9" s="2352" customFormat="1" ht="12.95" customHeight="1">
      <c r="A233" s="2068"/>
      <c r="B233" s="2082"/>
      <c r="C233" s="2052"/>
      <c r="D233" s="2146"/>
      <c r="E233" s="2248"/>
      <c r="F233" s="204"/>
      <c r="G233" s="2225"/>
      <c r="H233" s="2244"/>
      <c r="I233" s="2357"/>
    </row>
    <row r="234" spans="1:9" s="2352" customFormat="1" ht="12.95" customHeight="1">
      <c r="A234" s="2068"/>
      <c r="B234" s="2082"/>
      <c r="C234" s="2251"/>
      <c r="D234" s="2146"/>
      <c r="E234" s="2052"/>
      <c r="F234" s="204"/>
      <c r="G234" s="2227"/>
      <c r="H234" s="2244"/>
      <c r="I234" s="2357"/>
    </row>
    <row r="235" spans="1:9" s="2352" customFormat="1" ht="12.95" customHeight="1">
      <c r="A235" s="2068"/>
      <c r="B235" s="2082"/>
      <c r="C235" s="2052"/>
      <c r="D235" s="2146"/>
      <c r="E235" s="2052"/>
      <c r="F235" s="204"/>
      <c r="G235" s="2227"/>
      <c r="H235" s="2244"/>
      <c r="I235" s="2357"/>
    </row>
    <row r="236" spans="1:9" s="2352" customFormat="1" ht="12.95" customHeight="1" thickBot="1">
      <c r="A236" s="2099"/>
      <c r="B236" s="2100"/>
      <c r="C236" s="2101"/>
      <c r="D236" s="2105"/>
      <c r="E236" s="2143"/>
      <c r="F236" s="2533"/>
      <c r="G236" s="2244"/>
      <c r="H236" s="2244"/>
      <c r="I236" s="2357"/>
    </row>
    <row r="237" spans="1:9" s="2352" customFormat="1" ht="12.95" customHeight="1" thickTop="1">
      <c r="A237" s="2070"/>
      <c r="B237" s="2147"/>
      <c r="C237" s="2250"/>
      <c r="D237" s="2148"/>
      <c r="E237" s="2149"/>
      <c r="F237" s="2149"/>
      <c r="G237" s="2225"/>
      <c r="H237" s="2244"/>
      <c r="I237" s="2357"/>
    </row>
    <row r="238" spans="1:9" s="2352" customFormat="1" ht="12.95" customHeight="1" thickBot="1">
      <c r="A238" s="2070"/>
      <c r="B238" s="2147"/>
      <c r="C238" s="2093"/>
      <c r="D238" s="2094"/>
      <c r="E238" s="2093"/>
      <c r="F238" s="2093"/>
      <c r="G238" s="2225"/>
      <c r="H238" s="2244"/>
      <c r="I238" s="2357"/>
    </row>
    <row r="239" spans="1:9" s="2352" customFormat="1" ht="12.95" customHeight="1" thickTop="1">
      <c r="A239" s="2246"/>
      <c r="B239" s="2080"/>
      <c r="C239" s="2247"/>
      <c r="D239" s="2145"/>
      <c r="E239" s="2048"/>
      <c r="F239" s="199"/>
      <c r="G239" s="2225"/>
      <c r="H239" s="2244"/>
      <c r="I239" s="2357"/>
    </row>
    <row r="240" spans="1:9" s="2352" customFormat="1" ht="12.95" customHeight="1">
      <c r="A240" s="2068"/>
      <c r="B240" s="2082"/>
      <c r="C240" s="2052"/>
      <c r="D240" s="2146"/>
      <c r="E240" s="2052"/>
      <c r="F240" s="204"/>
      <c r="G240" s="2225"/>
      <c r="H240" s="2244"/>
      <c r="I240" s="2357"/>
    </row>
    <row r="241" spans="1:9" s="2352" customFormat="1" ht="12.95" customHeight="1">
      <c r="A241" s="2068"/>
      <c r="B241" s="2082"/>
      <c r="C241" s="2052"/>
      <c r="D241" s="2146"/>
      <c r="E241" s="2248"/>
      <c r="F241" s="204"/>
      <c r="G241" s="2225"/>
      <c r="H241" s="2244"/>
      <c r="I241" s="2357"/>
    </row>
    <row r="242" spans="1:9" s="2352" customFormat="1" ht="12.95" customHeight="1">
      <c r="A242" s="2068"/>
      <c r="B242" s="2082"/>
      <c r="C242" s="2251"/>
      <c r="D242" s="2146"/>
      <c r="E242" s="2052"/>
      <c r="F242" s="204"/>
      <c r="G242" s="2227"/>
      <c r="H242" s="2244"/>
      <c r="I242" s="2357"/>
    </row>
    <row r="243" spans="1:9" s="2352" customFormat="1" ht="12.95" customHeight="1">
      <c r="A243" s="2068"/>
      <c r="B243" s="2082"/>
      <c r="C243" s="2052"/>
      <c r="D243" s="2146"/>
      <c r="E243" s="2052"/>
      <c r="F243" s="204"/>
      <c r="G243" s="2227"/>
      <c r="H243" s="2244"/>
      <c r="I243" s="2357"/>
    </row>
    <row r="244" spans="1:9" s="2352" customFormat="1" ht="12.95" customHeight="1" thickBot="1">
      <c r="A244" s="2099"/>
      <c r="B244" s="2100"/>
      <c r="C244" s="2101"/>
      <c r="D244" s="2105"/>
      <c r="E244" s="2252"/>
      <c r="F244" s="2533"/>
      <c r="G244" s="2380"/>
      <c r="H244" s="2244"/>
      <c r="I244" s="2357"/>
    </row>
    <row r="245" spans="1:9" s="2352" customFormat="1" ht="12.95" customHeight="1" thickTop="1">
      <c r="A245" s="2070"/>
      <c r="B245" s="2147"/>
      <c r="C245" s="2250"/>
      <c r="D245" s="2148"/>
      <c r="E245" s="2149"/>
      <c r="F245" s="2149"/>
      <c r="G245" s="2244"/>
      <c r="H245" s="2244"/>
      <c r="I245" s="2357"/>
    </row>
    <row r="246" spans="1:9" s="2352" customFormat="1" ht="12.95" customHeight="1" thickBot="1">
      <c r="A246" s="2070"/>
      <c r="B246" s="2147"/>
      <c r="C246" s="2093"/>
      <c r="D246" s="2094"/>
      <c r="E246" s="2093"/>
      <c r="F246" s="2093"/>
      <c r="G246" s="2225"/>
      <c r="H246" s="2244"/>
      <c r="I246" s="2357"/>
    </row>
    <row r="247" spans="1:9" s="2352" customFormat="1" ht="12.95" customHeight="1" thickTop="1">
      <c r="A247" s="2246"/>
      <c r="B247" s="2080"/>
      <c r="C247" s="2253"/>
      <c r="D247" s="2081"/>
      <c r="E247" s="2048"/>
      <c r="F247" s="199"/>
      <c r="G247" s="2225"/>
      <c r="H247" s="2244"/>
      <c r="I247" s="2357"/>
    </row>
    <row r="248" spans="1:9" s="2352" customFormat="1" ht="12.95" customHeight="1">
      <c r="A248" s="2068"/>
      <c r="B248" s="2082"/>
      <c r="C248" s="2052"/>
      <c r="D248" s="2083"/>
      <c r="E248" s="2052"/>
      <c r="F248" s="204"/>
      <c r="G248" s="2225"/>
      <c r="H248" s="2244"/>
      <c r="I248" s="2357"/>
    </row>
    <row r="249" spans="1:9" s="2352" customFormat="1" ht="12.95" customHeight="1">
      <c r="A249" s="2068"/>
      <c r="B249" s="2082"/>
      <c r="C249" s="2052"/>
      <c r="D249" s="2083"/>
      <c r="E249" s="2248"/>
      <c r="F249" s="204"/>
      <c r="G249" s="2225"/>
      <c r="H249" s="2244"/>
      <c r="I249" s="2357"/>
    </row>
    <row r="250" spans="1:9" s="2352" customFormat="1" ht="12.95" customHeight="1">
      <c r="A250" s="2068"/>
      <c r="B250" s="2082"/>
      <c r="C250" s="2052"/>
      <c r="D250" s="2083"/>
      <c r="E250" s="2248"/>
      <c r="F250" s="204"/>
      <c r="G250" s="2227"/>
      <c r="H250" s="2244"/>
      <c r="I250" s="2357"/>
    </row>
    <row r="251" spans="1:9" s="2352" customFormat="1" ht="12.95" customHeight="1">
      <c r="A251" s="2068"/>
      <c r="B251" s="2082"/>
      <c r="C251" s="2052"/>
      <c r="D251" s="2083"/>
      <c r="E251" s="2052"/>
      <c r="F251" s="204"/>
      <c r="G251" s="2227"/>
      <c r="H251" s="2244"/>
      <c r="I251" s="2357"/>
    </row>
    <row r="252" spans="1:9" s="2352" customFormat="1" ht="12.95" customHeight="1" thickBot="1">
      <c r="A252" s="2099"/>
      <c r="B252" s="2100"/>
      <c r="C252" s="2101"/>
      <c r="D252" s="2091"/>
      <c r="E252" s="2092"/>
      <c r="F252" s="2533"/>
      <c r="G252" s="2244"/>
      <c r="H252" s="2244"/>
      <c r="I252" s="2357"/>
    </row>
    <row r="253" spans="1:9" s="2352" customFormat="1" ht="12.95" customHeight="1" thickTop="1" thickBot="1">
      <c r="A253" s="2070"/>
      <c r="B253" s="2147"/>
      <c r="C253" s="2072"/>
      <c r="D253" s="2103"/>
      <c r="E253" s="2149"/>
      <c r="F253" s="2533"/>
      <c r="G253" s="2225"/>
      <c r="H253" s="2244"/>
      <c r="I253" s="2357"/>
    </row>
    <row r="254" spans="1:9" s="2352" customFormat="1" ht="12.95" customHeight="1" thickTop="1">
      <c r="A254" s="2070"/>
      <c r="B254" s="2070"/>
      <c r="C254" s="2093"/>
      <c r="D254" s="2094"/>
      <c r="E254" s="2158"/>
      <c r="F254" s="2534"/>
      <c r="G254" s="2225"/>
      <c r="H254" s="2244"/>
      <c r="I254" s="2357"/>
    </row>
    <row r="255" spans="1:9" s="2352" customFormat="1" ht="12.95" hidden="1" customHeight="1" thickBot="1">
      <c r="A255" s="2070"/>
      <c r="B255" s="2147"/>
      <c r="C255" s="2093"/>
      <c r="D255" s="2094"/>
      <c r="E255" s="2093"/>
      <c r="F255" s="2093"/>
      <c r="G255" s="2225"/>
      <c r="H255" s="2244"/>
      <c r="I255" s="2357"/>
    </row>
    <row r="256" spans="1:9" s="2352" customFormat="1" ht="12.95" hidden="1" customHeight="1" thickTop="1">
      <c r="A256" s="2246"/>
      <c r="B256" s="2080"/>
      <c r="C256" s="2247"/>
      <c r="D256" s="2081"/>
      <c r="E256" s="2048"/>
      <c r="F256" s="199"/>
      <c r="G256" s="2227"/>
      <c r="H256" s="2244"/>
      <c r="I256" s="2357"/>
    </row>
    <row r="257" spans="1:9" s="2352" customFormat="1" ht="12.95" hidden="1" customHeight="1">
      <c r="A257" s="2068"/>
      <c r="B257" s="2082"/>
      <c r="C257" s="2052"/>
      <c r="D257" s="2083"/>
      <c r="E257" s="2052"/>
      <c r="F257" s="204"/>
      <c r="G257" s="2227"/>
      <c r="H257" s="2244"/>
      <c r="I257" s="2357"/>
    </row>
    <row r="258" spans="1:9" s="2352" customFormat="1" ht="12.95" hidden="1" customHeight="1">
      <c r="A258" s="2068"/>
      <c r="B258" s="2082"/>
      <c r="C258" s="2052"/>
      <c r="D258" s="2083"/>
      <c r="E258" s="2248"/>
      <c r="F258" s="204"/>
      <c r="G258" s="2227"/>
      <c r="H258" s="2244"/>
      <c r="I258" s="2357"/>
    </row>
    <row r="259" spans="1:9" s="2352" customFormat="1" ht="12.95" hidden="1" customHeight="1">
      <c r="A259" s="2068"/>
      <c r="B259" s="2082"/>
      <c r="C259" s="2052"/>
      <c r="D259" s="2083"/>
      <c r="E259" s="2254"/>
      <c r="F259" s="204"/>
      <c r="G259" s="2225"/>
      <c r="H259" s="2244"/>
      <c r="I259" s="2357"/>
    </row>
    <row r="260" spans="1:9" s="2352" customFormat="1" ht="12.95" hidden="1" customHeight="1" thickBot="1">
      <c r="A260" s="2068"/>
      <c r="B260" s="2100"/>
      <c r="C260" s="2101"/>
      <c r="D260" s="2091"/>
      <c r="E260" s="2092"/>
      <c r="F260" s="2533"/>
      <c r="G260" s="2225"/>
      <c r="H260" s="2244"/>
      <c r="I260" s="2357"/>
    </row>
    <row r="261" spans="1:9" s="2352" customFormat="1" ht="12.95" customHeight="1">
      <c r="A261" s="2070"/>
      <c r="B261" s="2070"/>
      <c r="C261" s="2072"/>
      <c r="D261" s="2103"/>
      <c r="E261" s="2149"/>
      <c r="F261" s="2149"/>
      <c r="G261" s="2225"/>
      <c r="H261" s="2244"/>
      <c r="I261" s="2357"/>
    </row>
    <row r="262" spans="1:9" s="2352" customFormat="1" ht="12.95" customHeight="1" thickBot="1">
      <c r="A262" s="2070"/>
      <c r="B262" s="2147"/>
      <c r="C262" s="2093"/>
      <c r="D262" s="2094"/>
      <c r="E262" s="2093"/>
      <c r="F262" s="2093"/>
      <c r="G262" s="2227"/>
      <c r="H262" s="2244"/>
      <c r="I262" s="2357"/>
    </row>
    <row r="263" spans="1:9" s="2352" customFormat="1" ht="12.95" customHeight="1" thickTop="1">
      <c r="A263" s="2246"/>
      <c r="B263" s="2080"/>
      <c r="C263" s="2255"/>
      <c r="D263" s="2081"/>
      <c r="E263" s="2048"/>
      <c r="F263" s="199"/>
      <c r="G263" s="2227"/>
      <c r="H263" s="2244"/>
      <c r="I263" s="2357"/>
    </row>
    <row r="264" spans="1:9" s="2352" customFormat="1" ht="14.25" customHeight="1">
      <c r="A264" s="2068"/>
      <c r="B264" s="2082"/>
      <c r="C264" s="2256"/>
      <c r="D264" s="2083"/>
      <c r="E264" s="2052"/>
      <c r="F264" s="204"/>
      <c r="G264" s="2381"/>
      <c r="H264" s="2244"/>
      <c r="I264" s="2357"/>
    </row>
    <row r="265" spans="1:9" s="2352" customFormat="1" ht="12.95" customHeight="1">
      <c r="A265" s="2068"/>
      <c r="B265" s="2082"/>
      <c r="C265" s="2052"/>
      <c r="D265" s="2083"/>
      <c r="E265" s="2254"/>
      <c r="F265" s="204"/>
      <c r="G265" s="2244"/>
      <c r="H265" s="2244"/>
      <c r="I265" s="2357"/>
    </row>
    <row r="266" spans="1:9" s="2352" customFormat="1" ht="12.95" customHeight="1" thickBot="1">
      <c r="A266" s="2099"/>
      <c r="B266" s="2100"/>
      <c r="C266" s="2101"/>
      <c r="D266" s="2091"/>
      <c r="E266" s="2143"/>
      <c r="F266" s="2533"/>
      <c r="G266" s="2225"/>
      <c r="H266" s="2244"/>
      <c r="I266" s="2357"/>
    </row>
    <row r="267" spans="1:9" s="2352" customFormat="1" ht="12.95" customHeight="1" thickTop="1">
      <c r="A267" s="2070"/>
      <c r="B267" s="2070"/>
      <c r="C267" s="2072"/>
      <c r="D267" s="2103"/>
      <c r="E267" s="2149"/>
      <c r="F267" s="2149"/>
      <c r="G267" s="2225"/>
      <c r="H267" s="2244"/>
      <c r="I267" s="2357"/>
    </row>
    <row r="268" spans="1:9" s="2352" customFormat="1" ht="15" customHeight="1">
      <c r="A268" s="2074"/>
      <c r="B268" s="4903"/>
      <c r="C268" s="4903"/>
      <c r="D268" s="4903"/>
      <c r="E268" s="4903"/>
      <c r="F268" s="4903"/>
      <c r="G268" s="2225"/>
      <c r="H268" s="2244"/>
      <c r="I268" s="2357"/>
    </row>
    <row r="269" spans="1:9" s="2352" customFormat="1" ht="12.95" customHeight="1" thickBot="1">
      <c r="A269" s="2070"/>
      <c r="B269" s="2147"/>
      <c r="C269" s="2072"/>
      <c r="D269" s="2103"/>
      <c r="E269" s="2149"/>
      <c r="F269" s="2149"/>
      <c r="G269" s="2225"/>
      <c r="H269" s="2244"/>
      <c r="I269" s="2357"/>
    </row>
    <row r="270" spans="1:9" s="2352" customFormat="1" ht="12.95" customHeight="1" thickTop="1">
      <c r="A270" s="2246"/>
      <c r="B270" s="2080"/>
      <c r="C270" s="2048"/>
      <c r="D270" s="2081"/>
      <c r="E270" s="2048"/>
      <c r="F270" s="199"/>
      <c r="G270" s="2225"/>
      <c r="H270" s="2244"/>
      <c r="I270" s="2357"/>
    </row>
    <row r="271" spans="1:9" s="2352" customFormat="1" ht="12.95" customHeight="1">
      <c r="A271" s="2068"/>
      <c r="B271" s="2157"/>
      <c r="C271" s="2052"/>
      <c r="D271" s="2083"/>
      <c r="E271" s="2052"/>
      <c r="F271" s="204"/>
      <c r="G271" s="2225"/>
      <c r="H271" s="2244"/>
      <c r="I271" s="2357"/>
    </row>
    <row r="272" spans="1:9" s="2352" customFormat="1" ht="12.95" customHeight="1">
      <c r="A272" s="2068"/>
      <c r="B272" s="2082"/>
      <c r="C272" s="2052"/>
      <c r="D272" s="2083"/>
      <c r="E272" s="2052"/>
      <c r="F272" s="204"/>
      <c r="G272" s="2225"/>
      <c r="H272" s="2244"/>
      <c r="I272" s="2357"/>
    </row>
    <row r="273" spans="1:9" s="2352" customFormat="1" ht="12.95" customHeight="1" thickBot="1">
      <c r="A273" s="2099"/>
      <c r="B273" s="2100"/>
      <c r="C273" s="2101"/>
      <c r="D273" s="2091"/>
      <c r="E273" s="2143"/>
      <c r="F273" s="2533"/>
      <c r="G273" s="2227"/>
      <c r="H273" s="2244"/>
      <c r="I273" s="2357"/>
    </row>
    <row r="274" spans="1:9" s="2352" customFormat="1" ht="12.95" customHeight="1" thickTop="1">
      <c r="A274" s="2070"/>
      <c r="B274" s="2070"/>
      <c r="C274" s="2072"/>
      <c r="D274" s="2103"/>
      <c r="E274" s="2149"/>
      <c r="F274" s="2149"/>
      <c r="G274" s="2368"/>
      <c r="H274" s="2244"/>
      <c r="I274" s="2357"/>
    </row>
    <row r="275" spans="1:9" s="2352" customFormat="1" ht="12.95" customHeight="1">
      <c r="A275" s="2070"/>
      <c r="B275" s="2070"/>
      <c r="C275" s="2072"/>
      <c r="D275" s="2103"/>
      <c r="E275" s="2149"/>
      <c r="F275" s="2149"/>
      <c r="G275" s="2368"/>
      <c r="H275" s="2244"/>
      <c r="I275" s="2357"/>
    </row>
    <row r="276" spans="1:9" s="2352" customFormat="1" ht="12.95" customHeight="1">
      <c r="A276" s="2070"/>
      <c r="B276" s="2070"/>
      <c r="C276" s="2093"/>
      <c r="D276" s="2094"/>
      <c r="E276" s="2158"/>
      <c r="F276" s="2158"/>
      <c r="G276" s="2227"/>
      <c r="H276" s="2244"/>
      <c r="I276" s="2357"/>
    </row>
    <row r="277" spans="1:9" s="2352" customFormat="1" ht="12.95" customHeight="1" thickBot="1">
      <c r="A277" s="2070"/>
      <c r="B277" s="2147"/>
      <c r="C277" s="2093"/>
      <c r="D277" s="2094"/>
      <c r="E277" s="2093"/>
      <c r="F277" s="2093"/>
      <c r="G277" s="2227"/>
      <c r="H277" s="2244"/>
      <c r="I277" s="2357"/>
    </row>
    <row r="278" spans="1:9" s="2352" customFormat="1" ht="12.95" customHeight="1" thickTop="1">
      <c r="A278" s="2246"/>
      <c r="B278" s="2080"/>
      <c r="C278" s="2048"/>
      <c r="D278" s="2145"/>
      <c r="E278" s="2048"/>
      <c r="F278" s="199"/>
      <c r="G278" s="2227"/>
      <c r="H278" s="2244"/>
      <c r="I278" s="2357"/>
    </row>
    <row r="279" spans="1:9" s="2352" customFormat="1" ht="12.95" customHeight="1">
      <c r="A279" s="2068"/>
      <c r="B279" s="2082"/>
      <c r="C279" s="2052"/>
      <c r="D279" s="2146"/>
      <c r="E279" s="2052"/>
      <c r="F279" s="204"/>
      <c r="G279" s="2227"/>
      <c r="H279" s="2244"/>
      <c r="I279" s="2357"/>
    </row>
    <row r="280" spans="1:9" s="2352" customFormat="1" ht="12.95" customHeight="1">
      <c r="A280" s="2068"/>
      <c r="B280" s="2082"/>
      <c r="C280" s="2251"/>
      <c r="D280" s="2146"/>
      <c r="E280" s="2052"/>
      <c r="F280" s="204"/>
      <c r="G280" s="2227"/>
      <c r="H280" s="2244"/>
      <c r="I280" s="2357"/>
    </row>
    <row r="281" spans="1:9" s="2352" customFormat="1" ht="12.95" customHeight="1">
      <c r="A281" s="2068"/>
      <c r="B281" s="2082"/>
      <c r="C281" s="2257"/>
      <c r="D281" s="2146"/>
      <c r="E281" s="2052"/>
      <c r="F281" s="204"/>
      <c r="G281" s="2244"/>
      <c r="H281" s="2244"/>
      <c r="I281" s="2357"/>
    </row>
    <row r="282" spans="1:9" s="2352" customFormat="1" ht="12.95" customHeight="1">
      <c r="A282" s="2068"/>
      <c r="B282" s="2082"/>
      <c r="C282" s="2257"/>
      <c r="D282" s="2146"/>
      <c r="E282" s="2052"/>
      <c r="F282" s="204"/>
      <c r="G282" s="2225"/>
      <c r="H282" s="2244"/>
      <c r="I282" s="2357"/>
    </row>
    <row r="283" spans="1:9" s="2352" customFormat="1" ht="12.95" customHeight="1">
      <c r="A283" s="2068"/>
      <c r="B283" s="2082"/>
      <c r="C283" s="2257"/>
      <c r="D283" s="2146"/>
      <c r="E283" s="2052"/>
      <c r="F283" s="204"/>
      <c r="G283" s="2225"/>
      <c r="H283" s="2244"/>
      <c r="I283" s="2357"/>
    </row>
    <row r="284" spans="1:9" s="2352" customFormat="1" ht="12.95" customHeight="1">
      <c r="A284" s="2068"/>
      <c r="B284" s="2082"/>
      <c r="C284" s="2251"/>
      <c r="D284" s="2146"/>
      <c r="E284" s="2052"/>
      <c r="F284" s="204"/>
      <c r="G284" s="2225"/>
      <c r="H284" s="2244"/>
      <c r="I284" s="2357"/>
    </row>
    <row r="285" spans="1:9" s="2352" customFormat="1" ht="12.95" customHeight="1">
      <c r="A285" s="2068"/>
      <c r="B285" s="2082"/>
      <c r="C285" s="2052"/>
      <c r="D285" s="2146"/>
      <c r="E285" s="2052"/>
      <c r="F285" s="204"/>
      <c r="G285" s="2225"/>
      <c r="H285" s="2244"/>
      <c r="I285" s="2357"/>
    </row>
    <row r="286" spans="1:9" s="2352" customFormat="1" ht="12.95" hidden="1" customHeight="1">
      <c r="A286" s="2068"/>
      <c r="B286" s="2137"/>
      <c r="C286" s="2109"/>
      <c r="D286" s="2146"/>
      <c r="E286" s="2258"/>
      <c r="F286" s="2535"/>
      <c r="G286" s="2225"/>
      <c r="H286" s="2244"/>
      <c r="I286" s="2357"/>
    </row>
    <row r="287" spans="1:9" s="2352" customFormat="1" ht="12.95" hidden="1" customHeight="1">
      <c r="A287" s="2068"/>
      <c r="B287" s="2259"/>
      <c r="C287" s="2109"/>
      <c r="D287" s="2146"/>
      <c r="E287" s="2111"/>
      <c r="F287" s="2536"/>
      <c r="G287" s="2225"/>
      <c r="H287" s="2244"/>
      <c r="I287" s="2357"/>
    </row>
    <row r="288" spans="1:9" s="2352" customFormat="1" ht="12.95" hidden="1" customHeight="1">
      <c r="A288" s="2068"/>
      <c r="B288" s="2137"/>
      <c r="C288" s="2109"/>
      <c r="D288" s="2146"/>
      <c r="E288" s="2258"/>
      <c r="F288" s="2535"/>
      <c r="G288" s="2225"/>
      <c r="H288" s="2244"/>
      <c r="I288" s="2357"/>
    </row>
    <row r="289" spans="1:9" s="2352" customFormat="1" ht="12.95" customHeight="1" thickBot="1">
      <c r="A289" s="2099"/>
      <c r="B289" s="2260"/>
      <c r="C289" s="2101"/>
      <c r="D289" s="2105"/>
      <c r="E289" s="2143"/>
      <c r="F289" s="2533"/>
      <c r="G289" s="2225"/>
      <c r="H289" s="2244"/>
      <c r="I289" s="2357"/>
    </row>
    <row r="290" spans="1:9" s="2352" customFormat="1" ht="12.95" customHeight="1" thickTop="1">
      <c r="A290" s="2070"/>
      <c r="B290" s="2070"/>
      <c r="C290" s="2072"/>
      <c r="D290" s="2148"/>
      <c r="E290" s="2149"/>
      <c r="F290" s="2149"/>
      <c r="G290" s="2227"/>
      <c r="H290" s="2244"/>
      <c r="I290" s="2357"/>
    </row>
    <row r="291" spans="1:9" s="2352" customFormat="1" ht="12.95" customHeight="1" thickBot="1">
      <c r="A291" s="2070"/>
      <c r="B291" s="2147"/>
      <c r="C291" s="2093"/>
      <c r="D291" s="2094"/>
      <c r="E291" s="2093"/>
      <c r="F291" s="2093"/>
      <c r="G291" s="2227"/>
      <c r="H291" s="2244"/>
      <c r="I291" s="2357"/>
    </row>
    <row r="292" spans="1:9" s="2352" customFormat="1" ht="12.95" customHeight="1" thickTop="1">
      <c r="A292" s="2246"/>
      <c r="B292" s="2080"/>
      <c r="C292" s="2048"/>
      <c r="D292" s="2145"/>
      <c r="E292" s="2048"/>
      <c r="F292" s="199"/>
      <c r="G292" s="2368"/>
      <c r="H292" s="2244"/>
      <c r="I292" s="2357"/>
    </row>
    <row r="293" spans="1:9" s="2352" customFormat="1" ht="12.95" customHeight="1">
      <c r="A293" s="2068"/>
      <c r="B293" s="2082"/>
      <c r="C293" s="2052"/>
      <c r="D293" s="2146"/>
      <c r="E293" s="2052"/>
      <c r="F293" s="204"/>
      <c r="G293" s="2244"/>
      <c r="H293" s="2244"/>
      <c r="I293" s="2357"/>
    </row>
    <row r="294" spans="1:9" s="2352" customFormat="1" ht="12.95" customHeight="1">
      <c r="A294" s="2068"/>
      <c r="B294" s="2157"/>
      <c r="C294" s="2257"/>
      <c r="D294" s="2146"/>
      <c r="E294" s="2052"/>
      <c r="F294" s="204"/>
      <c r="G294" s="2225"/>
      <c r="H294" s="2244"/>
      <c r="I294" s="2357"/>
    </row>
    <row r="295" spans="1:9" s="2352" customFormat="1" ht="12.95" customHeight="1">
      <c r="A295" s="2068"/>
      <c r="B295" s="2082"/>
      <c r="C295" s="2052"/>
      <c r="D295" s="2146"/>
      <c r="E295" s="2052"/>
      <c r="F295" s="204"/>
      <c r="G295" s="2225"/>
      <c r="H295" s="2244"/>
      <c r="I295" s="2357"/>
    </row>
    <row r="296" spans="1:9" s="2352" customFormat="1" ht="12.95" customHeight="1">
      <c r="A296" s="2068"/>
      <c r="B296" s="2082"/>
      <c r="C296" s="2257"/>
      <c r="D296" s="2146"/>
      <c r="E296" s="2052"/>
      <c r="F296" s="204"/>
      <c r="G296" s="2225"/>
      <c r="H296" s="2244"/>
      <c r="I296" s="2357"/>
    </row>
    <row r="297" spans="1:9" s="2352" customFormat="1" ht="12.95" customHeight="1">
      <c r="A297" s="2068"/>
      <c r="B297" s="2082"/>
      <c r="C297" s="2257"/>
      <c r="D297" s="2146"/>
      <c r="E297" s="2052"/>
      <c r="F297" s="204"/>
      <c r="G297" s="2225"/>
      <c r="H297" s="2244"/>
      <c r="I297" s="2357"/>
    </row>
    <row r="298" spans="1:9" s="2352" customFormat="1" ht="12.95" customHeight="1">
      <c r="A298" s="2068"/>
      <c r="B298" s="2082"/>
      <c r="C298" s="2251"/>
      <c r="D298" s="2146"/>
      <c r="E298" s="2052"/>
      <c r="F298" s="204"/>
      <c r="G298" s="2225"/>
      <c r="H298" s="2244"/>
      <c r="I298" s="2357"/>
    </row>
    <row r="299" spans="1:9" s="2352" customFormat="1" ht="12.95" customHeight="1">
      <c r="A299" s="2068"/>
      <c r="B299" s="2082"/>
      <c r="C299" s="2052"/>
      <c r="D299" s="2146"/>
      <c r="E299" s="2052"/>
      <c r="F299" s="204"/>
      <c r="G299" s="2225"/>
      <c r="H299" s="2244"/>
      <c r="I299" s="2357"/>
    </row>
    <row r="300" spans="1:9" s="2352" customFormat="1" ht="12.95" customHeight="1">
      <c r="A300" s="2261"/>
      <c r="B300" s="2262"/>
      <c r="C300" s="2263"/>
      <c r="D300" s="2264"/>
      <c r="E300" s="2265"/>
      <c r="F300" s="2537"/>
      <c r="G300" s="2225"/>
      <c r="H300" s="2244"/>
      <c r="I300" s="2357"/>
    </row>
    <row r="301" spans="1:9" s="2352" customFormat="1" ht="12.95" customHeight="1" thickBot="1">
      <c r="A301" s="2068"/>
      <c r="B301" s="2259"/>
      <c r="C301" s="2109"/>
      <c r="D301" s="2146"/>
      <c r="E301" s="2111"/>
      <c r="F301" s="2533"/>
      <c r="G301" s="2225"/>
      <c r="H301" s="2244"/>
      <c r="I301" s="2357"/>
    </row>
    <row r="302" spans="1:9" s="2352" customFormat="1" ht="12.95" hidden="1" customHeight="1" thickTop="1">
      <c r="A302" s="2068"/>
      <c r="B302" s="2137"/>
      <c r="C302" s="2109"/>
      <c r="D302" s="2146"/>
      <c r="E302" s="2265"/>
      <c r="F302" s="2535"/>
      <c r="G302" s="2225"/>
      <c r="H302" s="2244"/>
      <c r="I302" s="2357"/>
    </row>
    <row r="303" spans="1:9" s="2352" customFormat="1" ht="12.95" hidden="1" customHeight="1" thickBot="1">
      <c r="A303" s="2099"/>
      <c r="B303" s="2260"/>
      <c r="C303" s="2101"/>
      <c r="D303" s="2105"/>
      <c r="E303" s="2143"/>
      <c r="F303" s="2533"/>
      <c r="G303" s="2225"/>
      <c r="H303" s="2244"/>
      <c r="I303" s="2357"/>
    </row>
    <row r="304" spans="1:9" s="2352" customFormat="1" ht="12.95" hidden="1" customHeight="1" thickTop="1">
      <c r="A304" s="2070"/>
      <c r="B304" s="2070"/>
      <c r="C304" s="2093"/>
      <c r="D304" s="2094"/>
      <c r="E304" s="2158"/>
      <c r="F304" s="2158"/>
      <c r="G304" s="2227"/>
      <c r="H304" s="2244"/>
      <c r="I304" s="2357"/>
    </row>
    <row r="305" spans="1:15" s="2352" customFormat="1" ht="12.95" hidden="1" customHeight="1" thickBot="1">
      <c r="A305" s="2070"/>
      <c r="B305" s="2147"/>
      <c r="C305" s="2093"/>
      <c r="D305" s="2094"/>
      <c r="E305" s="2093"/>
      <c r="F305" s="2093"/>
      <c r="G305" s="2368"/>
      <c r="H305" s="2244"/>
      <c r="I305" s="2357"/>
    </row>
    <row r="306" spans="1:15" s="2352" customFormat="1" ht="12.95" hidden="1" customHeight="1" thickTop="1">
      <c r="A306" s="2246"/>
      <c r="B306" s="2266"/>
      <c r="C306" s="2048"/>
      <c r="D306" s="2145"/>
      <c r="E306" s="2048"/>
      <c r="F306" s="199"/>
      <c r="G306" s="2368"/>
      <c r="H306" s="2244"/>
      <c r="I306" s="2357"/>
    </row>
    <row r="307" spans="1:15" s="2352" customFormat="1" ht="12.95" hidden="1" customHeight="1">
      <c r="A307" s="2068"/>
      <c r="B307" s="2157"/>
      <c r="C307" s="2052"/>
      <c r="D307" s="2146"/>
      <c r="E307" s="2052"/>
      <c r="F307" s="204"/>
      <c r="G307" s="2382"/>
      <c r="H307" s="2244"/>
      <c r="I307" s="2357"/>
    </row>
    <row r="308" spans="1:15" s="2352" customFormat="1" ht="12.95" hidden="1" customHeight="1">
      <c r="A308" s="2068"/>
      <c r="B308" s="2082"/>
      <c r="C308" s="2052"/>
      <c r="D308" s="2146"/>
      <c r="E308" s="2052"/>
      <c r="F308" s="204"/>
      <c r="G308" s="2382"/>
      <c r="H308" s="2244"/>
      <c r="I308" s="2357"/>
    </row>
    <row r="309" spans="1:15" s="2352" customFormat="1" ht="12.95" hidden="1" customHeight="1">
      <c r="A309" s="2068"/>
      <c r="B309" s="2082"/>
      <c r="C309" s="2257"/>
      <c r="D309" s="2146"/>
      <c r="E309" s="2052"/>
      <c r="F309" s="204"/>
      <c r="G309" s="2382"/>
      <c r="H309" s="2244"/>
      <c r="I309" s="2357"/>
    </row>
    <row r="310" spans="1:15" s="2352" customFormat="1" ht="12.95" hidden="1" customHeight="1">
      <c r="A310" s="2068"/>
      <c r="B310" s="2082"/>
      <c r="C310" s="2257"/>
      <c r="D310" s="2146"/>
      <c r="E310" s="2052"/>
      <c r="F310" s="204"/>
      <c r="G310" s="2382"/>
      <c r="H310" s="2244"/>
      <c r="I310" s="2357"/>
    </row>
    <row r="311" spans="1:15" s="2352" customFormat="1" ht="12.95" hidden="1" customHeight="1">
      <c r="A311" s="2068"/>
      <c r="B311" s="2157"/>
      <c r="C311" s="2257"/>
      <c r="D311" s="2146"/>
      <c r="E311" s="2052"/>
      <c r="F311" s="204"/>
      <c r="G311" s="2227"/>
      <c r="H311" s="2244"/>
      <c r="I311" s="2357"/>
    </row>
    <row r="312" spans="1:15" s="2352" customFormat="1" ht="12.95" hidden="1" customHeight="1">
      <c r="A312" s="2068"/>
      <c r="B312" s="2082"/>
      <c r="C312" s="2251"/>
      <c r="D312" s="2146"/>
      <c r="E312" s="2052"/>
      <c r="F312" s="204"/>
      <c r="G312" s="2227"/>
      <c r="H312" s="2244"/>
      <c r="I312" s="2357"/>
    </row>
    <row r="313" spans="1:15" s="2352" customFormat="1" ht="12.95" hidden="1" customHeight="1">
      <c r="A313" s="2068"/>
      <c r="B313" s="2082"/>
      <c r="C313" s="2052"/>
      <c r="D313" s="2146"/>
      <c r="E313" s="2052"/>
      <c r="F313" s="204"/>
      <c r="G313" s="2244"/>
      <c r="H313" s="2244"/>
      <c r="I313" s="2357"/>
      <c r="K313" s="2070"/>
      <c r="L313" s="2070"/>
      <c r="M313" s="2383"/>
      <c r="N313" s="2354"/>
      <c r="O313" s="2384"/>
    </row>
    <row r="314" spans="1:15" s="2352" customFormat="1" ht="12.95" hidden="1" customHeight="1">
      <c r="A314" s="2068"/>
      <c r="B314" s="2259"/>
      <c r="C314" s="2109"/>
      <c r="D314" s="2146"/>
      <c r="E314" s="2258"/>
      <c r="F314" s="2536"/>
      <c r="G314" s="2225"/>
      <c r="H314" s="2244"/>
      <c r="I314" s="2357"/>
      <c r="K314" s="2070"/>
      <c r="L314" s="2354"/>
      <c r="M314" s="2383"/>
      <c r="N314" s="2354"/>
      <c r="O314" s="2354"/>
    </row>
    <row r="315" spans="1:15" s="2352" customFormat="1" ht="12.95" hidden="1" customHeight="1">
      <c r="A315" s="2068"/>
      <c r="B315" s="2259"/>
      <c r="C315" s="2109"/>
      <c r="D315" s="2146"/>
      <c r="E315" s="2111"/>
      <c r="F315" s="2536"/>
      <c r="G315" s="2225"/>
      <c r="H315" s="2244"/>
      <c r="I315" s="2357"/>
      <c r="K315" s="2070"/>
      <c r="L315" s="2070"/>
      <c r="M315" s="2070"/>
      <c r="N315" s="2075"/>
      <c r="O315" s="2351"/>
    </row>
    <row r="316" spans="1:15" s="2352" customFormat="1" ht="12.95" hidden="1" customHeight="1">
      <c r="A316" s="2068"/>
      <c r="B316" s="2137"/>
      <c r="C316" s="2109"/>
      <c r="D316" s="2146"/>
      <c r="E316" s="2258"/>
      <c r="F316" s="2535"/>
      <c r="G316" s="2225"/>
      <c r="H316" s="2244"/>
      <c r="I316" s="2357"/>
      <c r="K316" s="2070"/>
      <c r="L316" s="2070"/>
      <c r="M316" s="2070"/>
      <c r="N316" s="2075"/>
      <c r="O316" s="2351"/>
    </row>
    <row r="317" spans="1:15" s="2352" customFormat="1" ht="12.95" hidden="1" customHeight="1" thickBot="1">
      <c r="A317" s="2099"/>
      <c r="B317" s="2260"/>
      <c r="C317" s="2101"/>
      <c r="D317" s="2105"/>
      <c r="E317" s="2143"/>
      <c r="F317" s="2533"/>
      <c r="G317" s="2225"/>
      <c r="H317" s="2244"/>
      <c r="I317" s="2357"/>
      <c r="K317" s="2070"/>
      <c r="L317" s="2070"/>
      <c r="M317" s="2070"/>
      <c r="N317" s="2075"/>
      <c r="O317" s="2351"/>
    </row>
    <row r="318" spans="1:15" s="2352" customFormat="1" ht="15" hidden="1" customHeight="1" thickTop="1">
      <c r="A318" s="2070"/>
      <c r="B318" s="2070"/>
      <c r="C318" s="2093"/>
      <c r="D318" s="2094"/>
      <c r="E318" s="2158"/>
      <c r="F318" s="2158"/>
      <c r="G318" s="2225"/>
      <c r="H318" s="2244"/>
      <c r="I318" s="2357"/>
      <c r="K318" s="2070"/>
      <c r="L318" s="2070"/>
      <c r="M318" s="2070"/>
      <c r="N318" s="2075"/>
      <c r="O318" s="2351"/>
    </row>
    <row r="319" spans="1:15" s="2352" customFormat="1" ht="12.95" customHeight="1" thickTop="1">
      <c r="A319" s="2070"/>
      <c r="B319" s="2070"/>
      <c r="C319" s="2072"/>
      <c r="D319" s="2148"/>
      <c r="E319" s="2149"/>
      <c r="F319" s="2149"/>
      <c r="G319" s="2225"/>
      <c r="H319" s="2244"/>
      <c r="I319" s="2357"/>
      <c r="K319" s="2070"/>
      <c r="L319" s="2070"/>
      <c r="M319" s="2070"/>
      <c r="N319" s="2075"/>
      <c r="O319" s="2351"/>
    </row>
    <row r="320" spans="1:15" s="2352" customFormat="1" ht="12.95" customHeight="1" thickBot="1">
      <c r="A320" s="2070"/>
      <c r="B320" s="2147"/>
      <c r="C320" s="2093"/>
      <c r="D320" s="2094"/>
      <c r="E320" s="2093"/>
      <c r="F320" s="2093"/>
      <c r="G320" s="2227"/>
      <c r="H320" s="2244"/>
      <c r="I320" s="2357"/>
    </row>
    <row r="321" spans="1:15" s="2352" customFormat="1" ht="12.95" customHeight="1" thickTop="1">
      <c r="A321" s="2246"/>
      <c r="B321" s="2080"/>
      <c r="C321" s="2048"/>
      <c r="D321" s="2145"/>
      <c r="E321" s="2048"/>
      <c r="F321" s="199"/>
      <c r="G321" s="2225"/>
      <c r="H321" s="2244"/>
      <c r="I321" s="2357"/>
    </row>
    <row r="322" spans="1:15" s="2352" customFormat="1" ht="12.95" customHeight="1">
      <c r="A322" s="2068"/>
      <c r="B322" s="2082"/>
      <c r="C322" s="2267"/>
      <c r="D322" s="2146"/>
      <c r="E322" s="2052"/>
      <c r="F322" s="204"/>
      <c r="G322" s="2225"/>
      <c r="H322" s="2244"/>
      <c r="I322" s="2357"/>
    </row>
    <row r="323" spans="1:15" s="2352" customFormat="1" ht="12.95" customHeight="1">
      <c r="A323" s="2068"/>
      <c r="B323" s="2082"/>
      <c r="C323" s="2251"/>
      <c r="D323" s="2146"/>
      <c r="E323" s="2052"/>
      <c r="F323" s="204"/>
      <c r="G323" s="2225"/>
      <c r="H323" s="2244"/>
      <c r="I323" s="2357"/>
    </row>
    <row r="324" spans="1:15" s="2352" customFormat="1" ht="12.95" customHeight="1">
      <c r="A324" s="2068"/>
      <c r="B324" s="2082"/>
      <c r="C324" s="2052"/>
      <c r="D324" s="2146"/>
      <c r="E324" s="2052"/>
      <c r="F324" s="204"/>
      <c r="G324" s="2225"/>
      <c r="H324" s="2244"/>
      <c r="I324" s="2357"/>
    </row>
    <row r="325" spans="1:15" s="2352" customFormat="1" ht="12.95" customHeight="1">
      <c r="A325" s="2068"/>
      <c r="B325" s="2082"/>
      <c r="C325" s="2052"/>
      <c r="D325" s="2146"/>
      <c r="E325" s="2052"/>
      <c r="F325" s="204"/>
      <c r="G325" s="2244"/>
      <c r="H325" s="2244"/>
      <c r="I325" s="2357"/>
    </row>
    <row r="326" spans="1:15" s="2352" customFormat="1" ht="12.95" customHeight="1" thickBot="1">
      <c r="A326" s="2099"/>
      <c r="B326" s="2100"/>
      <c r="C326" s="2101"/>
      <c r="D326" s="2105"/>
      <c r="E326" s="2143"/>
      <c r="F326" s="2533"/>
      <c r="G326" s="2227"/>
      <c r="H326" s="2244"/>
      <c r="I326" s="2357"/>
    </row>
    <row r="327" spans="1:15" s="2352" customFormat="1" ht="12.95" customHeight="1" thickTop="1" thickBot="1">
      <c r="A327" s="2068"/>
      <c r="B327" s="2259"/>
      <c r="C327" s="2109"/>
      <c r="D327" s="2146"/>
      <c r="E327" s="2111"/>
      <c r="F327" s="2533"/>
      <c r="G327" s="2225"/>
      <c r="H327" s="2244"/>
      <c r="I327" s="2357"/>
    </row>
    <row r="328" spans="1:15" s="2352" customFormat="1" ht="12.95" customHeight="1" thickTop="1">
      <c r="A328" s="2070"/>
      <c r="B328" s="2147"/>
      <c r="C328" s="2250"/>
      <c r="D328" s="2148"/>
      <c r="E328" s="2149"/>
      <c r="F328" s="2538"/>
      <c r="G328" s="2227"/>
      <c r="H328" s="2244"/>
      <c r="I328" s="2357"/>
    </row>
    <row r="329" spans="1:15" s="2352" customFormat="1" ht="12.95" customHeight="1">
      <c r="A329" s="2070"/>
      <c r="B329" s="2070"/>
      <c r="C329" s="2072"/>
      <c r="D329" s="2148"/>
      <c r="E329" s="2072"/>
      <c r="F329" s="2072"/>
      <c r="G329" s="2350"/>
      <c r="H329" s="2350"/>
      <c r="I329" s="2353"/>
      <c r="J329" s="2177"/>
      <c r="K329" s="2070"/>
      <c r="L329" s="2070"/>
      <c r="M329" s="2070"/>
      <c r="N329" s="2075"/>
      <c r="O329" s="2351"/>
    </row>
    <row r="330" spans="1:15" s="2352" customFormat="1" ht="12.95" customHeight="1" thickBot="1">
      <c r="A330" s="2070"/>
      <c r="B330" s="2268"/>
      <c r="C330" s="2269"/>
      <c r="D330" s="2270"/>
      <c r="E330" s="2271"/>
      <c r="F330" s="2539"/>
      <c r="G330" s="2350"/>
      <c r="H330" s="2350"/>
      <c r="I330" s="2353"/>
      <c r="J330" s="2177"/>
      <c r="K330" s="2070"/>
      <c r="L330" s="2070"/>
      <c r="M330" s="2070"/>
      <c r="N330" s="2075"/>
      <c r="O330" s="2351"/>
    </row>
    <row r="331" spans="1:15" s="2352" customFormat="1" ht="12.95" customHeight="1" thickTop="1">
      <c r="A331" s="2246"/>
      <c r="B331" s="2272"/>
      <c r="C331" s="2273"/>
      <c r="D331" s="2274"/>
      <c r="E331" s="2273"/>
      <c r="F331" s="2540"/>
      <c r="G331" s="2350"/>
      <c r="H331" s="2350"/>
      <c r="I331" s="2353"/>
      <c r="J331" s="2177"/>
      <c r="K331" s="2070"/>
      <c r="L331" s="2070"/>
      <c r="M331" s="2070"/>
      <c r="N331" s="2075"/>
      <c r="O331" s="2351"/>
    </row>
    <row r="332" spans="1:15" s="2352" customFormat="1" ht="12.95" customHeight="1">
      <c r="A332" s="2068"/>
      <c r="B332" s="2275"/>
      <c r="C332" s="2276"/>
      <c r="D332" s="2277"/>
      <c r="E332" s="2276"/>
      <c r="F332" s="2426"/>
      <c r="G332" s="2350"/>
      <c r="H332" s="2350"/>
      <c r="I332" s="2353"/>
      <c r="J332" s="2177"/>
      <c r="K332" s="2070"/>
      <c r="L332" s="2070"/>
      <c r="M332" s="2070"/>
      <c r="N332" s="2075"/>
      <c r="O332" s="2351"/>
    </row>
    <row r="333" spans="1:15" s="2352" customFormat="1" ht="12.95" customHeight="1" thickBot="1">
      <c r="A333" s="2099"/>
      <c r="B333" s="2278"/>
      <c r="C333" s="2279"/>
      <c r="D333" s="2280"/>
      <c r="E333" s="2281"/>
      <c r="F333" s="2541"/>
      <c r="G333" s="2350"/>
      <c r="H333" s="2350"/>
      <c r="I333" s="2353"/>
      <c r="J333" s="2177"/>
      <c r="K333" s="2070"/>
      <c r="L333" s="2070"/>
      <c r="M333" s="2070"/>
      <c r="N333" s="2075"/>
      <c r="O333" s="2351"/>
    </row>
    <row r="334" spans="1:15" s="2352" customFormat="1" ht="12.95" customHeight="1" thickTop="1">
      <c r="A334" s="2246"/>
      <c r="B334" s="2272"/>
      <c r="C334" s="2273"/>
      <c r="D334" s="2282"/>
      <c r="E334" s="2283"/>
      <c r="F334" s="2540"/>
      <c r="G334" s="2350"/>
      <c r="H334" s="2350"/>
      <c r="I334" s="2353"/>
      <c r="J334" s="2177"/>
      <c r="K334" s="2070"/>
      <c r="L334" s="2070"/>
      <c r="M334" s="2070"/>
      <c r="N334" s="2075"/>
      <c r="O334" s="2351"/>
    </row>
    <row r="335" spans="1:15" s="2352" customFormat="1" ht="12.95" customHeight="1">
      <c r="A335" s="2068"/>
      <c r="B335" s="2284"/>
      <c r="C335" s="2285"/>
      <c r="D335" s="2277"/>
      <c r="E335" s="2286"/>
      <c r="F335" s="2426"/>
      <c r="G335" s="2350"/>
      <c r="H335" s="2350"/>
      <c r="I335" s="2353"/>
      <c r="J335" s="2177"/>
      <c r="K335" s="2070"/>
      <c r="L335" s="2070"/>
      <c r="M335" s="2070"/>
      <c r="N335" s="2075"/>
      <c r="O335" s="2351"/>
    </row>
    <row r="336" spans="1:15" s="2352" customFormat="1" ht="12.95" customHeight="1">
      <c r="A336" s="2068"/>
      <c r="B336" s="2275"/>
      <c r="C336" s="2276"/>
      <c r="D336" s="2287"/>
      <c r="E336" s="2286"/>
      <c r="F336" s="2426"/>
      <c r="G336" s="2350"/>
      <c r="H336" s="2350"/>
      <c r="I336" s="2353"/>
      <c r="J336" s="2177"/>
      <c r="K336" s="2070"/>
      <c r="L336" s="2070"/>
      <c r="M336" s="2070"/>
      <c r="N336" s="2075"/>
      <c r="O336" s="2351"/>
    </row>
    <row r="337" spans="1:15" s="2352" customFormat="1" ht="12.95" customHeight="1">
      <c r="A337" s="2068"/>
      <c r="B337" s="2275"/>
      <c r="C337" s="2276"/>
      <c r="D337" s="2277"/>
      <c r="E337" s="2288"/>
      <c r="F337" s="2426"/>
      <c r="G337" s="2350"/>
      <c r="H337" s="2350"/>
      <c r="I337" s="2353"/>
      <c r="J337" s="2177"/>
      <c r="K337" s="2070"/>
      <c r="L337" s="2070"/>
      <c r="M337" s="2070"/>
      <c r="N337" s="2075"/>
      <c r="O337" s="2351"/>
    </row>
    <row r="338" spans="1:15" s="2352" customFormat="1" ht="12.95" customHeight="1">
      <c r="A338" s="2068"/>
      <c r="B338" s="2275"/>
      <c r="C338" s="2276"/>
      <c r="D338" s="2277"/>
      <c r="E338" s="2288"/>
      <c r="F338" s="2426"/>
      <c r="G338" s="2350"/>
      <c r="H338" s="2350"/>
      <c r="I338" s="2353"/>
      <c r="J338" s="2177"/>
      <c r="K338" s="2070"/>
      <c r="L338" s="2070"/>
      <c r="M338" s="2070"/>
      <c r="N338" s="2075"/>
      <c r="O338" s="2351"/>
    </row>
    <row r="339" spans="1:15" s="2352" customFormat="1" ht="12.95" customHeight="1">
      <c r="A339" s="2068"/>
      <c r="B339" s="2289"/>
      <c r="C339" s="2290"/>
      <c r="D339" s="2291"/>
      <c r="E339" s="2292"/>
      <c r="F339" s="2542"/>
      <c r="G339" s="2350"/>
      <c r="H339" s="2350"/>
      <c r="I339" s="2353"/>
      <c r="J339" s="2177"/>
      <c r="K339" s="2070"/>
      <c r="L339" s="2070"/>
      <c r="M339" s="2070"/>
      <c r="N339" s="2075"/>
      <c r="O339" s="2351"/>
    </row>
    <row r="340" spans="1:15" s="2352" customFormat="1" ht="12.95" customHeight="1">
      <c r="A340" s="2068"/>
      <c r="B340" s="2275"/>
      <c r="C340" s="2276"/>
      <c r="D340" s="2277"/>
      <c r="E340" s="2288"/>
      <c r="F340" s="2426"/>
      <c r="G340" s="2350"/>
      <c r="H340" s="2350"/>
      <c r="I340" s="2353"/>
      <c r="J340" s="2177"/>
      <c r="K340" s="2070"/>
      <c r="L340" s="2070"/>
      <c r="M340" s="2070"/>
      <c r="N340" s="2075"/>
      <c r="O340" s="2351"/>
    </row>
    <row r="341" spans="1:15" s="2352" customFormat="1" ht="12.95" customHeight="1">
      <c r="A341" s="2068"/>
      <c r="B341" s="2293"/>
      <c r="C341" s="2294"/>
      <c r="D341" s="2295"/>
      <c r="E341" s="2296"/>
      <c r="F341" s="2426"/>
      <c r="G341" s="2350"/>
      <c r="H341" s="2350"/>
      <c r="I341" s="2353"/>
      <c r="J341" s="2177"/>
      <c r="K341" s="2070"/>
      <c r="L341" s="2070"/>
      <c r="M341" s="2070"/>
      <c r="N341" s="2075"/>
      <c r="O341" s="2351"/>
    </row>
    <row r="342" spans="1:15" s="2352" customFormat="1" ht="12.95" customHeight="1" thickBot="1">
      <c r="A342" s="2099"/>
      <c r="B342" s="2278"/>
      <c r="C342" s="2279"/>
      <c r="D342" s="2280"/>
      <c r="E342" s="2281"/>
      <c r="F342" s="2541"/>
      <c r="G342" s="2350"/>
      <c r="H342" s="2350"/>
      <c r="I342" s="2353"/>
      <c r="J342" s="2177"/>
      <c r="K342" s="2070"/>
      <c r="L342" s="2070"/>
      <c r="M342" s="2070"/>
      <c r="N342" s="2075"/>
      <c r="O342" s="2351"/>
    </row>
    <row r="343" spans="1:15" s="2352" customFormat="1" ht="12.95" customHeight="1" thickTop="1">
      <c r="A343" s="2246"/>
      <c r="B343" s="2297"/>
      <c r="C343" s="2232"/>
      <c r="D343" s="2231"/>
      <c r="E343" s="2298"/>
      <c r="F343" s="2543"/>
      <c r="G343" s="2350"/>
      <c r="H343" s="2032"/>
      <c r="I343" s="8"/>
      <c r="J343" s="8"/>
      <c r="K343" s="2070"/>
      <c r="L343" s="2070"/>
      <c r="M343" s="2070"/>
      <c r="N343" s="2075"/>
      <c r="O343" s="2351"/>
    </row>
    <row r="344" spans="1:15" s="2352" customFormat="1" ht="12.95" hidden="1" customHeight="1">
      <c r="A344" s="2068"/>
      <c r="B344" s="2299"/>
      <c r="C344" s="2236"/>
      <c r="D344" s="2235"/>
      <c r="E344" s="2300"/>
      <c r="F344" s="2544"/>
      <c r="G344" s="2350"/>
      <c r="H344" s="2032"/>
      <c r="I344" s="8"/>
      <c r="J344" s="8"/>
      <c r="K344" s="2070"/>
      <c r="L344" s="2070"/>
      <c r="M344" s="2070"/>
      <c r="N344" s="2075"/>
      <c r="O344" s="2351"/>
    </row>
    <row r="345" spans="1:15" s="2352" customFormat="1" ht="12.95" hidden="1" customHeight="1" thickBot="1">
      <c r="A345" s="2099"/>
      <c r="B345" s="2301"/>
      <c r="C345" s="2302"/>
      <c r="D345" s="2239"/>
      <c r="E345" s="2303"/>
      <c r="F345" s="2545"/>
      <c r="G345" s="2350"/>
      <c r="H345" s="2032"/>
      <c r="I345" s="8"/>
      <c r="J345" s="8"/>
      <c r="K345" s="2070"/>
      <c r="L345" s="2070"/>
      <c r="M345" s="2070"/>
      <c r="N345" s="2075"/>
      <c r="O345" s="2351"/>
    </row>
    <row r="346" spans="1:15" s="2352" customFormat="1" ht="12.95" customHeight="1">
      <c r="A346" s="2070"/>
      <c r="B346" s="2070"/>
      <c r="C346" s="2070"/>
      <c r="D346" s="2070"/>
      <c r="E346" s="2070"/>
      <c r="F346" s="2070"/>
      <c r="G346" s="2350"/>
      <c r="H346" s="2032"/>
      <c r="I346" s="8"/>
      <c r="J346" s="8"/>
      <c r="K346" s="2070"/>
      <c r="L346" s="2070"/>
      <c r="M346" s="2070"/>
      <c r="N346" s="2075"/>
      <c r="O346" s="2351"/>
    </row>
    <row r="347" spans="1:15" s="2352" customFormat="1" ht="12.95" customHeight="1">
      <c r="A347" s="2070"/>
      <c r="B347" s="2070"/>
      <c r="C347" s="2070"/>
      <c r="D347" s="2070"/>
      <c r="E347" s="2070"/>
      <c r="F347" s="2070"/>
      <c r="G347" s="2350"/>
      <c r="H347" s="2032"/>
      <c r="I347" s="8"/>
      <c r="J347" s="8"/>
      <c r="K347" s="2070"/>
      <c r="L347" s="2070"/>
      <c r="M347" s="2070"/>
      <c r="N347" s="2075"/>
      <c r="O347" s="2351"/>
    </row>
    <row r="348" spans="1:15" s="2352" customFormat="1" ht="12.95" customHeight="1">
      <c r="A348" s="2070"/>
      <c r="B348" s="2268"/>
      <c r="C348" s="2269"/>
      <c r="D348" s="2270"/>
      <c r="E348" s="2304"/>
      <c r="F348" s="2539"/>
      <c r="G348" s="2350"/>
      <c r="H348" s="2350"/>
      <c r="I348" s="2353"/>
      <c r="J348" s="2177"/>
      <c r="K348" s="2070"/>
      <c r="L348" s="2070"/>
      <c r="M348" s="2070"/>
      <c r="N348" s="2075"/>
      <c r="O348" s="2351"/>
    </row>
    <row r="349" spans="1:15" s="2352" customFormat="1" ht="11.85" customHeight="1">
      <c r="A349" s="2070"/>
      <c r="B349" s="2305"/>
      <c r="C349" s="2276"/>
      <c r="D349" s="2306"/>
      <c r="E349" s="2307"/>
      <c r="F349" s="2546"/>
      <c r="G349" s="2225"/>
      <c r="H349" s="2225"/>
      <c r="I349" s="2354"/>
      <c r="J349" s="2070"/>
      <c r="K349" s="2070"/>
      <c r="L349" s="2070"/>
    </row>
    <row r="350" spans="1:15" s="2352" customFormat="1" ht="11.85" customHeight="1">
      <c r="A350" s="2070"/>
      <c r="B350" s="2305"/>
      <c r="C350" s="2308"/>
      <c r="D350" s="2309"/>
      <c r="E350" s="2310"/>
      <c r="F350" s="2307"/>
      <c r="G350" s="2225"/>
      <c r="H350" s="2225"/>
      <c r="I350" s="2354"/>
      <c r="J350" s="2070"/>
      <c r="K350" s="2070"/>
      <c r="L350" s="2070"/>
    </row>
    <row r="351" spans="1:15" s="2352" customFormat="1" ht="11.85" customHeight="1">
      <c r="A351" s="2070"/>
      <c r="B351" s="2305"/>
      <c r="C351" s="2308"/>
      <c r="D351" s="2309"/>
      <c r="E351" s="2310"/>
      <c r="F351" s="2307"/>
      <c r="G351" s="2225"/>
      <c r="H351" s="2225"/>
      <c r="I351" s="2354"/>
      <c r="J351" s="2070"/>
      <c r="K351" s="2070"/>
      <c r="L351" s="2070"/>
    </row>
    <row r="352" spans="1:15" s="2352" customFormat="1" ht="11.85" customHeight="1">
      <c r="A352" s="2070"/>
      <c r="B352" s="2305"/>
      <c r="C352" s="2308"/>
      <c r="D352" s="2309"/>
      <c r="E352" s="2310"/>
      <c r="F352" s="2307"/>
      <c r="G352" s="2225"/>
      <c r="H352" s="2225"/>
      <c r="I352" s="2354"/>
      <c r="J352" s="2070"/>
      <c r="K352" s="2070"/>
      <c r="L352" s="2070"/>
    </row>
    <row r="353" spans="1:16" s="2352" customFormat="1" ht="11.85" customHeight="1">
      <c r="A353" s="2070"/>
      <c r="B353" s="2305"/>
      <c r="C353" s="2311"/>
      <c r="D353" s="2309"/>
      <c r="E353" s="2310"/>
      <c r="F353" s="2546"/>
      <c r="G353" s="2225"/>
      <c r="H353" s="2225"/>
      <c r="I353" s="2354"/>
      <c r="J353" s="2070"/>
      <c r="K353" s="2070"/>
      <c r="L353" s="2070"/>
    </row>
    <row r="354" spans="1:16" s="2352" customFormat="1" ht="11.85" customHeight="1">
      <c r="A354" s="2070"/>
      <c r="B354" s="2312"/>
      <c r="C354" s="2311"/>
      <c r="D354" s="2309"/>
      <c r="E354" s="2310"/>
      <c r="F354" s="2547"/>
      <c r="G354" s="2225"/>
      <c r="H354" s="2225"/>
      <c r="I354" s="2354"/>
      <c r="J354" s="2070"/>
      <c r="K354" s="2070"/>
      <c r="L354" s="2070"/>
    </row>
    <row r="355" spans="1:16" s="2352" customFormat="1" ht="11.85" customHeight="1">
      <c r="A355" s="2070"/>
      <c r="B355" s="2305"/>
      <c r="C355" s="2308"/>
      <c r="D355" s="2309"/>
      <c r="E355" s="2310"/>
      <c r="F355" s="2307"/>
      <c r="G355" s="2225"/>
      <c r="H355" s="2225"/>
      <c r="I355" s="2354"/>
      <c r="J355" s="2070"/>
      <c r="K355" s="2070"/>
      <c r="L355" s="2070"/>
    </row>
    <row r="356" spans="1:16" s="2352" customFormat="1" ht="11.85" customHeight="1">
      <c r="A356" s="2070"/>
      <c r="B356" s="2305"/>
      <c r="C356" s="2308"/>
      <c r="D356" s="2309"/>
      <c r="E356" s="2310"/>
      <c r="F356" s="2307"/>
      <c r="G356" s="2225"/>
      <c r="H356" s="2225"/>
      <c r="I356" s="2354"/>
      <c r="J356" s="2070"/>
      <c r="K356" s="2070"/>
      <c r="L356" s="2070"/>
    </row>
    <row r="357" spans="1:16" s="2352" customFormat="1" ht="11.85" customHeight="1">
      <c r="A357" s="2070"/>
      <c r="B357" s="2313"/>
      <c r="C357" s="2311"/>
      <c r="D357" s="2309"/>
      <c r="E357" s="2311"/>
      <c r="F357" s="2546"/>
      <c r="G357" s="2225"/>
      <c r="H357" s="2225"/>
      <c r="I357" s="2354"/>
      <c r="J357" s="2070"/>
      <c r="K357" s="2070"/>
      <c r="L357" s="2070"/>
    </row>
    <row r="358" spans="1:16" s="2352" customFormat="1" ht="11.85" customHeight="1" thickBot="1">
      <c r="A358" s="2070"/>
      <c r="B358" s="2313"/>
      <c r="C358" s="2311"/>
      <c r="D358" s="2311"/>
      <c r="E358" s="2314"/>
      <c r="F358" s="2548"/>
      <c r="G358" s="2225"/>
      <c r="H358" s="2225"/>
      <c r="I358" s="2354"/>
      <c r="J358" s="2070"/>
      <c r="K358" s="2070"/>
      <c r="L358" s="2070"/>
    </row>
    <row r="359" spans="1:16" s="2352" customFormat="1" ht="11.85" customHeight="1" thickBot="1">
      <c r="A359" s="2070"/>
      <c r="B359" s="2315"/>
      <c r="C359" s="2316"/>
      <c r="D359" s="2315"/>
      <c r="E359" s="2317"/>
      <c r="F359" s="2548"/>
      <c r="G359" s="2225"/>
      <c r="H359" s="2225"/>
      <c r="I359" s="2354"/>
      <c r="J359" s="2070"/>
      <c r="K359" s="2070"/>
      <c r="L359" s="2070"/>
    </row>
    <row r="360" spans="1:16" s="2352" customFormat="1" ht="12.95" customHeight="1">
      <c r="A360" s="2070"/>
      <c r="B360" s="2070"/>
      <c r="C360" s="2070"/>
      <c r="D360" s="2070"/>
      <c r="E360" s="2070"/>
      <c r="F360" s="2070"/>
      <c r="G360" s="2350"/>
      <c r="H360" s="2350"/>
      <c r="I360" s="2353"/>
      <c r="J360" s="2177"/>
      <c r="K360" s="2070"/>
      <c r="L360" s="2070"/>
      <c r="M360" s="2070"/>
      <c r="N360" s="2075"/>
      <c r="O360" s="2351"/>
    </row>
    <row r="361" spans="1:16" s="2352" customFormat="1" ht="12.95" customHeight="1">
      <c r="A361" s="2318"/>
      <c r="B361" s="2319"/>
      <c r="C361" s="2320"/>
      <c r="D361" s="2320"/>
      <c r="E361" s="2321"/>
      <c r="F361" s="2549"/>
      <c r="G361" s="2355"/>
      <c r="H361" s="2350"/>
      <c r="I361" s="2350"/>
      <c r="J361" s="2353"/>
      <c r="K361" s="2177"/>
      <c r="L361" s="2070"/>
      <c r="M361" s="2070"/>
      <c r="N361" s="2070"/>
      <c r="O361" s="2075"/>
      <c r="P361" s="2351"/>
    </row>
    <row r="362" spans="1:16" s="2352" customFormat="1" ht="12.95" customHeight="1">
      <c r="A362" s="2318"/>
      <c r="B362" s="2322"/>
      <c r="C362" s="2054"/>
      <c r="D362" s="2323"/>
      <c r="E362" s="2054"/>
      <c r="F362" s="2550"/>
      <c r="G362" s="2350"/>
      <c r="H362" s="2350"/>
      <c r="I362" s="2350"/>
      <c r="J362" s="2353"/>
      <c r="K362" s="2177"/>
      <c r="L362" s="2070"/>
      <c r="M362" s="2070"/>
      <c r="N362" s="2070"/>
      <c r="O362" s="2075"/>
      <c r="P362" s="2351"/>
    </row>
    <row r="363" spans="1:16" s="2352" customFormat="1" ht="12.95" customHeight="1">
      <c r="A363" s="2318"/>
      <c r="B363" s="2322"/>
      <c r="C363" s="2054"/>
      <c r="D363" s="2324"/>
      <c r="E363" s="2054"/>
      <c r="F363" s="2550"/>
      <c r="G363" s="2350"/>
      <c r="H363" s="2350"/>
      <c r="I363" s="2350"/>
      <c r="J363" s="2353"/>
      <c r="K363" s="2177"/>
      <c r="L363" s="2070"/>
      <c r="M363" s="2070"/>
      <c r="N363" s="2070"/>
      <c r="O363" s="2075"/>
      <c r="P363" s="2351"/>
    </row>
    <row r="364" spans="1:16" s="2352" customFormat="1" ht="12.95" customHeight="1">
      <c r="A364" s="2318"/>
      <c r="B364" s="2322"/>
      <c r="C364" s="2054"/>
      <c r="D364" s="2323"/>
      <c r="E364" s="2054"/>
      <c r="F364" s="2550"/>
      <c r="G364" s="2350"/>
      <c r="H364" s="2350"/>
      <c r="I364" s="2350"/>
      <c r="J364" s="2353"/>
      <c r="K364" s="2177"/>
      <c r="L364" s="2070"/>
      <c r="M364" s="2070"/>
      <c r="N364" s="2070"/>
      <c r="O364" s="2075"/>
      <c r="P364" s="2351"/>
    </row>
    <row r="365" spans="1:16" s="2352" customFormat="1" ht="12.95" customHeight="1">
      <c r="A365" s="2318"/>
      <c r="B365" s="2322"/>
      <c r="C365" s="2325"/>
      <c r="D365" s="2323"/>
      <c r="E365" s="2054"/>
      <c r="F365" s="2550"/>
      <c r="G365" s="2350"/>
      <c r="H365" s="2350"/>
      <c r="I365" s="2350"/>
      <c r="J365" s="2353"/>
      <c r="K365" s="2177"/>
      <c r="L365" s="2070"/>
      <c r="M365" s="2070"/>
      <c r="N365" s="2070"/>
      <c r="O365" s="2075"/>
      <c r="P365" s="2351"/>
    </row>
    <row r="366" spans="1:16" s="2352" customFormat="1" ht="12.95" customHeight="1">
      <c r="A366" s="2318"/>
      <c r="B366" s="2322"/>
      <c r="C366" s="2054"/>
      <c r="D366" s="2323"/>
      <c r="E366" s="2054"/>
      <c r="F366" s="2550"/>
      <c r="G366" s="2350"/>
      <c r="H366" s="2350"/>
      <c r="I366" s="2350"/>
      <c r="J366" s="2353"/>
      <c r="K366" s="2177"/>
      <c r="L366" s="2070"/>
      <c r="M366" s="2070"/>
      <c r="N366" s="2070"/>
      <c r="O366" s="2075"/>
      <c r="P366" s="2351"/>
    </row>
    <row r="367" spans="1:16" s="2352" customFormat="1" ht="12.95" customHeight="1">
      <c r="A367" s="2318"/>
      <c r="B367" s="2107"/>
      <c r="C367" s="2054"/>
      <c r="D367" s="2323"/>
      <c r="E367" s="2054"/>
      <c r="F367" s="2550"/>
      <c r="G367" s="2350"/>
      <c r="H367" s="2350"/>
      <c r="I367" s="2350"/>
      <c r="J367" s="2353"/>
      <c r="K367" s="2177"/>
      <c r="L367" s="2070"/>
      <c r="M367" s="2070"/>
      <c r="N367" s="2070"/>
      <c r="O367" s="2075"/>
      <c r="P367" s="2351"/>
    </row>
    <row r="368" spans="1:16" s="2352" customFormat="1" ht="12.95" customHeight="1" thickBot="1">
      <c r="A368" s="2318"/>
      <c r="B368" s="4906"/>
      <c r="C368" s="4906"/>
      <c r="D368" s="4906"/>
      <c r="E368" s="4906"/>
      <c r="F368" s="2551"/>
      <c r="G368" s="2350"/>
      <c r="H368" s="2350"/>
      <c r="I368" s="2350"/>
      <c r="J368" s="2353"/>
      <c r="K368" s="2177"/>
      <c r="L368" s="2070"/>
      <c r="M368" s="2070"/>
      <c r="N368" s="2070"/>
      <c r="O368" s="2075"/>
      <c r="P368" s="2351"/>
    </row>
    <row r="369" spans="1:16" s="2352" customFormat="1" ht="12.95" customHeight="1" thickTop="1" thickBot="1">
      <c r="A369" s="2326"/>
      <c r="B369" s="4907"/>
      <c r="C369" s="4907"/>
      <c r="D369" s="4907"/>
      <c r="E369" s="4907"/>
      <c r="F369" s="2551"/>
      <c r="G369" s="2350"/>
      <c r="H369" s="2350"/>
      <c r="I369" s="2350"/>
      <c r="J369" s="2353"/>
      <c r="K369" s="2177"/>
      <c r="L369" s="2070"/>
      <c r="M369" s="2070"/>
      <c r="N369" s="2070"/>
      <c r="O369" s="2075"/>
      <c r="P369" s="2351"/>
    </row>
    <row r="370" spans="1:16" s="2352" customFormat="1" ht="12.95" customHeight="1" thickTop="1">
      <c r="A370" s="2318"/>
      <c r="B370" s="2327"/>
      <c r="C370" s="2327"/>
      <c r="D370" s="2327"/>
      <c r="E370" s="2327"/>
      <c r="F370" s="2552"/>
      <c r="G370" s="2350"/>
      <c r="H370" s="2350"/>
      <c r="I370" s="2350"/>
      <c r="J370" s="2353"/>
      <c r="K370" s="2177"/>
      <c r="L370" s="2070"/>
      <c r="M370" s="2070"/>
      <c r="N370" s="2070"/>
      <c r="O370" s="2075"/>
      <c r="P370" s="2351"/>
    </row>
    <row r="371" spans="1:16" s="2352" customFormat="1" ht="12.95" customHeight="1">
      <c r="A371" s="2318"/>
      <c r="B371" s="2327"/>
      <c r="C371" s="2327"/>
      <c r="D371" s="2327"/>
      <c r="E371" s="2327"/>
      <c r="F371" s="2552"/>
      <c r="G371" s="2350"/>
      <c r="H371" s="2350"/>
      <c r="I371" s="2350"/>
      <c r="J371" s="2353"/>
      <c r="K371" s="2177"/>
      <c r="L371" s="2070"/>
      <c r="M371" s="2070"/>
      <c r="N371" s="2070"/>
      <c r="O371" s="2075"/>
      <c r="P371" s="2351"/>
    </row>
    <row r="372" spans="1:16" s="2352" customFormat="1" ht="12.75" hidden="1" customHeight="1" thickBot="1">
      <c r="A372" s="2070"/>
      <c r="B372" s="2147"/>
      <c r="C372" s="2161"/>
      <c r="D372" s="2162"/>
      <c r="E372" s="2161"/>
      <c r="F372" s="2161"/>
      <c r="G372" s="2350"/>
      <c r="H372" s="2350"/>
      <c r="I372" s="2353"/>
      <c r="J372" s="2177"/>
      <c r="K372" s="2070"/>
      <c r="L372" s="2070"/>
      <c r="M372" s="2070"/>
      <c r="N372" s="2075"/>
      <c r="O372" s="2351"/>
    </row>
    <row r="373" spans="1:16" s="2352" customFormat="1" ht="12.95" hidden="1" customHeight="1" thickTop="1">
      <c r="A373" s="2070"/>
      <c r="B373" s="2080"/>
      <c r="C373" s="2048"/>
      <c r="D373" s="2145"/>
      <c r="E373" s="2048"/>
      <c r="F373" s="199"/>
      <c r="G373" s="2350"/>
      <c r="H373" s="2350"/>
      <c r="I373" s="2353"/>
      <c r="J373" s="2177"/>
      <c r="K373" s="2070"/>
      <c r="L373" s="2070"/>
      <c r="M373" s="2070"/>
      <c r="N373" s="2075"/>
      <c r="O373" s="2351"/>
    </row>
    <row r="374" spans="1:16" s="2352" customFormat="1" ht="12.95" hidden="1" customHeight="1">
      <c r="A374" s="2070"/>
      <c r="B374" s="2082"/>
      <c r="C374" s="2052"/>
      <c r="D374" s="2146"/>
      <c r="E374" s="2052"/>
      <c r="F374" s="204"/>
      <c r="G374" s="2350"/>
      <c r="H374" s="2350"/>
      <c r="I374" s="2353"/>
      <c r="J374" s="2177"/>
      <c r="K374" s="2070"/>
      <c r="L374" s="2070"/>
      <c r="M374" s="2070"/>
      <c r="N374" s="2075"/>
      <c r="O374" s="2351"/>
    </row>
    <row r="375" spans="1:16" s="2352" customFormat="1" ht="12.95" hidden="1" customHeight="1">
      <c r="A375" s="2070"/>
      <c r="B375" s="2328"/>
      <c r="C375" s="2054"/>
      <c r="D375" s="2506"/>
      <c r="E375" s="2054"/>
      <c r="F375" s="2550"/>
      <c r="G375" s="2350"/>
      <c r="H375" s="2350"/>
      <c r="I375" s="2353"/>
      <c r="J375" s="2177"/>
      <c r="K375" s="2070"/>
      <c r="L375" s="2070"/>
      <c r="M375" s="2070"/>
      <c r="N375" s="2075"/>
      <c r="O375" s="2351"/>
    </row>
    <row r="376" spans="1:16" s="2352" customFormat="1" ht="12.95" hidden="1" customHeight="1">
      <c r="A376" s="2070"/>
      <c r="B376" s="2082"/>
      <c r="C376" s="2052"/>
      <c r="D376" s="2146"/>
      <c r="E376" s="2052"/>
      <c r="F376" s="204"/>
      <c r="G376" s="2350"/>
      <c r="H376" s="2350"/>
      <c r="I376" s="2353"/>
      <c r="J376" s="2177"/>
      <c r="K376" s="2070"/>
      <c r="L376" s="2070"/>
      <c r="M376" s="2070"/>
      <c r="N376" s="2075"/>
      <c r="O376" s="2351"/>
    </row>
    <row r="377" spans="1:16" s="2352" customFormat="1" ht="12.95" hidden="1" customHeight="1" thickBot="1">
      <c r="A377" s="2070"/>
      <c r="B377" s="2100"/>
      <c r="C377" s="2101"/>
      <c r="D377" s="2105"/>
      <c r="E377" s="2143"/>
      <c r="F377" s="2533"/>
      <c r="G377" s="2350"/>
      <c r="H377" s="2350"/>
      <c r="I377" s="2353"/>
      <c r="J377" s="2177"/>
      <c r="K377" s="2070"/>
      <c r="L377" s="2070"/>
      <c r="M377" s="2070"/>
      <c r="N377" s="2075"/>
      <c r="O377" s="2351"/>
    </row>
    <row r="378" spans="1:16" s="2352" customFormat="1" ht="12.95" hidden="1" customHeight="1" thickTop="1">
      <c r="A378" s="2070"/>
      <c r="B378" s="2070"/>
      <c r="C378" s="2070"/>
      <c r="D378" s="2070"/>
      <c r="E378" s="2070"/>
      <c r="F378" s="2070"/>
      <c r="G378" s="2350"/>
      <c r="H378" s="2350"/>
      <c r="I378" s="2353"/>
      <c r="J378" s="2177"/>
      <c r="K378" s="2070"/>
      <c r="L378" s="2070"/>
      <c r="M378" s="2070"/>
      <c r="N378" s="2075"/>
      <c r="O378" s="2351"/>
    </row>
    <row r="379" spans="1:16" s="2352" customFormat="1" ht="12.95" hidden="1" customHeight="1">
      <c r="A379" s="2070"/>
      <c r="B379" s="2070"/>
      <c r="C379" s="2070"/>
      <c r="D379" s="2070"/>
      <c r="E379" s="2070"/>
      <c r="F379" s="2070"/>
      <c r="G379" s="2350"/>
      <c r="H379" s="2350"/>
      <c r="I379" s="2353"/>
      <c r="J379" s="2177"/>
      <c r="K379" s="2070"/>
      <c r="L379" s="2070"/>
      <c r="M379" s="2070"/>
      <c r="N379" s="2075"/>
      <c r="O379" s="2351"/>
    </row>
    <row r="380" spans="1:16" s="2352" customFormat="1" ht="12.95" hidden="1" customHeight="1">
      <c r="A380" s="2070"/>
      <c r="B380" s="2070"/>
      <c r="C380" s="2070"/>
      <c r="D380" s="2070"/>
      <c r="E380" s="2070"/>
      <c r="F380" s="2070"/>
      <c r="G380" s="2350"/>
      <c r="H380" s="2350"/>
      <c r="I380" s="2353"/>
      <c r="J380" s="2177"/>
      <c r="K380" s="2070"/>
      <c r="L380" s="2070"/>
      <c r="M380" s="2070"/>
      <c r="N380" s="2075"/>
      <c r="O380" s="2351"/>
    </row>
    <row r="381" spans="1:16" s="2352" customFormat="1" ht="12.95" hidden="1" customHeight="1">
      <c r="A381" s="2070"/>
      <c r="B381" s="2070"/>
      <c r="C381" s="2070"/>
      <c r="D381" s="2070"/>
      <c r="E381" s="2070"/>
      <c r="F381" s="2070"/>
      <c r="G381" s="2350"/>
      <c r="H381" s="2350"/>
      <c r="I381" s="2353"/>
      <c r="J381" s="2177"/>
      <c r="K381" s="2070"/>
      <c r="L381" s="2070"/>
      <c r="M381" s="2070"/>
      <c r="N381" s="2075"/>
      <c r="O381" s="2351"/>
    </row>
    <row r="382" spans="1:16" s="2352" customFormat="1" ht="12.95" hidden="1" customHeight="1">
      <c r="A382" s="2070"/>
      <c r="B382" s="2070"/>
      <c r="C382" s="2070"/>
      <c r="D382" s="2070"/>
      <c r="E382" s="2070"/>
      <c r="F382" s="2070"/>
      <c r="G382" s="2350"/>
      <c r="H382" s="2350"/>
      <c r="I382" s="2353"/>
      <c r="J382" s="2177"/>
      <c r="K382" s="2070"/>
      <c r="L382" s="2070"/>
      <c r="M382" s="2070"/>
      <c r="N382" s="2075"/>
      <c r="O382" s="2351"/>
    </row>
    <row r="383" spans="1:16" s="2352" customFormat="1" ht="12.95" hidden="1" customHeight="1">
      <c r="A383" s="2070"/>
      <c r="B383" s="2070"/>
      <c r="C383" s="2070"/>
      <c r="D383" s="2070"/>
      <c r="E383" s="2070"/>
      <c r="F383" s="2070"/>
      <c r="G383" s="2350"/>
      <c r="H383" s="2350"/>
      <c r="I383" s="2353"/>
      <c r="J383" s="2177"/>
      <c r="K383" s="2070"/>
      <c r="L383" s="2070"/>
      <c r="M383" s="2070"/>
      <c r="N383" s="2075"/>
      <c r="O383" s="2351"/>
    </row>
    <row r="384" spans="1:16" s="2352" customFormat="1" ht="12.95" hidden="1" customHeight="1">
      <c r="A384" s="2070"/>
      <c r="B384" s="2070"/>
      <c r="C384" s="2070"/>
      <c r="D384" s="2070"/>
      <c r="E384" s="2070"/>
      <c r="F384" s="2070"/>
      <c r="G384" s="2350"/>
      <c r="H384" s="2350"/>
      <c r="I384" s="2353"/>
      <c r="J384" s="2177"/>
      <c r="K384" s="2070"/>
      <c r="L384" s="2070"/>
      <c r="M384" s="2070"/>
      <c r="N384" s="2075"/>
      <c r="O384" s="2351"/>
    </row>
    <row r="385" spans="1:15" s="2352" customFormat="1" ht="12.95" hidden="1" customHeight="1">
      <c r="A385" s="2070"/>
      <c r="B385" s="2070"/>
      <c r="C385" s="2070"/>
      <c r="D385" s="2070"/>
      <c r="E385" s="2070"/>
      <c r="F385" s="2070"/>
      <c r="G385" s="2350"/>
      <c r="H385" s="2350"/>
      <c r="I385" s="2353"/>
      <c r="J385" s="2177"/>
      <c r="K385" s="2070"/>
      <c r="L385" s="2070"/>
      <c r="M385" s="2070"/>
      <c r="N385" s="2075"/>
      <c r="O385" s="2351"/>
    </row>
    <row r="386" spans="1:15" s="2352" customFormat="1" ht="12.95" hidden="1" customHeight="1" thickBot="1">
      <c r="A386" s="2070"/>
      <c r="B386" s="2070"/>
      <c r="C386" s="2070"/>
      <c r="D386" s="2070"/>
      <c r="E386" s="2070"/>
      <c r="F386" s="2070"/>
      <c r="G386" s="2350"/>
      <c r="H386" s="2350"/>
      <c r="I386" s="2353"/>
      <c r="J386" s="2177"/>
      <c r="K386" s="2070"/>
      <c r="L386" s="2070"/>
      <c r="M386" s="2070"/>
      <c r="N386" s="2075"/>
      <c r="O386" s="2351"/>
    </row>
    <row r="387" spans="1:15" s="2352" customFormat="1" ht="12.95" hidden="1" customHeight="1" thickTop="1">
      <c r="A387" s="2070"/>
      <c r="B387" s="2329"/>
      <c r="C387" s="2330"/>
      <c r="D387" s="2330"/>
      <c r="E387" s="2331"/>
      <c r="F387" s="2553"/>
      <c r="G387" s="2350"/>
      <c r="H387" s="2350"/>
      <c r="I387" s="2353"/>
      <c r="J387" s="2177"/>
      <c r="K387" s="2070"/>
      <c r="L387" s="2070"/>
      <c r="M387" s="2070"/>
      <c r="N387" s="2075"/>
      <c r="O387" s="2351"/>
    </row>
    <row r="388" spans="1:15" s="2352" customFormat="1" ht="12.95" hidden="1" customHeight="1">
      <c r="A388" s="2070"/>
      <c r="B388" s="2328"/>
      <c r="C388" s="2054"/>
      <c r="D388" s="2506"/>
      <c r="E388" s="2054"/>
      <c r="F388" s="2550"/>
      <c r="G388" s="2350"/>
      <c r="H388" s="2350"/>
      <c r="I388" s="2353"/>
      <c r="J388" s="2177"/>
      <c r="K388" s="2070"/>
      <c r="L388" s="2070"/>
      <c r="M388" s="2070"/>
      <c r="N388" s="2075"/>
      <c r="O388" s="2351"/>
    </row>
    <row r="389" spans="1:15" s="2352" customFormat="1" ht="12.95" hidden="1" customHeight="1">
      <c r="A389" s="2070"/>
      <c r="B389" s="2328"/>
      <c r="C389" s="2054"/>
      <c r="D389" s="2506"/>
      <c r="E389" s="2054"/>
      <c r="F389" s="2550"/>
      <c r="G389" s="2350"/>
      <c r="H389" s="2350"/>
      <c r="I389" s="2353"/>
      <c r="J389" s="2177"/>
      <c r="K389" s="2070"/>
      <c r="L389" s="2070"/>
      <c r="M389" s="2070"/>
      <c r="N389" s="2075"/>
      <c r="O389" s="2351"/>
    </row>
    <row r="390" spans="1:15" s="2352" customFormat="1" ht="12.95" hidden="1" customHeight="1">
      <c r="A390" s="2070"/>
      <c r="B390" s="2328"/>
      <c r="C390" s="2054"/>
      <c r="D390" s="2507"/>
      <c r="E390" s="2054"/>
      <c r="F390" s="2550"/>
      <c r="G390" s="2350"/>
      <c r="H390" s="2350"/>
      <c r="I390" s="2353"/>
      <c r="J390" s="2177"/>
      <c r="K390" s="2070"/>
      <c r="L390" s="2070"/>
      <c r="M390" s="2070"/>
      <c r="N390" s="2075"/>
      <c r="O390" s="2351"/>
    </row>
    <row r="391" spans="1:15" s="2352" customFormat="1" ht="12.95" hidden="1" customHeight="1">
      <c r="A391" s="2070"/>
      <c r="B391" s="2328"/>
      <c r="C391" s="2054"/>
      <c r="D391" s="2506"/>
      <c r="E391" s="2054"/>
      <c r="F391" s="2550"/>
      <c r="G391" s="2350"/>
      <c r="H391" s="2350"/>
      <c r="I391" s="2353"/>
      <c r="J391" s="2177"/>
      <c r="K391" s="2070"/>
      <c r="L391" s="2070"/>
      <c r="M391" s="2070"/>
      <c r="N391" s="2075"/>
      <c r="O391" s="2351"/>
    </row>
    <row r="392" spans="1:15" s="2352" customFormat="1" ht="12.95" hidden="1" customHeight="1" thickBot="1">
      <c r="A392" s="2070"/>
      <c r="B392" s="2332"/>
      <c r="C392" s="2333"/>
      <c r="D392" s="2333"/>
      <c r="E392" s="2334"/>
      <c r="F392" s="2551"/>
      <c r="G392" s="2350"/>
      <c r="H392" s="2350"/>
      <c r="I392" s="2353"/>
      <c r="J392" s="2177"/>
      <c r="K392" s="2070"/>
      <c r="L392" s="2070"/>
      <c r="M392" s="2070"/>
      <c r="N392" s="2075"/>
      <c r="O392" s="2351"/>
    </row>
    <row r="393" spans="1:15" s="2352" customFormat="1" ht="12.95" hidden="1" customHeight="1" thickTop="1" thickBot="1">
      <c r="A393" s="2070"/>
      <c r="B393" s="2332"/>
      <c r="C393" s="2333"/>
      <c r="D393" s="2333"/>
      <c r="E393" s="2334"/>
      <c r="F393" s="2551"/>
      <c r="G393" s="2350"/>
      <c r="H393" s="2350"/>
      <c r="I393" s="2353"/>
      <c r="J393" s="2177"/>
      <c r="K393" s="2070"/>
      <c r="L393" s="2070"/>
      <c r="M393" s="2070"/>
      <c r="N393" s="2075"/>
      <c r="O393" s="2351"/>
    </row>
    <row r="394" spans="1:15" s="2352" customFormat="1" ht="12.95" hidden="1" customHeight="1" thickTop="1">
      <c r="A394" s="2070"/>
      <c r="B394" s="2070"/>
      <c r="C394" s="2070"/>
      <c r="D394" s="2070"/>
      <c r="E394" s="2070"/>
      <c r="F394" s="2070"/>
      <c r="G394" s="2350"/>
      <c r="H394" s="2350"/>
      <c r="I394" s="2353"/>
      <c r="J394" s="2177"/>
      <c r="K394" s="2070"/>
      <c r="L394" s="2070"/>
      <c r="M394" s="2070"/>
      <c r="N394" s="2075"/>
      <c r="O394" s="2351"/>
    </row>
    <row r="395" spans="1:15" s="2352" customFormat="1" ht="12.95" hidden="1" customHeight="1">
      <c r="A395" s="2070"/>
      <c r="B395" s="2070"/>
      <c r="C395" s="2070"/>
      <c r="D395" s="2070"/>
      <c r="E395" s="2070"/>
      <c r="F395" s="2070"/>
      <c r="G395" s="2350"/>
      <c r="H395" s="2350"/>
      <c r="I395" s="2353"/>
      <c r="J395" s="2177"/>
      <c r="K395" s="2070"/>
      <c r="L395" s="2070"/>
      <c r="M395" s="2070"/>
      <c r="N395" s="2075"/>
      <c r="O395" s="2351"/>
    </row>
    <row r="396" spans="1:15" s="2352" customFormat="1" ht="12.95" hidden="1" customHeight="1">
      <c r="A396" s="2070"/>
      <c r="B396" s="2070"/>
      <c r="C396" s="2070"/>
      <c r="D396" s="2070"/>
      <c r="E396" s="2070"/>
      <c r="F396" s="2070"/>
      <c r="G396" s="2350"/>
      <c r="H396" s="2350"/>
      <c r="I396" s="2353"/>
      <c r="J396" s="2177"/>
      <c r="K396" s="2070"/>
      <c r="L396" s="2070"/>
      <c r="M396" s="2070"/>
      <c r="N396" s="2075"/>
      <c r="O396" s="2351"/>
    </row>
    <row r="397" spans="1:15" s="2352" customFormat="1" ht="12.95" hidden="1" customHeight="1">
      <c r="A397" s="2070"/>
      <c r="B397" s="2070"/>
      <c r="C397" s="2070"/>
      <c r="D397" s="2070"/>
      <c r="E397" s="2070"/>
      <c r="F397" s="2070"/>
      <c r="G397" s="2350"/>
      <c r="H397" s="2350"/>
      <c r="I397" s="2353"/>
      <c r="J397" s="2177"/>
      <c r="K397" s="2070"/>
      <c r="L397" s="2070"/>
      <c r="M397" s="2070"/>
      <c r="N397" s="2075"/>
      <c r="O397" s="2351"/>
    </row>
    <row r="398" spans="1:15" s="2352" customFormat="1" ht="12.95" hidden="1" customHeight="1" thickBot="1">
      <c r="A398" s="2070"/>
      <c r="B398" s="2335"/>
      <c r="C398" s="2336"/>
      <c r="D398" s="2336"/>
      <c r="E398" s="2337"/>
      <c r="F398" s="2554"/>
      <c r="G398" s="2350"/>
      <c r="H398" s="2350"/>
      <c r="I398" s="2353"/>
      <c r="J398" s="2177"/>
      <c r="K398" s="2070"/>
      <c r="L398" s="2070"/>
      <c r="M398" s="2070"/>
      <c r="N398" s="2075"/>
      <c r="O398" s="2351"/>
    </row>
    <row r="399" spans="1:15" s="2352" customFormat="1" ht="12.95" hidden="1" customHeight="1" thickTop="1">
      <c r="A399" s="2338"/>
      <c r="B399" s="2339"/>
      <c r="C399" s="2340"/>
      <c r="D399" s="2508"/>
      <c r="E399" s="2341"/>
      <c r="F399" s="2555"/>
      <c r="G399" s="2350"/>
      <c r="H399" s="2350"/>
      <c r="I399" s="2353"/>
      <c r="J399" s="2177"/>
      <c r="K399" s="2070"/>
      <c r="L399" s="2070"/>
      <c r="M399" s="2070"/>
      <c r="N399" s="2075"/>
      <c r="O399" s="2351"/>
    </row>
    <row r="400" spans="1:15" s="2352" customFormat="1" ht="12.75" hidden="1" customHeight="1">
      <c r="A400" s="2342"/>
      <c r="B400" s="2343"/>
      <c r="C400" s="2344"/>
      <c r="D400" s="2347"/>
      <c r="E400" s="2345"/>
      <c r="F400" s="2556"/>
      <c r="G400" s="2350"/>
      <c r="H400" s="2350"/>
      <c r="I400" s="2353"/>
      <c r="J400" s="2177"/>
      <c r="K400" s="2070"/>
      <c r="L400" s="2070"/>
      <c r="M400" s="2070"/>
      <c r="N400" s="2075"/>
      <c r="O400" s="2351"/>
    </row>
    <row r="401" spans="1:15" s="2352" customFormat="1" ht="12.95" hidden="1" customHeight="1">
      <c r="A401" s="2342"/>
      <c r="B401" s="2346"/>
      <c r="C401" s="2344"/>
      <c r="D401" s="2347"/>
      <c r="E401" s="2345"/>
      <c r="F401" s="2556"/>
      <c r="G401" s="2350"/>
      <c r="H401" s="2350"/>
      <c r="I401" s="2353"/>
      <c r="J401" s="2177"/>
      <c r="K401" s="2070"/>
      <c r="L401" s="2070"/>
      <c r="M401" s="2070"/>
      <c r="N401" s="2075"/>
      <c r="O401" s="2351"/>
    </row>
    <row r="402" spans="1:15" s="2352" customFormat="1" ht="12.95" hidden="1" customHeight="1" thickBot="1">
      <c r="A402" s="2348"/>
      <c r="B402" s="2349"/>
      <c r="C402" s="2349"/>
      <c r="D402" s="2349"/>
      <c r="E402" s="2303"/>
      <c r="F402" s="2557"/>
      <c r="G402" s="2350"/>
      <c r="H402" s="2350"/>
      <c r="I402" s="2353"/>
      <c r="J402" s="2177"/>
      <c r="K402" s="2070"/>
      <c r="L402" s="2070"/>
      <c r="M402" s="2070"/>
      <c r="N402" s="2075"/>
      <c r="O402" s="2351"/>
    </row>
    <row r="403" spans="1:15" s="2352" customFormat="1">
      <c r="A403" s="2070"/>
      <c r="B403" s="2070"/>
      <c r="C403" s="2070"/>
      <c r="D403" s="2070"/>
      <c r="E403" s="2070"/>
      <c r="F403" s="2070"/>
      <c r="G403" s="2356"/>
      <c r="H403" s="2356"/>
      <c r="I403" s="2353"/>
      <c r="J403" s="2177"/>
      <c r="K403" s="2070"/>
      <c r="L403" s="2070"/>
      <c r="M403" s="2070"/>
      <c r="N403" s="2075"/>
      <c r="O403" s="2351"/>
    </row>
    <row r="404" spans="1:15" s="2352" customFormat="1">
      <c r="A404" s="2070"/>
      <c r="B404" s="2070"/>
      <c r="C404" s="2072"/>
      <c r="D404" s="2148"/>
      <c r="E404" s="2149"/>
      <c r="F404" s="2149"/>
      <c r="G404" s="2225"/>
      <c r="H404" s="2244"/>
      <c r="I404" s="2357"/>
      <c r="K404" s="2558"/>
    </row>
    <row r="405" spans="1:15" s="2177" customFormat="1">
      <c r="A405" s="2559"/>
      <c r="B405" s="4903"/>
      <c r="C405" s="4903"/>
      <c r="D405" s="4903"/>
      <c r="E405" s="4903"/>
      <c r="F405" s="4903"/>
      <c r="G405" s="2356"/>
      <c r="H405" s="2356"/>
      <c r="I405" s="2353"/>
    </row>
    <row r="406" spans="1:15" s="2177" customFormat="1">
      <c r="B406" s="2560"/>
      <c r="C406" s="2072"/>
      <c r="D406" s="2148"/>
      <c r="E406" s="2072"/>
      <c r="F406" s="2072"/>
      <c r="G406" s="2356"/>
      <c r="H406" s="2356"/>
      <c r="I406" s="2353"/>
    </row>
    <row r="407" spans="1:15" s="2177" customFormat="1" ht="13.5" thickBot="1">
      <c r="B407" s="2561"/>
      <c r="C407" s="2178"/>
      <c r="D407" s="2179"/>
      <c r="E407" s="2178"/>
      <c r="F407" s="2178"/>
      <c r="G407" s="2356"/>
      <c r="H407" s="2356"/>
      <c r="I407" s="2353"/>
    </row>
    <row r="408" spans="1:15" s="2177" customFormat="1" ht="13.5" thickTop="1">
      <c r="A408" s="2562"/>
      <c r="B408" s="2563"/>
      <c r="C408" s="2564"/>
      <c r="D408" s="2166"/>
      <c r="E408" s="2165"/>
      <c r="F408" s="2524"/>
      <c r="G408" s="2356"/>
      <c r="H408" s="2356"/>
      <c r="I408" s="2353"/>
    </row>
    <row r="409" spans="1:15" s="2177" customFormat="1">
      <c r="A409" s="2565"/>
      <c r="B409" s="2566"/>
      <c r="C409" s="2567"/>
      <c r="D409" s="2171"/>
      <c r="E409" s="2170"/>
      <c r="F409" s="2525"/>
      <c r="G409" s="2356"/>
      <c r="H409" s="2356"/>
      <c r="I409" s="2353"/>
    </row>
    <row r="410" spans="1:15" s="2177" customFormat="1">
      <c r="A410" s="2565"/>
      <c r="B410" s="2566"/>
      <c r="C410" s="2567"/>
      <c r="D410" s="2171"/>
      <c r="E410" s="2170"/>
      <c r="F410" s="2525"/>
      <c r="G410" s="2356"/>
      <c r="H410" s="2356"/>
      <c r="I410" s="2353"/>
    </row>
    <row r="411" spans="1:15" s="2177" customFormat="1">
      <c r="A411" s="2565"/>
      <c r="B411" s="2566"/>
      <c r="C411" s="2567"/>
      <c r="D411" s="2171"/>
      <c r="E411" s="2170"/>
      <c r="F411" s="2525"/>
      <c r="G411" s="2356"/>
      <c r="H411" s="2356"/>
      <c r="I411" s="2353"/>
      <c r="J411" s="2374"/>
    </row>
    <row r="412" spans="1:15" s="2177" customFormat="1">
      <c r="A412" s="2565"/>
      <c r="B412" s="2566"/>
      <c r="C412" s="2567"/>
      <c r="D412" s="2171"/>
      <c r="E412" s="2170"/>
      <c r="F412" s="2525"/>
      <c r="G412" s="2356"/>
      <c r="H412" s="2356"/>
      <c r="I412" s="2353"/>
    </row>
    <row r="413" spans="1:15" s="2177" customFormat="1">
      <c r="A413" s="2565"/>
      <c r="B413" s="2568"/>
      <c r="C413" s="2567"/>
      <c r="D413" s="2171"/>
      <c r="E413" s="2170"/>
      <c r="F413" s="2525"/>
      <c r="G413" s="2356"/>
      <c r="H413" s="2369"/>
      <c r="I413" s="2353"/>
    </row>
    <row r="414" spans="1:15" s="2374" customFormat="1">
      <c r="A414" s="2569"/>
      <c r="B414" s="2566"/>
      <c r="C414" s="2567"/>
      <c r="D414" s="2171"/>
      <c r="E414" s="2170"/>
      <c r="F414" s="2525"/>
      <c r="G414" s="2570"/>
      <c r="H414" s="2371"/>
      <c r="I414" s="2353"/>
      <c r="J414" s="2177"/>
      <c r="K414" s="2177"/>
      <c r="L414" s="2177"/>
    </row>
    <row r="415" spans="1:15" s="2177" customFormat="1">
      <c r="A415" s="2565"/>
      <c r="B415" s="2566"/>
      <c r="C415" s="2567"/>
      <c r="D415" s="2171"/>
      <c r="E415" s="2170"/>
      <c r="F415" s="2525"/>
      <c r="G415" s="2570"/>
      <c r="H415" s="2371"/>
      <c r="I415" s="2353"/>
    </row>
    <row r="416" spans="1:15" s="2177" customFormat="1">
      <c r="A416" s="2565"/>
      <c r="B416" s="2568"/>
      <c r="C416" s="2567"/>
      <c r="D416" s="2171"/>
      <c r="E416" s="2170"/>
      <c r="F416" s="2525"/>
      <c r="G416" s="2372"/>
      <c r="H416" s="2372"/>
      <c r="I416" s="2373"/>
    </row>
    <row r="417" spans="1:12" s="2177" customFormat="1">
      <c r="A417" s="2565"/>
      <c r="B417" s="2566"/>
      <c r="C417" s="2567"/>
      <c r="D417" s="2171"/>
      <c r="E417" s="2170"/>
      <c r="F417" s="2525"/>
      <c r="G417" s="2356"/>
      <c r="H417" s="2356"/>
      <c r="I417" s="2353"/>
    </row>
    <row r="418" spans="1:12" s="2177" customFormat="1">
      <c r="A418" s="2565"/>
      <c r="B418" s="2566"/>
      <c r="C418" s="2567"/>
      <c r="D418" s="2171"/>
      <c r="E418" s="2170"/>
      <c r="F418" s="2525"/>
      <c r="G418" s="2356"/>
      <c r="H418" s="2356"/>
      <c r="I418" s="2353"/>
    </row>
    <row r="419" spans="1:12" s="2177" customFormat="1">
      <c r="A419" s="2565"/>
      <c r="B419" s="2566"/>
      <c r="C419" s="2567"/>
      <c r="D419" s="2171"/>
      <c r="E419" s="2170"/>
      <c r="F419" s="2525"/>
      <c r="G419" s="2356"/>
      <c r="H419" s="2356"/>
      <c r="I419" s="2353"/>
    </row>
    <row r="420" spans="1:12" s="2177" customFormat="1">
      <c r="A420" s="2565"/>
      <c r="B420" s="2571"/>
      <c r="C420" s="2567"/>
      <c r="D420" s="2171"/>
      <c r="E420" s="2170"/>
      <c r="F420" s="2525"/>
      <c r="G420" s="2356"/>
      <c r="H420" s="2356"/>
      <c r="I420" s="2353"/>
      <c r="L420" s="2374"/>
    </row>
    <row r="421" spans="1:12" s="2177" customFormat="1">
      <c r="A421" s="2565"/>
      <c r="B421" s="2571"/>
      <c r="C421" s="2567"/>
      <c r="D421" s="2171"/>
      <c r="E421" s="2170"/>
      <c r="F421" s="2525"/>
      <c r="G421" s="2356"/>
      <c r="H421" s="2356"/>
      <c r="I421" s="2353"/>
    </row>
    <row r="422" spans="1:12" s="2177" customFormat="1">
      <c r="A422" s="2565"/>
      <c r="B422" s="2571"/>
      <c r="C422" s="2567"/>
      <c r="D422" s="2171"/>
      <c r="E422" s="2170"/>
      <c r="F422" s="2525"/>
      <c r="G422" s="2356"/>
      <c r="H422" s="2356"/>
      <c r="I422" s="2353"/>
    </row>
    <row r="423" spans="1:12" s="2177" customFormat="1">
      <c r="A423" s="2565"/>
      <c r="B423" s="2566"/>
      <c r="C423" s="2567"/>
      <c r="D423" s="2171"/>
      <c r="E423" s="2170"/>
      <c r="F423" s="2525"/>
      <c r="G423" s="2356"/>
      <c r="H423" s="2356"/>
      <c r="I423" s="2353"/>
    </row>
    <row r="424" spans="1:12" s="2374" customFormat="1">
      <c r="A424" s="2569"/>
      <c r="B424" s="2566"/>
      <c r="C424" s="2567"/>
      <c r="D424" s="2171"/>
      <c r="E424" s="2170"/>
      <c r="F424" s="2525"/>
      <c r="G424" s="2356"/>
      <c r="H424" s="2356"/>
      <c r="I424" s="2353"/>
      <c r="J424" s="2177"/>
      <c r="K424" s="2177"/>
      <c r="L424" s="2177"/>
    </row>
    <row r="425" spans="1:12" s="2177" customFormat="1">
      <c r="A425" s="2565"/>
      <c r="B425" s="2568"/>
      <c r="C425" s="2567"/>
      <c r="D425" s="2171"/>
      <c r="E425" s="2170"/>
      <c r="F425" s="2525"/>
      <c r="G425" s="2356"/>
      <c r="H425" s="2356"/>
      <c r="I425" s="2353"/>
    </row>
    <row r="426" spans="1:12" s="2177" customFormat="1">
      <c r="A426" s="2565"/>
      <c r="B426" s="2568"/>
      <c r="C426" s="2567"/>
      <c r="D426" s="2171"/>
      <c r="E426" s="2170"/>
      <c r="F426" s="2525"/>
      <c r="G426" s="2356"/>
      <c r="H426" s="2356"/>
      <c r="I426" s="2353"/>
    </row>
    <row r="427" spans="1:12" s="2177" customFormat="1">
      <c r="A427" s="2565"/>
      <c r="B427" s="2566"/>
      <c r="C427" s="2567"/>
      <c r="D427" s="2171"/>
      <c r="E427" s="2170"/>
      <c r="F427" s="2525"/>
      <c r="G427" s="2356"/>
      <c r="H427" s="2356"/>
      <c r="I427" s="2353"/>
    </row>
    <row r="428" spans="1:12" s="2177" customFormat="1">
      <c r="A428" s="2565"/>
      <c r="B428" s="2568"/>
      <c r="C428" s="2567"/>
      <c r="D428" s="2171"/>
      <c r="E428" s="2170"/>
      <c r="F428" s="2525"/>
      <c r="G428" s="2356"/>
      <c r="H428" s="2356"/>
      <c r="I428" s="2353"/>
    </row>
    <row r="429" spans="1:12" s="2177" customFormat="1">
      <c r="A429" s="2565"/>
      <c r="B429" s="2566"/>
      <c r="C429" s="2567"/>
      <c r="D429" s="2171"/>
      <c r="E429" s="2525"/>
      <c r="F429" s="2525"/>
      <c r="G429" s="2356"/>
      <c r="H429" s="2356"/>
      <c r="I429" s="2353"/>
    </row>
    <row r="430" spans="1:12" s="2177" customFormat="1">
      <c r="A430" s="2565"/>
      <c r="B430" s="2568"/>
      <c r="C430" s="2567"/>
      <c r="D430" s="2171"/>
      <c r="E430" s="2525"/>
      <c r="F430" s="2525"/>
      <c r="G430" s="2356"/>
      <c r="H430" s="2356"/>
      <c r="I430" s="2353"/>
    </row>
    <row r="431" spans="1:12" s="2177" customFormat="1">
      <c r="A431" s="2565"/>
      <c r="B431" s="2566"/>
      <c r="C431" s="2567"/>
      <c r="D431" s="2171"/>
      <c r="E431" s="2525"/>
      <c r="F431" s="2525"/>
      <c r="G431" s="2356"/>
      <c r="H431" s="2356"/>
      <c r="I431" s="2353"/>
    </row>
    <row r="432" spans="1:12" s="2177" customFormat="1" ht="13.5" thickBot="1">
      <c r="A432" s="2173"/>
      <c r="B432" s="2572"/>
      <c r="C432" s="2175"/>
      <c r="D432" s="2573"/>
      <c r="E432" s="2574"/>
      <c r="F432" s="2575"/>
      <c r="G432" s="2356"/>
      <c r="H432" s="2356"/>
      <c r="I432" s="2353"/>
      <c r="K432" s="2374"/>
    </row>
    <row r="433" spans="1:12" s="2177" customFormat="1" ht="13.5" thickTop="1">
      <c r="B433" s="2576"/>
      <c r="C433" s="2161"/>
      <c r="D433" s="2577"/>
      <c r="E433" s="2578"/>
      <c r="F433" s="2578"/>
      <c r="G433" s="2356"/>
      <c r="H433" s="2356"/>
      <c r="I433" s="2353"/>
    </row>
    <row r="434" spans="1:12" s="2177" customFormat="1" ht="13.5" thickBot="1">
      <c r="B434" s="2561"/>
      <c r="C434" s="2178"/>
      <c r="D434" s="2179"/>
      <c r="E434" s="2178"/>
      <c r="F434" s="2178"/>
      <c r="G434" s="2356"/>
      <c r="H434" s="2356"/>
      <c r="I434" s="2353"/>
    </row>
    <row r="435" spans="1:12" s="2177" customFormat="1" ht="13.5" thickTop="1">
      <c r="A435" s="2562"/>
      <c r="B435" s="2563"/>
      <c r="C435" s="2564"/>
      <c r="D435" s="2166"/>
      <c r="E435" s="2165"/>
      <c r="F435" s="2524"/>
      <c r="G435" s="2356"/>
      <c r="H435" s="2356"/>
      <c r="I435" s="2353"/>
    </row>
    <row r="436" spans="1:12" s="2177" customFormat="1">
      <c r="A436" s="2565"/>
      <c r="B436" s="2566"/>
      <c r="C436" s="2567"/>
      <c r="D436" s="2171"/>
      <c r="E436" s="2170"/>
      <c r="F436" s="2525"/>
      <c r="G436" s="2356"/>
      <c r="H436" s="2356"/>
      <c r="I436" s="2353"/>
    </row>
    <row r="437" spans="1:12" s="2177" customFormat="1">
      <c r="A437" s="2565"/>
      <c r="B437" s="2566"/>
      <c r="C437" s="2567"/>
      <c r="D437" s="2171"/>
      <c r="E437" s="2170"/>
      <c r="F437" s="2525"/>
      <c r="G437" s="2170"/>
      <c r="H437" s="2369"/>
      <c r="I437" s="2353"/>
    </row>
    <row r="438" spans="1:12" s="2177" customFormat="1">
      <c r="A438" s="2565"/>
      <c r="B438" s="2566"/>
      <c r="C438" s="2567"/>
      <c r="D438" s="2171"/>
      <c r="E438" s="2170"/>
      <c r="F438" s="2525"/>
      <c r="G438" s="2170"/>
      <c r="H438" s="2371"/>
      <c r="I438" s="2353"/>
      <c r="J438" s="2374"/>
    </row>
    <row r="439" spans="1:12" s="2070" customFormat="1">
      <c r="A439" s="2068"/>
      <c r="B439" s="2566"/>
      <c r="C439" s="2567"/>
      <c r="D439" s="2171"/>
      <c r="E439" s="2170"/>
      <c r="F439" s="2525"/>
      <c r="G439" s="2170"/>
      <c r="H439" s="2371"/>
      <c r="I439" s="2353"/>
      <c r="J439" s="2177"/>
      <c r="K439" s="2177"/>
      <c r="L439" s="2177"/>
    </row>
    <row r="440" spans="1:12" s="2177" customFormat="1">
      <c r="A440" s="2565"/>
      <c r="B440" s="2568"/>
      <c r="C440" s="2567"/>
      <c r="D440" s="2171"/>
      <c r="E440" s="2170"/>
      <c r="F440" s="2525"/>
      <c r="G440" s="2170"/>
      <c r="H440" s="2372"/>
      <c r="I440" s="2373"/>
    </row>
    <row r="441" spans="1:12" s="2070" customFormat="1">
      <c r="A441" s="2068"/>
      <c r="B441" s="2566"/>
      <c r="C441" s="2567"/>
      <c r="D441" s="2171"/>
      <c r="E441" s="2170"/>
      <c r="F441" s="2525"/>
      <c r="G441" s="2170"/>
      <c r="H441" s="2356"/>
      <c r="I441" s="2353"/>
      <c r="J441" s="2177"/>
      <c r="K441" s="2177"/>
      <c r="L441" s="2177"/>
    </row>
    <row r="442" spans="1:12" s="2070" customFormat="1">
      <c r="A442" s="2068"/>
      <c r="B442" s="2566"/>
      <c r="C442" s="2567"/>
      <c r="D442" s="2171"/>
      <c r="E442" s="2170"/>
      <c r="F442" s="2525"/>
      <c r="G442" s="2170"/>
      <c r="H442" s="2356"/>
      <c r="I442" s="2353"/>
      <c r="J442" s="2177"/>
      <c r="K442" s="2177"/>
      <c r="L442" s="2177"/>
    </row>
    <row r="443" spans="1:12" s="2070" customFormat="1">
      <c r="A443" s="2068"/>
      <c r="B443" s="2568"/>
      <c r="C443" s="2567"/>
      <c r="D443" s="2171"/>
      <c r="E443" s="2170"/>
      <c r="F443" s="2525"/>
      <c r="G443" s="2356"/>
      <c r="H443" s="2356"/>
      <c r="I443" s="2353"/>
      <c r="J443" s="2177"/>
      <c r="K443" s="2177"/>
      <c r="L443" s="2177"/>
    </row>
    <row r="444" spans="1:12" s="2070" customFormat="1">
      <c r="A444" s="2068"/>
      <c r="B444" s="2566"/>
      <c r="C444" s="2567"/>
      <c r="D444" s="2171"/>
      <c r="E444" s="2170"/>
      <c r="F444" s="2525"/>
      <c r="G444" s="2356"/>
      <c r="H444" s="2356"/>
      <c r="I444" s="2353"/>
      <c r="J444" s="2177"/>
      <c r="K444" s="2177"/>
      <c r="L444" s="2177"/>
    </row>
    <row r="445" spans="1:12" s="2070" customFormat="1">
      <c r="A445" s="2068"/>
      <c r="B445" s="2566"/>
      <c r="C445" s="2567"/>
      <c r="D445" s="2171"/>
      <c r="E445" s="2170"/>
      <c r="F445" s="2525"/>
      <c r="G445" s="2356"/>
      <c r="H445" s="2356"/>
      <c r="I445" s="2353"/>
      <c r="J445" s="2177"/>
      <c r="K445" s="2177"/>
      <c r="L445" s="2177"/>
    </row>
    <row r="446" spans="1:12" s="2070" customFormat="1">
      <c r="A446" s="2068"/>
      <c r="B446" s="2566"/>
      <c r="C446" s="2567"/>
      <c r="D446" s="2171"/>
      <c r="E446" s="2170"/>
      <c r="F446" s="2525"/>
      <c r="G446" s="2356"/>
      <c r="H446" s="2356"/>
      <c r="I446" s="2353"/>
      <c r="J446" s="2177"/>
      <c r="K446" s="2177"/>
      <c r="L446" s="2177"/>
    </row>
    <row r="447" spans="1:12" s="2070" customFormat="1">
      <c r="A447" s="2068"/>
      <c r="B447" s="2568"/>
      <c r="C447" s="2567"/>
      <c r="D447" s="2171"/>
      <c r="E447" s="2170"/>
      <c r="F447" s="2525"/>
      <c r="G447" s="2356"/>
      <c r="H447" s="2356"/>
      <c r="I447" s="2353"/>
      <c r="J447" s="2177"/>
      <c r="K447" s="2177"/>
      <c r="L447" s="2177"/>
    </row>
    <row r="448" spans="1:12" s="2070" customFormat="1">
      <c r="A448" s="2068"/>
      <c r="B448" s="2169"/>
      <c r="C448" s="2567"/>
      <c r="D448" s="2171"/>
      <c r="E448" s="2170"/>
      <c r="F448" s="2525"/>
      <c r="G448" s="2356"/>
      <c r="H448" s="2356"/>
      <c r="I448" s="2353"/>
      <c r="J448" s="2177"/>
      <c r="K448" s="2177"/>
      <c r="L448" s="2374"/>
    </row>
    <row r="449" spans="1:12" s="2070" customFormat="1">
      <c r="A449" s="2068"/>
      <c r="B449" s="2571"/>
      <c r="C449" s="2567"/>
      <c r="D449" s="2171"/>
      <c r="E449" s="2170"/>
      <c r="F449" s="2525"/>
      <c r="G449" s="2356"/>
      <c r="H449" s="2356"/>
      <c r="I449" s="2353"/>
      <c r="J449" s="2374"/>
      <c r="K449" s="2177"/>
      <c r="L449" s="2177"/>
    </row>
    <row r="450" spans="1:12" s="2070" customFormat="1">
      <c r="A450" s="2068"/>
      <c r="B450" s="2566"/>
      <c r="C450" s="2567"/>
      <c r="D450" s="2579"/>
      <c r="E450" s="2170"/>
      <c r="F450" s="2525"/>
      <c r="G450" s="2356"/>
      <c r="H450" s="2356"/>
      <c r="I450" s="2353"/>
      <c r="J450" s="2177"/>
      <c r="K450" s="2177"/>
      <c r="L450" s="2177"/>
    </row>
    <row r="451" spans="1:12" s="2070" customFormat="1">
      <c r="A451" s="2068"/>
      <c r="B451" s="2568"/>
      <c r="C451" s="2567"/>
      <c r="D451" s="2171"/>
      <c r="E451" s="2170"/>
      <c r="F451" s="2525"/>
      <c r="G451" s="2356"/>
      <c r="H451" s="2356"/>
      <c r="I451" s="2353"/>
      <c r="J451" s="2177"/>
      <c r="K451" s="2177"/>
      <c r="L451" s="2177"/>
    </row>
    <row r="452" spans="1:12" s="2070" customFormat="1">
      <c r="A452" s="2068"/>
      <c r="B452" s="2580"/>
      <c r="C452" s="2567"/>
      <c r="D452" s="2171"/>
      <c r="E452" s="2170"/>
      <c r="F452" s="2525"/>
      <c r="G452" s="2356"/>
      <c r="H452" s="2356"/>
      <c r="I452" s="2353"/>
      <c r="J452" s="2177"/>
      <c r="K452" s="2177"/>
      <c r="L452" s="2177"/>
    </row>
    <row r="453" spans="1:12" s="2070" customFormat="1">
      <c r="A453" s="2068"/>
      <c r="B453" s="2568"/>
      <c r="C453" s="2567"/>
      <c r="D453" s="2171"/>
      <c r="E453" s="2170"/>
      <c r="F453" s="2525"/>
      <c r="G453" s="2356"/>
      <c r="H453" s="2356"/>
      <c r="I453" s="2353"/>
      <c r="J453" s="2177"/>
      <c r="K453" s="2177"/>
      <c r="L453" s="2177"/>
    </row>
    <row r="454" spans="1:12" s="2070" customFormat="1">
      <c r="A454" s="2068"/>
      <c r="B454" s="2566"/>
      <c r="C454" s="2567"/>
      <c r="D454" s="2171"/>
      <c r="E454" s="2170"/>
      <c r="F454" s="2525"/>
      <c r="G454" s="2356"/>
      <c r="H454" s="2356"/>
      <c r="I454" s="2353"/>
      <c r="J454" s="2177"/>
      <c r="K454" s="2177"/>
      <c r="L454" s="2177"/>
    </row>
    <row r="455" spans="1:12" s="2070" customFormat="1">
      <c r="A455" s="2068"/>
      <c r="B455" s="2566"/>
      <c r="C455" s="2567"/>
      <c r="D455" s="2171"/>
      <c r="E455" s="2170"/>
      <c r="F455" s="2525"/>
      <c r="G455" s="2356"/>
      <c r="H455" s="2356"/>
      <c r="I455" s="2353"/>
      <c r="J455" s="2177"/>
      <c r="K455" s="2177"/>
      <c r="L455" s="2177"/>
    </row>
    <row r="456" spans="1:12" s="2070" customFormat="1" ht="13.5" thickBot="1">
      <c r="A456" s="2099"/>
      <c r="B456" s="2572"/>
      <c r="C456" s="2175"/>
      <c r="D456" s="2573"/>
      <c r="E456" s="2574"/>
      <c r="F456" s="2575"/>
      <c r="G456" s="2356"/>
      <c r="H456" s="2356"/>
      <c r="I456" s="2353"/>
      <c r="J456" s="2177"/>
      <c r="K456" s="2177"/>
      <c r="L456" s="2177"/>
    </row>
    <row r="457" spans="1:12" s="2070" customFormat="1" ht="13.5" thickTop="1">
      <c r="B457" s="2576"/>
      <c r="C457" s="2161"/>
      <c r="D457" s="2577"/>
      <c r="E457" s="2578"/>
      <c r="F457" s="2578"/>
      <c r="G457" s="2356"/>
      <c r="H457" s="2356"/>
      <c r="I457" s="2353"/>
      <c r="J457" s="2177"/>
      <c r="K457" s="2177"/>
      <c r="L457" s="2177"/>
    </row>
    <row r="458" spans="1:12" s="2070" customFormat="1" ht="13.5" thickBot="1">
      <c r="B458" s="2561"/>
      <c r="C458" s="2178"/>
      <c r="D458" s="2179"/>
      <c r="E458" s="2178"/>
      <c r="F458" s="2178"/>
      <c r="G458" s="2356"/>
      <c r="H458" s="2356"/>
      <c r="I458" s="2353"/>
      <c r="J458" s="2177"/>
      <c r="K458" s="2177"/>
      <c r="L458" s="2177"/>
    </row>
    <row r="459" spans="1:12" s="2070" customFormat="1" ht="13.5" thickTop="1">
      <c r="A459" s="2246"/>
      <c r="B459" s="2563"/>
      <c r="C459" s="2564"/>
      <c r="D459" s="2166"/>
      <c r="E459" s="2165"/>
      <c r="F459" s="2524"/>
      <c r="G459" s="2563"/>
      <c r="H459" s="2564"/>
      <c r="I459" s="2166"/>
      <c r="J459" s="2165"/>
      <c r="K459" s="2177"/>
      <c r="L459" s="2177"/>
    </row>
    <row r="460" spans="1:12" s="2070" customFormat="1">
      <c r="A460" s="2068"/>
      <c r="B460" s="2566"/>
      <c r="C460" s="2567"/>
      <c r="D460" s="2171"/>
      <c r="E460" s="2170"/>
      <c r="F460" s="2525"/>
      <c r="G460" s="2566"/>
      <c r="H460" s="2567"/>
      <c r="I460" s="2171"/>
      <c r="J460" s="2170"/>
      <c r="K460" s="2374"/>
      <c r="L460" s="2177"/>
    </row>
    <row r="461" spans="1:12" s="2070" customFormat="1">
      <c r="A461" s="2068"/>
      <c r="B461" s="2566"/>
      <c r="C461" s="2567"/>
      <c r="D461" s="2171"/>
      <c r="E461" s="2170"/>
      <c r="F461" s="2525"/>
      <c r="G461" s="2566"/>
      <c r="H461" s="2567"/>
      <c r="I461" s="2171"/>
      <c r="J461" s="2170"/>
      <c r="K461" s="2177"/>
      <c r="L461" s="2177"/>
    </row>
    <row r="462" spans="1:12" s="2070" customFormat="1">
      <c r="A462" s="2068"/>
      <c r="B462" s="2566"/>
      <c r="C462" s="2567"/>
      <c r="D462" s="2171"/>
      <c r="E462" s="2170"/>
      <c r="F462" s="2525"/>
      <c r="G462" s="2566"/>
      <c r="H462" s="2567"/>
      <c r="I462" s="2171"/>
      <c r="J462" s="2170"/>
      <c r="K462" s="2177"/>
      <c r="L462" s="2177"/>
    </row>
    <row r="463" spans="1:12" s="2070" customFormat="1">
      <c r="A463" s="2068"/>
      <c r="B463" s="2566"/>
      <c r="C463" s="2567"/>
      <c r="D463" s="2171"/>
      <c r="E463" s="2170"/>
      <c r="F463" s="2525"/>
      <c r="G463" s="2566"/>
      <c r="H463" s="2567"/>
      <c r="I463" s="2171"/>
      <c r="J463" s="2170"/>
      <c r="K463" s="2177"/>
      <c r="L463" s="2177"/>
    </row>
    <row r="464" spans="1:12" s="2070" customFormat="1">
      <c r="A464" s="2068"/>
      <c r="B464" s="2568"/>
      <c r="C464" s="2567"/>
      <c r="D464" s="2171"/>
      <c r="E464" s="2170"/>
      <c r="F464" s="2525"/>
      <c r="G464" s="2568"/>
      <c r="H464" s="2567"/>
      <c r="I464" s="2171"/>
      <c r="J464" s="2170"/>
      <c r="K464" s="2177"/>
      <c r="L464" s="2177"/>
    </row>
    <row r="465" spans="1:12" s="2070" customFormat="1">
      <c r="A465" s="2068"/>
      <c r="B465" s="2566"/>
      <c r="C465" s="2567"/>
      <c r="D465" s="2171"/>
      <c r="E465" s="2170"/>
      <c r="F465" s="2525"/>
      <c r="G465" s="2566"/>
      <c r="H465" s="2567"/>
      <c r="I465" s="2171"/>
      <c r="J465" s="2170"/>
      <c r="K465" s="2177"/>
      <c r="L465" s="2177"/>
    </row>
    <row r="466" spans="1:12" s="2070" customFormat="1">
      <c r="A466" s="2068"/>
      <c r="B466" s="2566"/>
      <c r="C466" s="2567"/>
      <c r="D466" s="2171"/>
      <c r="E466" s="2170"/>
      <c r="F466" s="2525"/>
      <c r="G466" s="2566"/>
      <c r="H466" s="2567"/>
      <c r="I466" s="2171"/>
      <c r="J466" s="2170"/>
      <c r="K466" s="2177"/>
      <c r="L466" s="2177"/>
    </row>
    <row r="467" spans="1:12" s="2070" customFormat="1">
      <c r="A467" s="2068"/>
      <c r="B467" s="2568"/>
      <c r="C467" s="2567"/>
      <c r="D467" s="2171"/>
      <c r="E467" s="2170"/>
      <c r="F467" s="2525"/>
      <c r="G467" s="2568"/>
      <c r="H467" s="2567"/>
      <c r="I467" s="2171"/>
      <c r="J467" s="2170"/>
      <c r="K467" s="2177"/>
      <c r="L467" s="2177"/>
    </row>
    <row r="468" spans="1:12" s="2070" customFormat="1">
      <c r="A468" s="2068"/>
      <c r="B468" s="2566"/>
      <c r="C468" s="2567"/>
      <c r="D468" s="2171"/>
      <c r="E468" s="2170"/>
      <c r="F468" s="2525"/>
      <c r="G468" s="2566"/>
      <c r="H468" s="2567"/>
      <c r="I468" s="2171"/>
      <c r="J468" s="2170"/>
      <c r="K468" s="2177"/>
      <c r="L468" s="2177"/>
    </row>
    <row r="469" spans="1:12" s="2070" customFormat="1">
      <c r="A469" s="2068"/>
      <c r="B469" s="2566"/>
      <c r="C469" s="2567"/>
      <c r="D469" s="2171"/>
      <c r="E469" s="2170"/>
      <c r="F469" s="2525"/>
      <c r="G469" s="2356"/>
      <c r="H469" s="2356"/>
      <c r="I469" s="2353"/>
      <c r="J469" s="2177"/>
      <c r="K469" s="2177"/>
      <c r="L469" s="2177"/>
    </row>
    <row r="470" spans="1:12" s="2070" customFormat="1">
      <c r="A470" s="2068"/>
      <c r="B470" s="2568"/>
      <c r="C470" s="2567"/>
      <c r="D470" s="2171"/>
      <c r="E470" s="2170"/>
      <c r="F470" s="2525"/>
      <c r="G470" s="2356"/>
      <c r="H470" s="2356"/>
      <c r="I470" s="2353"/>
      <c r="J470" s="2177"/>
      <c r="K470" s="2177"/>
      <c r="L470" s="2177"/>
    </row>
    <row r="471" spans="1:12" s="2070" customFormat="1">
      <c r="A471" s="2068"/>
      <c r="B471" s="2169"/>
      <c r="C471" s="2567"/>
      <c r="D471" s="2171"/>
      <c r="E471" s="2170"/>
      <c r="F471" s="2525"/>
      <c r="G471" s="2356"/>
      <c r="H471" s="2356"/>
      <c r="I471" s="2353"/>
      <c r="J471" s="2177"/>
      <c r="K471" s="2177"/>
      <c r="L471" s="2177"/>
    </row>
    <row r="472" spans="1:12" s="2070" customFormat="1">
      <c r="A472" s="2068"/>
      <c r="B472" s="2169"/>
      <c r="C472" s="2567"/>
      <c r="D472" s="2171"/>
      <c r="E472" s="2170"/>
      <c r="F472" s="2525"/>
      <c r="G472" s="2356"/>
      <c r="H472" s="2356"/>
      <c r="I472" s="2353"/>
      <c r="J472" s="2177"/>
      <c r="K472" s="2177"/>
      <c r="L472" s="2177"/>
    </row>
    <row r="473" spans="1:12" s="2070" customFormat="1">
      <c r="A473" s="2068"/>
      <c r="B473" s="2571"/>
      <c r="C473" s="2567"/>
      <c r="D473" s="2171"/>
      <c r="E473" s="2170"/>
      <c r="F473" s="2525"/>
      <c r="G473" s="2356"/>
      <c r="H473" s="2356"/>
      <c r="I473" s="2353"/>
      <c r="J473" s="2177"/>
      <c r="K473" s="2177"/>
      <c r="L473" s="2177"/>
    </row>
    <row r="474" spans="1:12" s="2070" customFormat="1">
      <c r="A474" s="2068"/>
      <c r="B474" s="2566"/>
      <c r="C474" s="2567"/>
      <c r="D474" s="2171"/>
      <c r="E474" s="2170"/>
      <c r="F474" s="2525"/>
      <c r="G474" s="2356"/>
      <c r="H474" s="2356"/>
      <c r="I474" s="2353"/>
      <c r="J474" s="2177"/>
      <c r="K474" s="2177"/>
      <c r="L474" s="2177"/>
    </row>
    <row r="475" spans="1:12" s="2070" customFormat="1">
      <c r="A475" s="2068"/>
      <c r="B475" s="2566"/>
      <c r="C475" s="2567"/>
      <c r="D475" s="2171"/>
      <c r="E475" s="2170"/>
      <c r="F475" s="2525"/>
      <c r="G475" s="2356"/>
      <c r="H475" s="2369"/>
      <c r="I475" s="2353"/>
      <c r="J475" s="2177"/>
      <c r="K475" s="2177"/>
      <c r="L475" s="2374"/>
    </row>
    <row r="476" spans="1:12" s="2070" customFormat="1">
      <c r="A476" s="2068"/>
      <c r="B476" s="2568"/>
      <c r="C476" s="2567"/>
      <c r="D476" s="2171"/>
      <c r="E476" s="2170"/>
      <c r="F476" s="2525"/>
      <c r="G476" s="2570"/>
      <c r="H476" s="2371"/>
      <c r="I476" s="2353"/>
      <c r="J476" s="2177"/>
      <c r="K476" s="2177"/>
      <c r="L476" s="2177"/>
    </row>
    <row r="477" spans="1:12" s="2070" customFormat="1">
      <c r="A477" s="2068"/>
      <c r="B477" s="2568"/>
      <c r="C477" s="2567"/>
      <c r="D477" s="2171"/>
      <c r="E477" s="2170"/>
      <c r="F477" s="2525"/>
      <c r="G477" s="2570"/>
      <c r="H477" s="2371"/>
      <c r="I477" s="2353"/>
      <c r="J477" s="2374"/>
      <c r="K477" s="2177"/>
      <c r="L477" s="2177"/>
    </row>
    <row r="478" spans="1:12" s="2070" customFormat="1">
      <c r="A478" s="2068"/>
      <c r="B478" s="2566"/>
      <c r="C478" s="2567"/>
      <c r="D478" s="2579"/>
      <c r="E478" s="2170"/>
      <c r="F478" s="2525"/>
      <c r="G478" s="2372"/>
      <c r="H478" s="2372"/>
      <c r="I478" s="2373"/>
      <c r="J478" s="2177"/>
      <c r="K478" s="2177"/>
      <c r="L478" s="2177"/>
    </row>
    <row r="479" spans="1:12" s="2070" customFormat="1">
      <c r="A479" s="2068"/>
      <c r="B479" s="2568"/>
      <c r="C479" s="2567"/>
      <c r="D479" s="2171"/>
      <c r="E479" s="2170"/>
      <c r="F479" s="2525"/>
      <c r="G479" s="2356"/>
      <c r="H479" s="2356"/>
      <c r="I479" s="2353"/>
      <c r="J479" s="2177"/>
      <c r="K479" s="2177"/>
      <c r="L479" s="2177"/>
    </row>
    <row r="480" spans="1:12" s="2070" customFormat="1">
      <c r="A480" s="2068"/>
      <c r="B480" s="2580"/>
      <c r="C480" s="2567"/>
      <c r="D480" s="2171"/>
      <c r="E480" s="2170"/>
      <c r="F480" s="2525"/>
      <c r="G480" s="2356"/>
      <c r="H480" s="2356"/>
      <c r="I480" s="2353"/>
      <c r="J480" s="2177"/>
      <c r="K480" s="2177"/>
      <c r="L480" s="2177"/>
    </row>
    <row r="481" spans="1:12" s="2070" customFormat="1">
      <c r="A481" s="2068"/>
      <c r="B481" s="2568"/>
      <c r="C481" s="2567"/>
      <c r="D481" s="2171"/>
      <c r="E481" s="2170"/>
      <c r="F481" s="2525"/>
      <c r="G481" s="2356"/>
      <c r="H481" s="2356"/>
      <c r="I481" s="2353"/>
      <c r="J481" s="2177"/>
      <c r="K481" s="2177"/>
      <c r="L481" s="2177"/>
    </row>
    <row r="482" spans="1:12" s="2070" customFormat="1">
      <c r="A482" s="2068"/>
      <c r="B482" s="2566"/>
      <c r="C482" s="2567"/>
      <c r="D482" s="2171"/>
      <c r="E482" s="2170"/>
      <c r="F482" s="2525"/>
      <c r="G482" s="2356"/>
      <c r="H482" s="2356"/>
      <c r="I482" s="2353"/>
      <c r="J482" s="2177"/>
      <c r="K482" s="2177"/>
      <c r="L482" s="2177"/>
    </row>
    <row r="483" spans="1:12" s="2070" customFormat="1" ht="13.5" thickBot="1">
      <c r="A483" s="2099"/>
      <c r="B483" s="2572"/>
      <c r="C483" s="2175"/>
      <c r="D483" s="2573"/>
      <c r="E483" s="2574"/>
      <c r="F483" s="2575"/>
      <c r="G483" s="2356"/>
      <c r="H483" s="2356"/>
      <c r="I483" s="2353"/>
      <c r="J483" s="2177"/>
      <c r="K483" s="2177"/>
      <c r="L483" s="2177"/>
    </row>
    <row r="484" spans="1:12" s="2070" customFormat="1" ht="13.5" thickTop="1">
      <c r="B484" s="2576"/>
      <c r="C484" s="2161"/>
      <c r="D484" s="2577"/>
      <c r="E484" s="2578"/>
      <c r="F484" s="2578"/>
      <c r="G484" s="2356"/>
      <c r="H484" s="2356"/>
      <c r="I484" s="2353"/>
      <c r="J484" s="2177"/>
      <c r="K484" s="2177"/>
      <c r="L484" s="2177"/>
    </row>
    <row r="485" spans="1:12" s="2070" customFormat="1" ht="13.5" thickBot="1">
      <c r="B485" s="2561"/>
      <c r="C485" s="2178"/>
      <c r="D485" s="2179"/>
      <c r="E485" s="2178"/>
      <c r="F485" s="2178"/>
      <c r="G485" s="2356"/>
      <c r="H485" s="2356"/>
      <c r="I485" s="2353"/>
      <c r="J485" s="2177"/>
      <c r="K485" s="2177"/>
      <c r="L485" s="2177"/>
    </row>
    <row r="486" spans="1:12" s="2070" customFormat="1" ht="13.5" thickTop="1">
      <c r="A486" s="2246"/>
      <c r="B486" s="2563"/>
      <c r="C486" s="2564"/>
      <c r="D486" s="2166"/>
      <c r="E486" s="2165"/>
      <c r="F486" s="2524"/>
      <c r="G486" s="2356"/>
      <c r="H486" s="2356"/>
      <c r="I486" s="2353"/>
      <c r="J486" s="2177"/>
      <c r="K486" s="2177"/>
      <c r="L486" s="2177"/>
    </row>
    <row r="487" spans="1:12" s="2070" customFormat="1">
      <c r="A487" s="2068"/>
      <c r="B487" s="2566"/>
      <c r="C487" s="2567"/>
      <c r="D487" s="2171"/>
      <c r="E487" s="2170"/>
      <c r="F487" s="2525"/>
      <c r="G487" s="2356"/>
      <c r="H487" s="2356"/>
      <c r="I487" s="2353"/>
      <c r="J487" s="2177"/>
      <c r="K487" s="2374"/>
      <c r="L487" s="2374"/>
    </row>
    <row r="488" spans="1:12" s="2070" customFormat="1">
      <c r="A488" s="2068"/>
      <c r="B488" s="2566"/>
      <c r="C488" s="2567"/>
      <c r="D488" s="2171"/>
      <c r="E488" s="2170"/>
      <c r="F488" s="2525"/>
      <c r="G488" s="2356"/>
      <c r="H488" s="2356"/>
      <c r="I488" s="2353"/>
      <c r="J488" s="2177"/>
      <c r="K488" s="2177"/>
      <c r="L488" s="2177"/>
    </row>
    <row r="489" spans="1:12" s="2070" customFormat="1">
      <c r="A489" s="2068"/>
      <c r="B489" s="2566"/>
      <c r="C489" s="2567"/>
      <c r="D489" s="2171"/>
      <c r="E489" s="2170"/>
      <c r="F489" s="2525"/>
      <c r="G489" s="2356"/>
      <c r="H489" s="2356"/>
      <c r="I489" s="2353"/>
      <c r="J489" s="2177"/>
      <c r="K489" s="2177"/>
      <c r="L489" s="2177"/>
    </row>
    <row r="490" spans="1:12" s="2070" customFormat="1">
      <c r="A490" s="2068"/>
      <c r="B490" s="2566"/>
      <c r="C490" s="2567"/>
      <c r="D490" s="2171"/>
      <c r="E490" s="2170"/>
      <c r="F490" s="2525"/>
      <c r="G490" s="2356"/>
      <c r="H490" s="2356"/>
      <c r="I490" s="2353"/>
      <c r="J490" s="2177"/>
      <c r="K490" s="2177"/>
      <c r="L490" s="2177"/>
    </row>
    <row r="491" spans="1:12" s="2070" customFormat="1">
      <c r="A491" s="2068"/>
      <c r="B491" s="2566"/>
      <c r="C491" s="2567"/>
      <c r="D491" s="2171"/>
      <c r="E491" s="2170"/>
      <c r="F491" s="2525"/>
      <c r="G491" s="2356"/>
      <c r="H491" s="2356"/>
      <c r="I491" s="2353"/>
      <c r="J491" s="2177"/>
      <c r="K491" s="2177"/>
      <c r="L491" s="2177"/>
    </row>
    <row r="492" spans="1:12" s="2070" customFormat="1">
      <c r="A492" s="2068"/>
      <c r="B492" s="2566"/>
      <c r="C492" s="2567"/>
      <c r="D492" s="2171"/>
      <c r="E492" s="2170"/>
      <c r="F492" s="2525"/>
      <c r="G492" s="2356"/>
      <c r="H492" s="2356"/>
      <c r="I492" s="2353"/>
      <c r="J492" s="2177"/>
      <c r="K492" s="2177"/>
      <c r="L492" s="2177"/>
    </row>
    <row r="493" spans="1:12" s="2070" customFormat="1">
      <c r="A493" s="2068"/>
      <c r="B493" s="2566"/>
      <c r="C493" s="2567"/>
      <c r="D493" s="2171"/>
      <c r="E493" s="2170"/>
      <c r="F493" s="2525"/>
      <c r="G493" s="2356"/>
      <c r="H493" s="2356"/>
      <c r="I493" s="2353"/>
      <c r="J493" s="2177"/>
      <c r="K493" s="2177"/>
      <c r="L493" s="2177"/>
    </row>
    <row r="494" spans="1:12" s="2070" customFormat="1" ht="13.5" thickBot="1">
      <c r="A494" s="2099"/>
      <c r="B494" s="2174"/>
      <c r="C494" s="2175"/>
      <c r="D494" s="2176"/>
      <c r="E494" s="2574"/>
      <c r="F494" s="2575"/>
      <c r="G494" s="2356"/>
      <c r="H494" s="2356"/>
      <c r="I494" s="2353"/>
      <c r="J494" s="2177"/>
      <c r="K494" s="2177"/>
      <c r="L494" s="2177"/>
    </row>
    <row r="495" spans="1:12" s="2070" customFormat="1" ht="13.5" thickTop="1">
      <c r="B495" s="2177"/>
      <c r="C495" s="2161"/>
      <c r="D495" s="2162"/>
      <c r="E495" s="2578"/>
      <c r="F495" s="2578"/>
      <c r="G495" s="2356"/>
      <c r="H495" s="2356"/>
      <c r="I495" s="2353"/>
      <c r="J495" s="2177"/>
      <c r="K495" s="2177"/>
      <c r="L495" s="2177"/>
    </row>
    <row r="496" spans="1:12" s="2070" customFormat="1" ht="13.5" thickBot="1">
      <c r="B496" s="2561"/>
      <c r="C496" s="2178"/>
      <c r="D496" s="2179"/>
      <c r="E496" s="2178"/>
      <c r="F496" s="2178"/>
      <c r="G496" s="2356"/>
      <c r="H496" s="2356"/>
      <c r="I496" s="2353"/>
      <c r="J496" s="2177"/>
      <c r="K496" s="2177"/>
      <c r="L496" s="2177"/>
    </row>
    <row r="497" spans="1:12" s="2070" customFormat="1" ht="13.5" thickTop="1">
      <c r="A497" s="2246"/>
      <c r="B497" s="2563"/>
      <c r="C497" s="2564"/>
      <c r="D497" s="2166"/>
      <c r="E497" s="2165"/>
      <c r="F497" s="2524"/>
      <c r="G497" s="2356"/>
      <c r="H497" s="2356"/>
      <c r="I497" s="2353"/>
      <c r="J497" s="2177"/>
      <c r="K497" s="2177"/>
      <c r="L497" s="2374"/>
    </row>
    <row r="498" spans="1:12" s="2070" customFormat="1">
      <c r="A498" s="2068"/>
      <c r="B498" s="2566"/>
      <c r="C498" s="2567"/>
      <c r="D498" s="2171"/>
      <c r="E498" s="2170"/>
      <c r="F498" s="2525"/>
      <c r="G498" s="2356"/>
      <c r="H498" s="2356"/>
      <c r="I498" s="2353"/>
      <c r="J498" s="2177"/>
      <c r="K498" s="2177"/>
      <c r="L498" s="2177"/>
    </row>
    <row r="499" spans="1:12" s="2070" customFormat="1">
      <c r="A499" s="2068"/>
      <c r="B499" s="2566"/>
      <c r="C499" s="2567"/>
      <c r="D499" s="2171"/>
      <c r="E499" s="2170"/>
      <c r="F499" s="2525"/>
      <c r="G499" s="2356"/>
      <c r="H499" s="2356"/>
      <c r="I499" s="2353"/>
      <c r="J499" s="2177"/>
      <c r="K499" s="2374"/>
      <c r="L499" s="2177"/>
    </row>
    <row r="500" spans="1:12" s="2070" customFormat="1">
      <c r="A500" s="2068"/>
      <c r="B500" s="2566"/>
      <c r="C500" s="2567"/>
      <c r="D500" s="2171"/>
      <c r="E500" s="2170"/>
      <c r="F500" s="2525"/>
      <c r="G500" s="2356"/>
      <c r="H500" s="2356"/>
      <c r="I500" s="2353"/>
      <c r="J500" s="2177"/>
      <c r="K500" s="2177"/>
      <c r="L500" s="2177"/>
    </row>
    <row r="501" spans="1:12" s="2070" customFormat="1">
      <c r="A501" s="2068"/>
      <c r="B501" s="2566"/>
      <c r="C501" s="2567"/>
      <c r="D501" s="2171"/>
      <c r="E501" s="2170"/>
      <c r="F501" s="2525"/>
      <c r="G501" s="2356"/>
      <c r="H501" s="2356"/>
      <c r="I501" s="2353"/>
      <c r="J501" s="2177"/>
      <c r="K501" s="2177"/>
      <c r="L501" s="2177"/>
    </row>
    <row r="502" spans="1:12" s="2070" customFormat="1">
      <c r="A502" s="2068"/>
      <c r="B502" s="2568"/>
      <c r="C502" s="2567"/>
      <c r="D502" s="2171"/>
      <c r="E502" s="2170"/>
      <c r="F502" s="2525"/>
      <c r="G502" s="2356"/>
      <c r="H502" s="2356"/>
      <c r="I502" s="2353"/>
      <c r="J502" s="2177"/>
      <c r="K502" s="2177"/>
      <c r="L502" s="2177"/>
    </row>
    <row r="503" spans="1:12" s="2070" customFormat="1">
      <c r="A503" s="2068"/>
      <c r="B503" s="2566"/>
      <c r="C503" s="2567"/>
      <c r="D503" s="2171"/>
      <c r="E503" s="2170"/>
      <c r="F503" s="2525"/>
      <c r="G503" s="2356"/>
      <c r="H503" s="2356"/>
      <c r="I503" s="2353"/>
      <c r="J503" s="2177"/>
      <c r="K503" s="2177"/>
      <c r="L503" s="2177"/>
    </row>
    <row r="504" spans="1:12" s="2070" customFormat="1">
      <c r="A504" s="2068"/>
      <c r="B504" s="2566"/>
      <c r="C504" s="2567"/>
      <c r="D504" s="2171"/>
      <c r="E504" s="2170"/>
      <c r="F504" s="2525"/>
      <c r="G504" s="2356"/>
      <c r="H504" s="2369"/>
      <c r="I504" s="2353"/>
      <c r="J504" s="2177"/>
      <c r="K504" s="2177"/>
      <c r="L504" s="2177"/>
    </row>
    <row r="505" spans="1:12" s="2070" customFormat="1">
      <c r="A505" s="2068"/>
      <c r="B505" s="2568"/>
      <c r="C505" s="2567"/>
      <c r="D505" s="2171"/>
      <c r="E505" s="2170"/>
      <c r="F505" s="2525"/>
      <c r="G505" s="2570"/>
      <c r="H505" s="2371"/>
      <c r="I505" s="2353"/>
      <c r="J505" s="2177"/>
      <c r="K505" s="2177"/>
      <c r="L505" s="2177"/>
    </row>
    <row r="506" spans="1:12" s="2070" customFormat="1">
      <c r="A506" s="2068"/>
      <c r="B506" s="2566"/>
      <c r="C506" s="2567"/>
      <c r="D506" s="2171"/>
      <c r="E506" s="2170"/>
      <c r="F506" s="2525"/>
      <c r="G506" s="2570"/>
      <c r="H506" s="2371"/>
      <c r="I506" s="2353"/>
      <c r="J506" s="2177"/>
      <c r="K506" s="2177"/>
      <c r="L506" s="2177"/>
    </row>
    <row r="507" spans="1:12" s="2070" customFormat="1">
      <c r="A507" s="2068"/>
      <c r="B507" s="2566"/>
      <c r="C507" s="2567"/>
      <c r="D507" s="2171"/>
      <c r="E507" s="2170"/>
      <c r="F507" s="2525"/>
      <c r="G507" s="2372"/>
      <c r="H507" s="2372"/>
      <c r="I507" s="2373"/>
      <c r="J507" s="2374"/>
      <c r="K507" s="2177"/>
      <c r="L507" s="2177"/>
    </row>
    <row r="508" spans="1:12" s="2070" customFormat="1">
      <c r="A508" s="2068"/>
      <c r="B508" s="2568"/>
      <c r="C508" s="2567"/>
      <c r="D508" s="2171"/>
      <c r="E508" s="2170"/>
      <c r="F508" s="2525"/>
      <c r="G508" s="2356"/>
      <c r="H508" s="2356"/>
      <c r="I508" s="2353"/>
      <c r="J508" s="2177"/>
      <c r="K508" s="2177"/>
      <c r="L508" s="2177"/>
    </row>
    <row r="509" spans="1:12" s="2070" customFormat="1">
      <c r="A509" s="2068"/>
      <c r="B509" s="2169"/>
      <c r="C509" s="2567"/>
      <c r="D509" s="2171"/>
      <c r="E509" s="2170"/>
      <c r="F509" s="2525"/>
      <c r="G509" s="2356"/>
      <c r="H509" s="2356"/>
      <c r="I509" s="2353"/>
      <c r="J509" s="2177"/>
      <c r="K509" s="2374"/>
      <c r="L509" s="2177"/>
    </row>
    <row r="510" spans="1:12" s="2070" customFormat="1">
      <c r="A510" s="2068"/>
      <c r="B510" s="2169"/>
      <c r="C510" s="2567"/>
      <c r="D510" s="2171"/>
      <c r="E510" s="2170"/>
      <c r="F510" s="2525"/>
      <c r="G510" s="2356"/>
      <c r="H510" s="2356"/>
      <c r="I510" s="2353"/>
      <c r="J510" s="2177"/>
      <c r="K510" s="2177"/>
      <c r="L510" s="2177"/>
    </row>
    <row r="511" spans="1:12" s="2070" customFormat="1">
      <c r="A511" s="2068"/>
      <c r="B511" s="2169"/>
      <c r="C511" s="2567"/>
      <c r="D511" s="2171"/>
      <c r="E511" s="2170"/>
      <c r="F511" s="2525"/>
      <c r="G511" s="2356"/>
      <c r="H511" s="2356"/>
      <c r="I511" s="2353"/>
      <c r="J511" s="2177"/>
      <c r="K511" s="2177"/>
      <c r="L511" s="2177"/>
    </row>
    <row r="512" spans="1:12" s="2070" customFormat="1">
      <c r="A512" s="2068"/>
      <c r="B512" s="2169"/>
      <c r="C512" s="2567"/>
      <c r="D512" s="2171"/>
      <c r="E512" s="2170"/>
      <c r="F512" s="2525"/>
      <c r="G512" s="2356"/>
      <c r="H512" s="2356"/>
      <c r="I512" s="2353"/>
      <c r="J512" s="2177"/>
      <c r="K512" s="2177"/>
    </row>
    <row r="513" spans="1:12" s="2070" customFormat="1">
      <c r="A513" s="2068"/>
      <c r="B513" s="2571"/>
      <c r="C513" s="2567"/>
      <c r="D513" s="2171"/>
      <c r="E513" s="2170"/>
      <c r="F513" s="2525"/>
      <c r="G513" s="2356"/>
      <c r="H513" s="2356"/>
      <c r="I513" s="2353"/>
      <c r="J513" s="2177"/>
      <c r="K513" s="2177"/>
      <c r="L513" s="2177"/>
    </row>
    <row r="514" spans="1:12" s="2070" customFormat="1">
      <c r="A514" s="2068"/>
      <c r="B514" s="2566"/>
      <c r="C514" s="2567"/>
      <c r="D514" s="2171"/>
      <c r="E514" s="2170"/>
      <c r="F514" s="2525"/>
      <c r="G514" s="2356"/>
      <c r="H514" s="2356"/>
      <c r="I514" s="2353"/>
      <c r="J514" s="2177"/>
      <c r="K514" s="2177"/>
    </row>
    <row r="515" spans="1:12" s="2070" customFormat="1">
      <c r="A515" s="2068"/>
      <c r="B515" s="2566"/>
      <c r="C515" s="2567"/>
      <c r="D515" s="2171"/>
      <c r="E515" s="2170"/>
      <c r="F515" s="2525"/>
      <c r="G515" s="2356"/>
      <c r="H515" s="2356"/>
      <c r="I515" s="2353"/>
      <c r="J515" s="2177"/>
      <c r="K515" s="2177"/>
    </row>
    <row r="516" spans="1:12" s="2070" customFormat="1">
      <c r="A516" s="2068"/>
      <c r="B516" s="2568"/>
      <c r="C516" s="2567"/>
      <c r="D516" s="2171"/>
      <c r="E516" s="2170"/>
      <c r="F516" s="2525"/>
      <c r="G516" s="2356"/>
      <c r="H516" s="2356"/>
      <c r="I516" s="2353"/>
      <c r="J516" s="2177"/>
      <c r="K516" s="2177"/>
    </row>
    <row r="517" spans="1:12" s="2070" customFormat="1">
      <c r="A517" s="2068"/>
      <c r="B517" s="2568"/>
      <c r="C517" s="2567"/>
      <c r="D517" s="2171"/>
      <c r="E517" s="2170"/>
      <c r="F517" s="2525"/>
      <c r="G517" s="2356"/>
      <c r="H517" s="2356"/>
      <c r="I517" s="2353"/>
      <c r="J517" s="2177"/>
      <c r="K517" s="2177"/>
    </row>
    <row r="518" spans="1:12" s="2070" customFormat="1">
      <c r="A518" s="2068"/>
      <c r="B518" s="2566"/>
      <c r="C518" s="2567"/>
      <c r="D518" s="2579"/>
      <c r="E518" s="2170"/>
      <c r="F518" s="2525"/>
      <c r="G518" s="2356"/>
      <c r="H518" s="2356"/>
      <c r="I518" s="2353"/>
      <c r="J518" s="2177"/>
      <c r="K518" s="2177"/>
    </row>
    <row r="519" spans="1:12" s="2070" customFormat="1">
      <c r="A519" s="2068"/>
      <c r="B519" s="2568"/>
      <c r="C519" s="2567"/>
      <c r="D519" s="2171"/>
      <c r="E519" s="2170"/>
      <c r="F519" s="2525"/>
      <c r="G519" s="2356"/>
      <c r="H519" s="2356"/>
      <c r="I519" s="2353"/>
      <c r="J519" s="2177"/>
      <c r="K519" s="2177"/>
    </row>
    <row r="520" spans="1:12" s="2070" customFormat="1">
      <c r="A520" s="2068"/>
      <c r="B520" s="2580"/>
      <c r="C520" s="2567"/>
      <c r="D520" s="2171"/>
      <c r="E520" s="2170"/>
      <c r="F520" s="2525"/>
      <c r="G520" s="2356"/>
      <c r="H520" s="2356"/>
      <c r="I520" s="2353"/>
      <c r="J520" s="2177"/>
      <c r="K520" s="2177"/>
    </row>
    <row r="521" spans="1:12" s="2070" customFormat="1">
      <c r="A521" s="2068"/>
      <c r="B521" s="2568"/>
      <c r="C521" s="2567"/>
      <c r="D521" s="2171"/>
      <c r="E521" s="2170"/>
      <c r="F521" s="2525"/>
      <c r="G521" s="2356"/>
      <c r="H521" s="2356"/>
      <c r="I521" s="2353"/>
      <c r="J521" s="2177"/>
      <c r="K521" s="2177"/>
    </row>
    <row r="522" spans="1:12" s="2070" customFormat="1">
      <c r="A522" s="2068"/>
      <c r="B522" s="2566"/>
      <c r="C522" s="2567"/>
      <c r="D522" s="2171"/>
      <c r="E522" s="2170"/>
      <c r="F522" s="2525"/>
      <c r="G522" s="2356"/>
      <c r="H522" s="2356"/>
      <c r="I522" s="2353"/>
      <c r="J522" s="2177"/>
      <c r="K522" s="2177"/>
    </row>
    <row r="523" spans="1:12" s="2070" customFormat="1" ht="13.5" thickBot="1">
      <c r="A523" s="2099"/>
      <c r="B523" s="2572"/>
      <c r="C523" s="2175"/>
      <c r="D523" s="2573"/>
      <c r="E523" s="2574"/>
      <c r="F523" s="2575"/>
      <c r="G523" s="2356"/>
      <c r="H523" s="2356"/>
      <c r="I523" s="2353"/>
      <c r="J523" s="2177"/>
      <c r="K523" s="2177"/>
    </row>
    <row r="524" spans="1:12" s="2070" customFormat="1" ht="13.5" thickTop="1">
      <c r="B524" s="2576"/>
      <c r="C524" s="2161"/>
      <c r="D524" s="2577"/>
      <c r="E524" s="2578"/>
      <c r="F524" s="2578"/>
      <c r="G524" s="2356"/>
      <c r="H524" s="2356"/>
      <c r="I524" s="2353"/>
      <c r="J524" s="2177"/>
    </row>
    <row r="525" spans="1:12" s="2070" customFormat="1" ht="13.5" thickBot="1">
      <c r="B525" s="2561"/>
      <c r="C525" s="2178"/>
      <c r="D525" s="2179"/>
      <c r="E525" s="2178"/>
      <c r="F525" s="2178"/>
      <c r="G525" s="2356"/>
      <c r="H525" s="2356"/>
      <c r="I525" s="2353"/>
      <c r="J525" s="2177"/>
      <c r="K525" s="2177"/>
    </row>
    <row r="526" spans="1:12" s="2070" customFormat="1" ht="13.5" thickTop="1">
      <c r="A526" s="2246"/>
      <c r="B526" s="2563"/>
      <c r="C526" s="2564"/>
      <c r="D526" s="2166"/>
      <c r="E526" s="2165"/>
      <c r="F526" s="2524"/>
      <c r="G526" s="2356"/>
      <c r="H526" s="2356"/>
      <c r="I526" s="2353"/>
      <c r="J526" s="2177"/>
    </row>
    <row r="527" spans="1:12" s="2070" customFormat="1">
      <c r="A527" s="2068"/>
      <c r="B527" s="2566"/>
      <c r="C527" s="2567"/>
      <c r="D527" s="2171"/>
      <c r="E527" s="2170"/>
      <c r="F527" s="2525"/>
      <c r="G527" s="2356"/>
      <c r="H527" s="2356"/>
      <c r="I527" s="2353"/>
      <c r="J527" s="2177"/>
    </row>
    <row r="528" spans="1:12" s="2070" customFormat="1">
      <c r="A528" s="2068"/>
      <c r="B528" s="2566"/>
      <c r="C528" s="2567"/>
      <c r="D528" s="2171"/>
      <c r="E528" s="2170"/>
      <c r="F528" s="2525"/>
      <c r="G528" s="2356"/>
      <c r="H528" s="2356"/>
      <c r="I528" s="2353"/>
      <c r="J528" s="2177"/>
    </row>
    <row r="529" spans="1:10" s="2070" customFormat="1">
      <c r="A529" s="2068"/>
      <c r="B529" s="2566"/>
      <c r="C529" s="2567"/>
      <c r="D529" s="2171"/>
      <c r="E529" s="2170"/>
      <c r="F529" s="2525"/>
      <c r="G529" s="2356"/>
      <c r="H529" s="2356"/>
      <c r="I529" s="2353"/>
      <c r="J529" s="2177"/>
    </row>
    <row r="530" spans="1:10" s="2070" customFormat="1">
      <c r="A530" s="2068"/>
      <c r="B530" s="2566"/>
      <c r="C530" s="2567"/>
      <c r="D530" s="2171"/>
      <c r="E530" s="2170"/>
      <c r="F530" s="2525"/>
      <c r="G530" s="2356"/>
      <c r="H530" s="2356"/>
      <c r="I530" s="2353"/>
      <c r="J530" s="2177"/>
    </row>
    <row r="531" spans="1:10" s="2070" customFormat="1">
      <c r="A531" s="2068"/>
      <c r="B531" s="2568"/>
      <c r="C531" s="2567"/>
      <c r="D531" s="2171"/>
      <c r="E531" s="2170"/>
      <c r="F531" s="2525"/>
      <c r="G531" s="2356"/>
      <c r="H531" s="2356"/>
      <c r="I531" s="2353"/>
      <c r="J531" s="2177"/>
    </row>
    <row r="532" spans="1:10" s="2070" customFormat="1">
      <c r="A532" s="2068"/>
      <c r="B532" s="2566"/>
      <c r="C532" s="2567"/>
      <c r="D532" s="2171"/>
      <c r="E532" s="2170"/>
      <c r="F532" s="2525"/>
      <c r="G532" s="2356"/>
      <c r="H532" s="2356"/>
      <c r="I532" s="2353"/>
      <c r="J532" s="2177"/>
    </row>
    <row r="533" spans="1:10" s="2070" customFormat="1">
      <c r="A533" s="2068"/>
      <c r="B533" s="2566"/>
      <c r="C533" s="2567"/>
      <c r="D533" s="2171"/>
      <c r="E533" s="2170"/>
      <c r="F533" s="2525"/>
      <c r="G533" s="2356"/>
      <c r="H533" s="2369"/>
      <c r="I533" s="2353"/>
      <c r="J533" s="2374"/>
    </row>
    <row r="534" spans="1:10" s="2070" customFormat="1">
      <c r="A534" s="2068"/>
      <c r="B534" s="2568"/>
      <c r="C534" s="2567"/>
      <c r="D534" s="2171"/>
      <c r="E534" s="2170"/>
      <c r="F534" s="2525"/>
      <c r="G534" s="2570"/>
      <c r="H534" s="2371"/>
      <c r="I534" s="2353"/>
      <c r="J534" s="2177"/>
    </row>
    <row r="535" spans="1:10" s="2070" customFormat="1">
      <c r="A535" s="2068"/>
      <c r="B535" s="2566"/>
      <c r="C535" s="2567"/>
      <c r="D535" s="2171"/>
      <c r="E535" s="2170"/>
      <c r="F535" s="2525"/>
      <c r="G535" s="2570"/>
      <c r="H535" s="2371"/>
      <c r="I535" s="2353"/>
      <c r="J535" s="2177"/>
    </row>
    <row r="536" spans="1:10" s="2070" customFormat="1">
      <c r="A536" s="2068"/>
      <c r="B536" s="2566"/>
      <c r="C536" s="2567"/>
      <c r="D536" s="2171"/>
      <c r="E536" s="2170"/>
      <c r="F536" s="2525"/>
      <c r="G536" s="2372"/>
      <c r="H536" s="2372"/>
      <c r="I536" s="2373"/>
      <c r="J536" s="2177"/>
    </row>
    <row r="537" spans="1:10" s="2070" customFormat="1">
      <c r="A537" s="2068"/>
      <c r="B537" s="2568"/>
      <c r="C537" s="2567"/>
      <c r="D537" s="2171"/>
      <c r="E537" s="2170"/>
      <c r="F537" s="2525"/>
      <c r="G537" s="2356"/>
      <c r="H537" s="2356"/>
      <c r="I537" s="2353"/>
      <c r="J537" s="2177"/>
    </row>
    <row r="538" spans="1:10" s="2070" customFormat="1">
      <c r="A538" s="2068"/>
      <c r="B538" s="2169"/>
      <c r="C538" s="2567"/>
      <c r="D538" s="2171"/>
      <c r="E538" s="2170"/>
      <c r="F538" s="2525"/>
      <c r="G538" s="2356"/>
      <c r="H538" s="2356"/>
      <c r="I538" s="2353"/>
      <c r="J538" s="2177"/>
    </row>
    <row r="539" spans="1:10" s="2070" customFormat="1">
      <c r="A539" s="2068"/>
      <c r="B539" s="2169"/>
      <c r="C539" s="2567"/>
      <c r="D539" s="2171"/>
      <c r="E539" s="2170"/>
      <c r="F539" s="2525"/>
      <c r="G539" s="2356"/>
      <c r="H539" s="2356"/>
      <c r="I539" s="2353"/>
      <c r="J539" s="2177"/>
    </row>
    <row r="540" spans="1:10" s="2070" customFormat="1">
      <c r="A540" s="2068"/>
      <c r="B540" s="2169"/>
      <c r="C540" s="2567"/>
      <c r="D540" s="2171"/>
      <c r="E540" s="2170"/>
      <c r="F540" s="2525"/>
      <c r="G540" s="2356"/>
      <c r="H540" s="2356"/>
      <c r="I540" s="2353"/>
      <c r="J540" s="2177"/>
    </row>
    <row r="541" spans="1:10" s="2070" customFormat="1">
      <c r="A541" s="2068"/>
      <c r="B541" s="2169"/>
      <c r="C541" s="2567"/>
      <c r="D541" s="2171"/>
      <c r="E541" s="2170"/>
      <c r="F541" s="2525"/>
      <c r="G541" s="2356"/>
      <c r="H541" s="2356"/>
      <c r="I541" s="2353"/>
      <c r="J541" s="2177"/>
    </row>
    <row r="542" spans="1:10" s="2070" customFormat="1">
      <c r="A542" s="2068"/>
      <c r="B542" s="2571"/>
      <c r="C542" s="2567"/>
      <c r="D542" s="2171"/>
      <c r="E542" s="2170"/>
      <c r="F542" s="2525"/>
      <c r="G542" s="2356"/>
      <c r="H542" s="2356"/>
      <c r="I542" s="2353"/>
      <c r="J542" s="2177"/>
    </row>
    <row r="543" spans="1:10" s="2070" customFormat="1">
      <c r="A543" s="2068"/>
      <c r="B543" s="2566"/>
      <c r="C543" s="2567"/>
      <c r="D543" s="2171"/>
      <c r="E543" s="2170"/>
      <c r="F543" s="2525"/>
      <c r="G543" s="2356"/>
      <c r="H543" s="2356"/>
      <c r="I543" s="2353"/>
      <c r="J543" s="2177"/>
    </row>
    <row r="544" spans="1:10" s="2070" customFormat="1">
      <c r="A544" s="2068"/>
      <c r="B544" s="2566"/>
      <c r="C544" s="2567"/>
      <c r="D544" s="2171"/>
      <c r="E544" s="2170"/>
      <c r="F544" s="2525"/>
      <c r="G544" s="2356"/>
      <c r="H544" s="2356"/>
      <c r="I544" s="2353"/>
      <c r="J544" s="2177"/>
    </row>
    <row r="545" spans="1:10" s="2070" customFormat="1">
      <c r="A545" s="2068"/>
      <c r="B545" s="2568"/>
      <c r="C545" s="2567"/>
      <c r="D545" s="2171"/>
      <c r="E545" s="2170"/>
      <c r="F545" s="2525"/>
      <c r="G545" s="2356"/>
      <c r="H545" s="2356"/>
      <c r="I545" s="2353"/>
      <c r="J545" s="2374"/>
    </row>
    <row r="546" spans="1:10" s="2070" customFormat="1">
      <c r="A546" s="2068"/>
      <c r="B546" s="2568"/>
      <c r="C546" s="2567"/>
      <c r="D546" s="2171"/>
      <c r="E546" s="2170"/>
      <c r="F546" s="2525"/>
      <c r="G546" s="2356"/>
      <c r="H546" s="2356"/>
      <c r="I546" s="2353"/>
      <c r="J546" s="2177"/>
    </row>
    <row r="547" spans="1:10" s="2070" customFormat="1">
      <c r="A547" s="2068"/>
      <c r="B547" s="2566"/>
      <c r="C547" s="2567"/>
      <c r="D547" s="2579"/>
      <c r="E547" s="2170"/>
      <c r="F547" s="2525"/>
      <c r="G547" s="2356"/>
      <c r="H547" s="2356"/>
      <c r="I547" s="2353"/>
      <c r="J547" s="2177"/>
    </row>
    <row r="548" spans="1:10" s="2070" customFormat="1">
      <c r="A548" s="2068"/>
      <c r="B548" s="2568"/>
      <c r="C548" s="2567"/>
      <c r="D548" s="2171"/>
      <c r="E548" s="2170"/>
      <c r="F548" s="2525"/>
      <c r="G548" s="2356"/>
      <c r="H548" s="2356"/>
      <c r="I548" s="2353"/>
      <c r="J548" s="2177"/>
    </row>
    <row r="549" spans="1:10" s="2070" customFormat="1">
      <c r="A549" s="2068"/>
      <c r="B549" s="2580"/>
      <c r="C549" s="2567"/>
      <c r="D549" s="2171"/>
      <c r="E549" s="2170"/>
      <c r="F549" s="2525"/>
      <c r="G549" s="2356"/>
      <c r="H549" s="2356"/>
      <c r="I549" s="2353"/>
      <c r="J549" s="2177"/>
    </row>
    <row r="550" spans="1:10" s="2070" customFormat="1">
      <c r="A550" s="2068"/>
      <c r="B550" s="2568"/>
      <c r="C550" s="2567"/>
      <c r="D550" s="2171"/>
      <c r="E550" s="2170"/>
      <c r="F550" s="2525"/>
      <c r="G550" s="2356"/>
      <c r="H550" s="2356"/>
      <c r="I550" s="2353"/>
      <c r="J550" s="2177"/>
    </row>
    <row r="551" spans="1:10" s="2070" customFormat="1">
      <c r="A551" s="2068"/>
      <c r="B551" s="2566"/>
      <c r="C551" s="2567"/>
      <c r="D551" s="2171"/>
      <c r="E551" s="2170"/>
      <c r="F551" s="2525"/>
      <c r="G551" s="2356"/>
      <c r="H551" s="2356"/>
      <c r="I551" s="2353"/>
      <c r="J551" s="2177"/>
    </row>
    <row r="552" spans="1:10" s="2070" customFormat="1" ht="13.5" thickBot="1">
      <c r="A552" s="2099"/>
      <c r="B552" s="2572"/>
      <c r="C552" s="2175"/>
      <c r="D552" s="2573"/>
      <c r="E552" s="2574"/>
      <c r="F552" s="2575"/>
      <c r="G552" s="2356"/>
      <c r="H552" s="2356"/>
      <c r="I552" s="2353"/>
      <c r="J552" s="2177"/>
    </row>
    <row r="553" spans="1:10" s="2070" customFormat="1" ht="13.5" thickTop="1">
      <c r="B553" s="2576"/>
      <c r="C553" s="2161"/>
      <c r="D553" s="2577"/>
      <c r="E553" s="2578"/>
      <c r="F553" s="2578"/>
      <c r="G553" s="2356"/>
      <c r="H553" s="2356"/>
      <c r="I553" s="2353"/>
      <c r="J553" s="2177"/>
    </row>
    <row r="554" spans="1:10" s="2070" customFormat="1" ht="13.5" thickBot="1">
      <c r="B554" s="2561"/>
      <c r="C554" s="2178"/>
      <c r="D554" s="2179"/>
      <c r="E554" s="2178"/>
      <c r="F554" s="2178"/>
      <c r="G554" s="2356"/>
      <c r="H554" s="2356"/>
      <c r="I554" s="2353"/>
      <c r="J554" s="2177"/>
    </row>
    <row r="555" spans="1:10" s="2070" customFormat="1" ht="13.5" thickTop="1">
      <c r="A555" s="2246"/>
      <c r="B555" s="2563"/>
      <c r="C555" s="2564"/>
      <c r="D555" s="2166"/>
      <c r="E555" s="2165"/>
      <c r="F555" s="2524"/>
      <c r="G555" s="2356"/>
      <c r="H555" s="2356"/>
      <c r="I555" s="2353"/>
      <c r="J555" s="2374"/>
    </row>
    <row r="556" spans="1:10" s="2070" customFormat="1">
      <c r="A556" s="2068"/>
      <c r="B556" s="2566"/>
      <c r="C556" s="2567"/>
      <c r="D556" s="2171"/>
      <c r="E556" s="2170"/>
      <c r="F556" s="2525"/>
      <c r="G556" s="2356"/>
      <c r="H556" s="2356"/>
      <c r="I556" s="2353"/>
      <c r="J556" s="2177"/>
    </row>
    <row r="557" spans="1:10" s="2070" customFormat="1">
      <c r="A557" s="2068"/>
      <c r="B557" s="2566"/>
      <c r="C557" s="2567"/>
      <c r="D557" s="2171"/>
      <c r="E557" s="2170"/>
      <c r="F557" s="2525"/>
      <c r="G557" s="2356"/>
      <c r="H557" s="2356"/>
      <c r="I557" s="2353"/>
      <c r="J557" s="2177"/>
    </row>
    <row r="558" spans="1:10" s="2070" customFormat="1">
      <c r="A558" s="2068"/>
      <c r="B558" s="2566"/>
      <c r="C558" s="2567"/>
      <c r="D558" s="2171"/>
      <c r="E558" s="2170"/>
      <c r="F558" s="2525"/>
      <c r="G558" s="2356"/>
      <c r="H558" s="2356"/>
      <c r="I558" s="2353"/>
      <c r="J558" s="2177"/>
    </row>
    <row r="559" spans="1:10" s="2070" customFormat="1">
      <c r="A559" s="2068"/>
      <c r="B559" s="2566"/>
      <c r="C559" s="2567"/>
      <c r="D559" s="2171"/>
      <c r="E559" s="2170"/>
      <c r="F559" s="2525"/>
      <c r="G559" s="2356"/>
      <c r="H559" s="2369"/>
      <c r="I559" s="2353"/>
      <c r="J559" s="2177"/>
    </row>
    <row r="560" spans="1:10" s="2070" customFormat="1">
      <c r="A560" s="2068"/>
      <c r="B560" s="2580"/>
      <c r="C560" s="2567"/>
      <c r="D560" s="2171"/>
      <c r="E560" s="2170"/>
      <c r="F560" s="2525"/>
      <c r="G560" s="2570"/>
      <c r="H560" s="2371"/>
      <c r="I560" s="2353"/>
      <c r="J560" s="2177"/>
    </row>
    <row r="561" spans="1:10" s="2070" customFormat="1">
      <c r="A561" s="2068"/>
      <c r="B561" s="2566"/>
      <c r="C561" s="2567"/>
      <c r="D561" s="2171"/>
      <c r="E561" s="2170"/>
      <c r="F561" s="2525"/>
      <c r="G561" s="2570"/>
      <c r="H561" s="2371"/>
      <c r="I561" s="2353"/>
      <c r="J561" s="2177"/>
    </row>
    <row r="562" spans="1:10" s="2070" customFormat="1">
      <c r="A562" s="2068"/>
      <c r="B562" s="2568"/>
      <c r="C562" s="2567"/>
      <c r="D562" s="2171"/>
      <c r="E562" s="2170"/>
      <c r="F562" s="2525"/>
      <c r="G562" s="2372"/>
      <c r="H562" s="2372"/>
      <c r="I562" s="2373"/>
      <c r="J562" s="2177"/>
    </row>
    <row r="563" spans="1:10" s="2070" customFormat="1">
      <c r="A563" s="2068"/>
      <c r="B563" s="2566"/>
      <c r="C563" s="2567"/>
      <c r="D563" s="2171"/>
      <c r="E563" s="2170"/>
      <c r="F563" s="2525"/>
      <c r="G563" s="2356"/>
      <c r="H563" s="2356"/>
      <c r="I563" s="2353"/>
      <c r="J563" s="2177"/>
    </row>
    <row r="564" spans="1:10" s="2070" customFormat="1">
      <c r="A564" s="2068"/>
      <c r="B564" s="2566"/>
      <c r="C564" s="2567"/>
      <c r="D564" s="2171"/>
      <c r="E564" s="2170"/>
      <c r="F564" s="2525"/>
      <c r="G564" s="2356"/>
      <c r="H564" s="2356"/>
      <c r="I564" s="2353"/>
      <c r="J564" s="2177"/>
    </row>
    <row r="565" spans="1:10" s="2070" customFormat="1">
      <c r="A565" s="2068"/>
      <c r="B565" s="2566"/>
      <c r="C565" s="2567"/>
      <c r="D565" s="2171"/>
      <c r="E565" s="2170"/>
      <c r="F565" s="2525"/>
      <c r="G565" s="2356"/>
      <c r="H565" s="2356"/>
      <c r="I565" s="2353"/>
      <c r="J565" s="2177"/>
    </row>
    <row r="566" spans="1:10" s="2070" customFormat="1">
      <c r="A566" s="2068"/>
      <c r="B566" s="2566"/>
      <c r="C566" s="2567"/>
      <c r="D566" s="2171"/>
      <c r="E566" s="2170"/>
      <c r="F566" s="2525"/>
      <c r="G566" s="2356"/>
      <c r="H566" s="2356"/>
      <c r="I566" s="2353"/>
      <c r="J566" s="2177"/>
    </row>
    <row r="567" spans="1:10" s="2070" customFormat="1">
      <c r="A567" s="2068"/>
      <c r="B567" s="2568"/>
      <c r="C567" s="2567"/>
      <c r="D567" s="2171"/>
      <c r="E567" s="2170"/>
      <c r="F567" s="2525"/>
      <c r="G567" s="2356"/>
      <c r="H567" s="2356"/>
      <c r="I567" s="2353"/>
      <c r="J567" s="2177"/>
    </row>
    <row r="568" spans="1:10" s="2070" customFormat="1">
      <c r="A568" s="2068"/>
      <c r="B568" s="2169"/>
      <c r="C568" s="2567"/>
      <c r="D568" s="2171"/>
      <c r="E568" s="2170"/>
      <c r="F568" s="2525"/>
      <c r="G568" s="2356"/>
      <c r="H568" s="2356"/>
      <c r="I568" s="2353"/>
      <c r="J568" s="2177"/>
    </row>
    <row r="569" spans="1:10" s="2070" customFormat="1">
      <c r="A569" s="2068"/>
      <c r="B569" s="2169"/>
      <c r="C569" s="2567"/>
      <c r="D569" s="2171"/>
      <c r="E569" s="2170"/>
      <c r="F569" s="2525"/>
      <c r="G569" s="2356"/>
      <c r="H569" s="2356"/>
      <c r="I569" s="2353"/>
      <c r="J569" s="2177"/>
    </row>
    <row r="570" spans="1:10" s="2070" customFormat="1">
      <c r="A570" s="2068"/>
      <c r="B570" s="2571"/>
      <c r="C570" s="2567"/>
      <c r="D570" s="2171"/>
      <c r="E570" s="2170"/>
      <c r="F570" s="2525"/>
      <c r="G570" s="2356"/>
      <c r="H570" s="2356"/>
      <c r="I570" s="2353"/>
    </row>
    <row r="571" spans="1:10" s="2070" customFormat="1">
      <c r="A571" s="2068"/>
      <c r="B571" s="2568"/>
      <c r="C571" s="2567"/>
      <c r="D571" s="2171"/>
      <c r="E571" s="2170"/>
      <c r="F571" s="2525"/>
      <c r="G571" s="2356"/>
      <c r="H571" s="2369"/>
      <c r="I571" s="2353"/>
      <c r="J571" s="2177"/>
    </row>
    <row r="572" spans="1:10" s="2070" customFormat="1">
      <c r="A572" s="2068"/>
      <c r="B572" s="2566"/>
      <c r="C572" s="2567"/>
      <c r="D572" s="2579"/>
      <c r="E572" s="2170"/>
      <c r="F572" s="2525"/>
      <c r="G572" s="2570"/>
      <c r="H572" s="2371"/>
      <c r="I572" s="2353"/>
    </row>
    <row r="573" spans="1:10" s="2070" customFormat="1">
      <c r="A573" s="2068"/>
      <c r="B573" s="2568"/>
      <c r="C573" s="2567"/>
      <c r="D573" s="2171"/>
      <c r="E573" s="2170"/>
      <c r="F573" s="2525"/>
      <c r="G573" s="2570"/>
      <c r="H573" s="2371"/>
      <c r="I573" s="2353"/>
    </row>
    <row r="574" spans="1:10" s="2070" customFormat="1">
      <c r="A574" s="2068"/>
      <c r="B574" s="2580"/>
      <c r="C574" s="2567"/>
      <c r="D574" s="2171"/>
      <c r="E574" s="2170"/>
      <c r="F574" s="2525"/>
      <c r="G574" s="2372"/>
      <c r="H574" s="2372"/>
      <c r="I574" s="2373"/>
    </row>
    <row r="575" spans="1:10" s="2070" customFormat="1">
      <c r="A575" s="2068"/>
      <c r="B575" s="2566"/>
      <c r="C575" s="2567"/>
      <c r="D575" s="2171"/>
      <c r="E575" s="2170"/>
      <c r="F575" s="2525"/>
      <c r="G575" s="2356"/>
      <c r="H575" s="2356"/>
      <c r="I575" s="2353"/>
    </row>
    <row r="576" spans="1:10" s="2070" customFormat="1">
      <c r="A576" s="2068"/>
      <c r="B576" s="2566"/>
      <c r="C576" s="2567"/>
      <c r="D576" s="2171"/>
      <c r="E576" s="2170"/>
      <c r="F576" s="2525"/>
      <c r="G576" s="2356"/>
      <c r="H576" s="2356"/>
      <c r="I576" s="2353"/>
    </row>
    <row r="577" spans="1:9" s="2070" customFormat="1">
      <c r="A577" s="2068"/>
      <c r="B577" s="2566"/>
      <c r="C577" s="2567"/>
      <c r="D577" s="2171"/>
      <c r="E577" s="2170"/>
      <c r="F577" s="2525"/>
      <c r="G577" s="2356"/>
      <c r="H577" s="2356"/>
      <c r="I577" s="2353"/>
    </row>
    <row r="578" spans="1:9" s="2070" customFormat="1" ht="13.5" thickBot="1">
      <c r="A578" s="2099"/>
      <c r="B578" s="2572"/>
      <c r="C578" s="2175"/>
      <c r="D578" s="2573"/>
      <c r="E578" s="2574"/>
      <c r="F578" s="2575"/>
      <c r="G578" s="2356"/>
      <c r="H578" s="2356"/>
      <c r="I578" s="2353"/>
    </row>
    <row r="579" spans="1:9" s="2070" customFormat="1" ht="13.5" thickTop="1">
      <c r="B579" s="2576"/>
      <c r="C579" s="2161"/>
      <c r="D579" s="2577"/>
      <c r="E579" s="2578"/>
      <c r="F579" s="2578"/>
      <c r="G579" s="2356"/>
      <c r="H579" s="2356"/>
      <c r="I579" s="2353"/>
    </row>
    <row r="580" spans="1:9" s="2070" customFormat="1" ht="13.5" thickBot="1">
      <c r="B580" s="2160"/>
      <c r="C580" s="2178"/>
      <c r="D580" s="2179"/>
      <c r="E580" s="2178"/>
      <c r="F580" s="2178"/>
      <c r="G580" s="2356"/>
      <c r="H580" s="2356"/>
      <c r="I580" s="2353"/>
    </row>
    <row r="581" spans="1:9" s="2070" customFormat="1" ht="13.5" thickTop="1">
      <c r="A581" s="2246"/>
      <c r="B581" s="2164"/>
      <c r="C581" s="2165"/>
      <c r="D581" s="2166"/>
      <c r="E581" s="2165"/>
      <c r="F581" s="2524"/>
      <c r="G581" s="2356"/>
      <c r="H581" s="2369"/>
      <c r="I581" s="2353"/>
    </row>
    <row r="582" spans="1:9" s="2070" customFormat="1">
      <c r="A582" s="2068"/>
      <c r="B582" s="2169"/>
      <c r="C582" s="2170"/>
      <c r="D582" s="2171"/>
      <c r="E582" s="2170"/>
      <c r="F582" s="2525"/>
      <c r="G582" s="2570"/>
      <c r="H582" s="2371"/>
      <c r="I582" s="2353"/>
    </row>
    <row r="583" spans="1:9" s="2070" customFormat="1">
      <c r="A583" s="2068"/>
      <c r="B583" s="2169"/>
      <c r="C583" s="2170"/>
      <c r="D583" s="2171"/>
      <c r="E583" s="2170"/>
      <c r="F583" s="2525"/>
      <c r="G583" s="2581"/>
      <c r="H583" s="2371"/>
      <c r="I583" s="2353"/>
    </row>
    <row r="584" spans="1:9" s="2070" customFormat="1">
      <c r="A584" s="2068"/>
      <c r="B584" s="2169"/>
      <c r="C584" s="2170"/>
      <c r="D584" s="2171"/>
      <c r="E584" s="2170"/>
      <c r="F584" s="2525"/>
      <c r="G584" s="2372"/>
      <c r="H584" s="2372"/>
      <c r="I584" s="2373"/>
    </row>
    <row r="585" spans="1:9" s="2070" customFormat="1">
      <c r="A585" s="2068"/>
      <c r="B585" s="2169"/>
      <c r="C585" s="2170"/>
      <c r="D585" s="2171"/>
      <c r="E585" s="2170"/>
      <c r="F585" s="2525"/>
      <c r="G585" s="2356"/>
      <c r="H585" s="2356"/>
      <c r="I585" s="2353"/>
    </row>
    <row r="586" spans="1:9" s="2070" customFormat="1">
      <c r="A586" s="2068"/>
      <c r="B586" s="2169"/>
      <c r="C586" s="2170"/>
      <c r="D586" s="2171"/>
      <c r="E586" s="2170"/>
      <c r="F586" s="2525"/>
      <c r="G586" s="2356"/>
      <c r="H586" s="2356"/>
      <c r="I586" s="2353"/>
    </row>
    <row r="587" spans="1:9" s="2070" customFormat="1">
      <c r="A587" s="2068"/>
      <c r="B587" s="2169"/>
      <c r="C587" s="2170"/>
      <c r="D587" s="2171"/>
      <c r="E587" s="2170"/>
      <c r="F587" s="2525"/>
      <c r="G587" s="2356"/>
      <c r="H587" s="2356"/>
      <c r="I587" s="2353"/>
    </row>
    <row r="588" spans="1:9" s="2070" customFormat="1">
      <c r="A588" s="2068"/>
      <c r="B588" s="2169"/>
      <c r="C588" s="2170"/>
      <c r="D588" s="2171"/>
      <c r="E588" s="2170"/>
      <c r="F588" s="2525"/>
      <c r="G588" s="2356"/>
      <c r="H588" s="2356"/>
      <c r="I588" s="2353"/>
    </row>
    <row r="589" spans="1:9" s="2070" customFormat="1">
      <c r="A589" s="2068"/>
      <c r="B589" s="2169"/>
      <c r="C589" s="2170"/>
      <c r="D589" s="2171"/>
      <c r="E589" s="2170"/>
      <c r="F589" s="2525"/>
      <c r="G589" s="2356"/>
      <c r="H589" s="2356"/>
      <c r="I589" s="2353"/>
    </row>
    <row r="590" spans="1:9" s="2070" customFormat="1" ht="13.5" thickBot="1">
      <c r="A590" s="2099"/>
      <c r="B590" s="2174"/>
      <c r="C590" s="2175"/>
      <c r="D590" s="2176"/>
      <c r="E590" s="2574"/>
      <c r="F590" s="2575"/>
      <c r="G590" s="2356"/>
      <c r="H590" s="2356"/>
      <c r="I590" s="2353"/>
    </row>
    <row r="591" spans="1:9" s="2070" customFormat="1" ht="13.5" thickTop="1">
      <c r="B591" s="2177"/>
      <c r="C591" s="2161"/>
      <c r="D591" s="2162"/>
      <c r="E591" s="2578"/>
      <c r="F591" s="2578"/>
      <c r="G591" s="2356"/>
      <c r="H591" s="2356"/>
      <c r="I591" s="2353"/>
    </row>
    <row r="592" spans="1:9" s="2070" customFormat="1" ht="13.5" thickBot="1">
      <c r="B592" s="2160"/>
      <c r="C592" s="2178"/>
      <c r="D592" s="2179"/>
      <c r="E592" s="2178"/>
      <c r="F592" s="2178"/>
      <c r="G592" s="2356"/>
      <c r="H592" s="2356"/>
      <c r="I592" s="2353"/>
    </row>
    <row r="593" spans="1:11" s="2070" customFormat="1" ht="13.5" thickTop="1">
      <c r="A593" s="2246"/>
      <c r="B593" s="2164"/>
      <c r="C593" s="2165"/>
      <c r="D593" s="2166"/>
      <c r="E593" s="2165"/>
      <c r="F593" s="2524"/>
      <c r="G593" s="2356"/>
      <c r="H593" s="2356"/>
      <c r="I593" s="2353"/>
    </row>
    <row r="594" spans="1:11" s="2070" customFormat="1">
      <c r="A594" s="2068"/>
      <c r="B594" s="2169"/>
      <c r="C594" s="2170"/>
      <c r="D594" s="2171"/>
      <c r="E594" s="2170"/>
      <c r="F594" s="2525"/>
      <c r="G594" s="2356"/>
      <c r="H594" s="2356"/>
      <c r="I594" s="2353"/>
    </row>
    <row r="595" spans="1:11" s="2070" customFormat="1">
      <c r="A595" s="2068"/>
      <c r="B595" s="2169"/>
      <c r="C595" s="2170"/>
      <c r="D595" s="2171"/>
      <c r="E595" s="2170"/>
      <c r="F595" s="2525"/>
      <c r="G595" s="2356"/>
      <c r="H595" s="2356"/>
      <c r="I595" s="2353"/>
    </row>
    <row r="596" spans="1:11" s="2070" customFormat="1">
      <c r="A596" s="2068"/>
      <c r="B596" s="2169"/>
      <c r="C596" s="2170"/>
      <c r="D596" s="2171"/>
      <c r="E596" s="2170"/>
      <c r="F596" s="2525"/>
      <c r="G596" s="2356"/>
      <c r="H596" s="2356"/>
      <c r="I596" s="2353"/>
    </row>
    <row r="597" spans="1:11" s="2070" customFormat="1">
      <c r="A597" s="2068"/>
      <c r="B597" s="2169"/>
      <c r="C597" s="2170"/>
      <c r="D597" s="2171"/>
      <c r="E597" s="2170"/>
      <c r="F597" s="2525"/>
      <c r="G597" s="2356"/>
      <c r="H597" s="2369"/>
      <c r="I597" s="2353"/>
    </row>
    <row r="598" spans="1:11" s="2070" customFormat="1">
      <c r="A598" s="2068"/>
      <c r="B598" s="2169"/>
      <c r="C598" s="2170"/>
      <c r="D598" s="2171"/>
      <c r="E598" s="2170"/>
      <c r="F598" s="2525"/>
      <c r="G598" s="2570"/>
      <c r="H598" s="2371"/>
      <c r="I598" s="2353"/>
      <c r="J598" s="2354"/>
    </row>
    <row r="599" spans="1:11" s="2070" customFormat="1">
      <c r="A599" s="2068"/>
      <c r="B599" s="2169"/>
      <c r="C599" s="2170"/>
      <c r="D599" s="2171"/>
      <c r="E599" s="2170"/>
      <c r="F599" s="2525"/>
      <c r="G599" s="2225"/>
      <c r="H599" s="2225"/>
      <c r="I599" s="2354"/>
    </row>
    <row r="600" spans="1:11" s="2352" customFormat="1" ht="13.5" thickBot="1">
      <c r="A600" s="2099"/>
      <c r="B600" s="2174"/>
      <c r="C600" s="2188"/>
      <c r="D600" s="2573"/>
      <c r="E600" s="2574"/>
      <c r="F600" s="2575"/>
      <c r="G600" s="2244"/>
      <c r="H600" s="2244"/>
      <c r="I600" s="2357"/>
    </row>
    <row r="601" spans="1:11" s="2352" customFormat="1" ht="13.5" thickTop="1">
      <c r="A601" s="2070"/>
      <c r="B601" s="2177"/>
      <c r="C601" s="2187"/>
      <c r="D601" s="2577"/>
      <c r="E601" s="2578"/>
      <c r="F601" s="2187"/>
      <c r="G601" s="2244"/>
      <c r="H601" s="2244"/>
      <c r="I601" s="2357"/>
    </row>
    <row r="602" spans="1:11" s="2352" customFormat="1" ht="13.5" thickBot="1">
      <c r="A602" s="2070"/>
      <c r="B602" s="2160"/>
      <c r="C602" s="2178"/>
      <c r="D602" s="2179"/>
      <c r="E602" s="2178"/>
      <c r="F602" s="2178"/>
      <c r="G602" s="2244"/>
      <c r="H602" s="2244"/>
      <c r="I602" s="2357"/>
    </row>
    <row r="603" spans="1:11" s="2352" customFormat="1" ht="14.25" thickTop="1" thickBot="1">
      <c r="A603" s="2246"/>
      <c r="B603" s="2164"/>
      <c r="C603" s="2165"/>
      <c r="D603" s="2166"/>
      <c r="E603" s="2165"/>
      <c r="F603" s="2524"/>
      <c r="G603" s="2582"/>
      <c r="H603" s="2583"/>
      <c r="I603" s="2472"/>
      <c r="J603" s="2472"/>
      <c r="K603" s="2472"/>
    </row>
    <row r="604" spans="1:11" s="2352" customFormat="1" ht="14.25" thickTop="1" thickBot="1">
      <c r="A604" s="2068"/>
      <c r="B604" s="2169"/>
      <c r="C604" s="2170"/>
      <c r="D604" s="2171"/>
      <c r="E604" s="2170"/>
      <c r="F604" s="2525"/>
      <c r="G604" s="2584"/>
      <c r="H604" s="2585"/>
      <c r="I604" s="2586"/>
      <c r="J604" s="2587"/>
      <c r="K604" s="2588"/>
    </row>
    <row r="605" spans="1:11" s="2352" customFormat="1" ht="14.25" thickTop="1" thickBot="1">
      <c r="A605" s="2068"/>
      <c r="B605" s="2169"/>
      <c r="C605" s="2170"/>
      <c r="D605" s="2171"/>
      <c r="E605" s="2170"/>
      <c r="F605" s="2525"/>
      <c r="G605" s="2483"/>
      <c r="H605" s="2589"/>
      <c r="I605" s="2590"/>
      <c r="J605" s="2591"/>
      <c r="K605" s="2588"/>
    </row>
    <row r="606" spans="1:11" s="2352" customFormat="1" ht="14.25" thickTop="1" thickBot="1">
      <c r="A606" s="2068"/>
      <c r="B606" s="2169"/>
      <c r="C606" s="2170"/>
      <c r="D606" s="2171"/>
      <c r="E606" s="2170"/>
      <c r="F606" s="2525"/>
      <c r="G606" s="2483"/>
      <c r="H606" s="2589"/>
      <c r="I606" s="2590"/>
      <c r="J606" s="2591"/>
      <c r="K606" s="2588"/>
    </row>
    <row r="607" spans="1:11" s="2352" customFormat="1" ht="14.25" thickTop="1" thickBot="1">
      <c r="A607" s="2068"/>
      <c r="B607" s="2169"/>
      <c r="C607" s="2170"/>
      <c r="D607" s="2171"/>
      <c r="E607" s="2170"/>
      <c r="F607" s="2525"/>
      <c r="G607" s="2483"/>
      <c r="H607" s="2589"/>
      <c r="I607" s="2590"/>
      <c r="J607" s="2591"/>
      <c r="K607" s="2588"/>
    </row>
    <row r="608" spans="1:11" s="2352" customFormat="1" ht="14.25" thickTop="1" thickBot="1">
      <c r="A608" s="2068"/>
      <c r="B608" s="2169"/>
      <c r="C608" s="2170"/>
      <c r="D608" s="2171"/>
      <c r="E608" s="2170"/>
      <c r="F608" s="2525"/>
      <c r="G608" s="2483"/>
      <c r="H608" s="2589"/>
      <c r="I608" s="2590"/>
      <c r="J608" s="2431"/>
      <c r="K608" s="2588"/>
    </row>
    <row r="609" spans="1:12" s="2352" customFormat="1" ht="14.25" thickTop="1" thickBot="1">
      <c r="A609" s="2068"/>
      <c r="B609" s="2169"/>
      <c r="C609" s="2170"/>
      <c r="D609" s="2171"/>
      <c r="E609" s="2172"/>
      <c r="F609" s="2525"/>
      <c r="G609" s="2483"/>
      <c r="H609" s="2589"/>
      <c r="I609" s="2590"/>
      <c r="J609" s="2431"/>
      <c r="K609" s="2588"/>
    </row>
    <row r="610" spans="1:12" s="2352" customFormat="1" ht="14.25" thickTop="1" thickBot="1">
      <c r="A610" s="2068"/>
      <c r="B610" s="2169"/>
      <c r="C610" s="2170"/>
      <c r="D610" s="2171"/>
      <c r="E610" s="2172"/>
      <c r="F610" s="2525"/>
      <c r="G610" s="2483"/>
      <c r="H610" s="2589"/>
      <c r="I610" s="2590"/>
      <c r="J610" s="2431"/>
      <c r="K610" s="2588"/>
    </row>
    <row r="611" spans="1:12" s="2352" customFormat="1" ht="13.5" thickTop="1">
      <c r="A611" s="2068"/>
      <c r="B611" s="2169"/>
      <c r="C611" s="2170"/>
      <c r="D611" s="2171"/>
      <c r="E611" s="2172"/>
      <c r="F611" s="2525"/>
      <c r="G611" s="2483"/>
      <c r="H611" s="2589"/>
      <c r="I611" s="2590"/>
      <c r="J611" s="2431"/>
      <c r="K611" s="2588"/>
    </row>
    <row r="612" spans="1:12" s="2352" customFormat="1" ht="13.5" thickBot="1">
      <c r="A612" s="2068"/>
      <c r="B612" s="2169"/>
      <c r="C612" s="2170"/>
      <c r="D612" s="2171"/>
      <c r="E612" s="2172"/>
      <c r="F612" s="2525"/>
      <c r="G612" s="2489"/>
      <c r="H612" s="2592"/>
      <c r="I612" s="2593"/>
      <c r="J612" s="2594"/>
      <c r="K612" s="2492"/>
    </row>
    <row r="613" spans="1:12" s="2352" customFormat="1" ht="13.5" thickTop="1">
      <c r="A613" s="2068"/>
      <c r="B613" s="2571"/>
      <c r="C613" s="2170"/>
      <c r="D613" s="2171"/>
      <c r="E613" s="2172"/>
      <c r="F613" s="2525"/>
      <c r="G613" s="8"/>
      <c r="H613" s="8"/>
      <c r="I613" s="8"/>
      <c r="J613" s="8"/>
      <c r="K613" s="8"/>
    </row>
    <row r="614" spans="1:12" s="2352" customFormat="1">
      <c r="A614" s="2068"/>
      <c r="B614" s="2571"/>
      <c r="C614" s="2170"/>
      <c r="D614" s="2171"/>
      <c r="E614" s="2172"/>
      <c r="F614" s="2525"/>
      <c r="G614" s="2244"/>
      <c r="H614" s="2244"/>
      <c r="I614" s="2357"/>
    </row>
    <row r="615" spans="1:12" s="2352" customFormat="1">
      <c r="A615" s="2068"/>
      <c r="B615" s="2169"/>
      <c r="C615" s="2170"/>
      <c r="D615" s="2171"/>
      <c r="E615" s="2170"/>
      <c r="F615" s="2525"/>
      <c r="G615" s="2244"/>
      <c r="H615" s="2244"/>
      <c r="I615" s="2357"/>
    </row>
    <row r="616" spans="1:12" s="2070" customFormat="1" ht="13.5" thickBot="1">
      <c r="A616" s="2099"/>
      <c r="B616" s="2595"/>
      <c r="C616" s="2596"/>
      <c r="D616" s="2597"/>
      <c r="E616" s="2598"/>
      <c r="F616" s="2599"/>
      <c r="G616" s="2225"/>
      <c r="H616" s="2225"/>
      <c r="I616" s="2354"/>
    </row>
    <row r="617" spans="1:12" s="2352" customFormat="1" ht="13.5" thickTop="1">
      <c r="A617" s="2070"/>
      <c r="B617" s="4923"/>
      <c r="C617" s="4924"/>
      <c r="D617" s="4924"/>
      <c r="E617" s="4924"/>
      <c r="F617" s="4924"/>
      <c r="G617" s="2225"/>
      <c r="H617" s="2225"/>
      <c r="I617" s="2354"/>
      <c r="J617" s="2070"/>
      <c r="K617" s="2070"/>
      <c r="L617" s="2070"/>
    </row>
    <row r="618" spans="1:12" s="2352" customFormat="1">
      <c r="A618" s="2070"/>
      <c r="B618" s="2600"/>
      <c r="C618" s="2072"/>
      <c r="D618" s="2094"/>
      <c r="E618" s="2093"/>
      <c r="F618" s="2093"/>
      <c r="G618" s="2225"/>
      <c r="H618" s="2225"/>
      <c r="I618" s="2354"/>
      <c r="J618" s="2070"/>
      <c r="K618" s="2070"/>
      <c r="L618" s="2070"/>
    </row>
    <row r="619" spans="1:12" s="2352" customFormat="1">
      <c r="A619" s="2070"/>
      <c r="B619" s="2600"/>
      <c r="C619" s="2472"/>
      <c r="D619" s="2472"/>
      <c r="E619" s="2472"/>
      <c r="F619" s="2472"/>
      <c r="G619" s="2225"/>
      <c r="H619" s="2225"/>
      <c r="I619" s="2354"/>
      <c r="J619" s="2070"/>
      <c r="K619" s="2070"/>
      <c r="L619" s="2070"/>
    </row>
    <row r="620" spans="1:12" s="2352" customFormat="1" ht="13.5" thickBot="1">
      <c r="A620" s="2070"/>
      <c r="B620" s="2505"/>
      <c r="C620" s="2472"/>
      <c r="D620" s="2472"/>
      <c r="E620" s="2472"/>
      <c r="F620" s="2472"/>
      <c r="G620" s="2225"/>
      <c r="H620" s="2225"/>
      <c r="I620" s="2354"/>
      <c r="J620" s="2070"/>
      <c r="K620" s="2070"/>
      <c r="L620" s="2070"/>
    </row>
    <row r="621" spans="1:12" s="2352" customFormat="1" ht="13.5" thickTop="1">
      <c r="A621" s="2070"/>
      <c r="B621" s="2478"/>
      <c r="C621" s="2601"/>
      <c r="D621" s="2602"/>
      <c r="E621" s="2603"/>
      <c r="F621" s="2604"/>
      <c r="G621" s="2225"/>
      <c r="H621" s="2225"/>
      <c r="I621" s="2354"/>
      <c r="J621" s="2070"/>
      <c r="K621" s="2070"/>
      <c r="L621" s="2070"/>
    </row>
    <row r="622" spans="1:12" s="2352" customFormat="1">
      <c r="A622" s="2070"/>
      <c r="B622" s="2483"/>
      <c r="C622" s="2605"/>
      <c r="D622" s="2415"/>
      <c r="E622" s="2606"/>
      <c r="F622" s="2607"/>
      <c r="G622" s="2225"/>
      <c r="H622" s="2225"/>
      <c r="I622" s="2354"/>
      <c r="J622" s="2070"/>
      <c r="K622" s="2070"/>
      <c r="L622" s="2070"/>
    </row>
    <row r="623" spans="1:12" s="2352" customFormat="1" ht="13.5" thickBot="1">
      <c r="A623" s="2070"/>
      <c r="B623" s="2489"/>
      <c r="C623" s="2608"/>
      <c r="D623" s="2608"/>
      <c r="E623" s="2609"/>
      <c r="F623" s="2610"/>
      <c r="G623" s="2225"/>
      <c r="H623" s="2225"/>
      <c r="I623" s="2354"/>
      <c r="J623" s="2070"/>
      <c r="K623" s="2070"/>
      <c r="L623" s="2070"/>
    </row>
    <row r="624" spans="1:12" s="2352" customFormat="1" ht="13.5" thickTop="1">
      <c r="A624" s="2070"/>
      <c r="B624" s="2600"/>
      <c r="C624" s="2472"/>
      <c r="D624" s="2472"/>
      <c r="E624" s="2472"/>
      <c r="F624" s="2472"/>
      <c r="G624" s="2225"/>
      <c r="H624" s="2225"/>
      <c r="I624" s="2354"/>
      <c r="J624" s="2070"/>
      <c r="K624" s="2070"/>
      <c r="L624" s="2070"/>
    </row>
    <row r="625" spans="1:12" s="2352" customFormat="1" ht="13.5" thickBot="1">
      <c r="A625" s="2070"/>
      <c r="B625" s="2505"/>
      <c r="C625" s="2472"/>
      <c r="D625" s="2472"/>
      <c r="E625" s="2472"/>
      <c r="F625" s="2472"/>
      <c r="G625" s="2225"/>
      <c r="H625" s="2225"/>
      <c r="I625" s="2354"/>
      <c r="J625" s="2070"/>
      <c r="K625" s="2070"/>
      <c r="L625" s="2070"/>
    </row>
    <row r="626" spans="1:12" s="2352" customFormat="1" ht="13.5" thickTop="1">
      <c r="A626" s="2070"/>
      <c r="B626" s="2478"/>
      <c r="C626" s="2601"/>
      <c r="D626" s="2602"/>
      <c r="E626" s="2603"/>
      <c r="F626" s="2604"/>
      <c r="G626" s="2225"/>
      <c r="H626" s="2225"/>
      <c r="I626" s="2354"/>
      <c r="J626" s="2070"/>
      <c r="K626" s="2070"/>
      <c r="L626" s="2070"/>
    </row>
    <row r="627" spans="1:12" s="2352" customFormat="1">
      <c r="A627" s="2070"/>
      <c r="B627" s="2483"/>
      <c r="C627" s="2605"/>
      <c r="D627" s="2415"/>
      <c r="E627" s="2606"/>
      <c r="F627" s="2607"/>
      <c r="G627" s="2225"/>
      <c r="H627" s="2225"/>
      <c r="I627" s="2354"/>
      <c r="J627" s="2070"/>
      <c r="K627" s="2070"/>
      <c r="L627" s="2070"/>
    </row>
    <row r="628" spans="1:12" s="2352" customFormat="1" ht="13.5" thickBot="1">
      <c r="A628" s="2070"/>
      <c r="B628" s="2489"/>
      <c r="C628" s="2608"/>
      <c r="D628" s="2608"/>
      <c r="E628" s="2609"/>
      <c r="F628" s="2610"/>
      <c r="G628" s="2225"/>
      <c r="H628" s="2225"/>
      <c r="I628" s="2354"/>
      <c r="J628" s="2070"/>
      <c r="K628" s="2070"/>
      <c r="L628" s="2070"/>
    </row>
    <row r="629" spans="1:12" s="2352" customFormat="1" ht="13.5" thickTop="1">
      <c r="A629" s="2070"/>
      <c r="B629" s="2600"/>
      <c r="C629" s="2472"/>
      <c r="D629" s="2472"/>
      <c r="E629" s="2472"/>
      <c r="F629" s="2472"/>
      <c r="G629" s="2225"/>
      <c r="H629" s="2225"/>
      <c r="I629" s="2354"/>
      <c r="J629" s="2070"/>
      <c r="K629" s="2070"/>
      <c r="L629" s="2070"/>
    </row>
    <row r="630" spans="1:12" s="2352" customFormat="1" ht="13.5" thickBot="1">
      <c r="A630" s="2070"/>
      <c r="B630" s="2505"/>
      <c r="C630" s="2472"/>
      <c r="D630" s="2472"/>
      <c r="E630" s="2472"/>
      <c r="F630" s="2472"/>
      <c r="G630" s="2225"/>
      <c r="H630" s="2225"/>
      <c r="I630" s="2354"/>
      <c r="J630" s="2070"/>
      <c r="K630" s="2070"/>
      <c r="L630" s="2070"/>
    </row>
    <row r="631" spans="1:12" s="2352" customFormat="1" ht="13.5" thickTop="1">
      <c r="A631" s="2070"/>
      <c r="B631" s="2478"/>
      <c r="C631" s="2601"/>
      <c r="D631" s="2602"/>
      <c r="E631" s="2603"/>
      <c r="F631" s="2604"/>
      <c r="G631" s="2225"/>
      <c r="H631" s="2225"/>
      <c r="I631" s="2354"/>
      <c r="J631" s="2070"/>
      <c r="K631" s="2070"/>
      <c r="L631" s="2070"/>
    </row>
    <row r="632" spans="1:12" s="2352" customFormat="1">
      <c r="A632" s="2070"/>
      <c r="B632" s="2483"/>
      <c r="C632" s="2605"/>
      <c r="D632" s="2415"/>
      <c r="E632" s="2606"/>
      <c r="F632" s="2607"/>
      <c r="G632" s="2225"/>
      <c r="H632" s="2225"/>
      <c r="I632" s="2354"/>
      <c r="J632" s="2070"/>
      <c r="K632" s="2070"/>
      <c r="L632" s="2070"/>
    </row>
    <row r="633" spans="1:12" s="2352" customFormat="1">
      <c r="A633" s="2070"/>
      <c r="B633" s="2483"/>
      <c r="C633" s="2611"/>
      <c r="D633" s="2415"/>
      <c r="E633" s="2606"/>
      <c r="F633" s="2607"/>
      <c r="G633" s="2225"/>
      <c r="H633" s="2225"/>
      <c r="I633" s="2354"/>
      <c r="J633" s="2070"/>
      <c r="K633" s="2070"/>
      <c r="L633" s="2070"/>
    </row>
    <row r="634" spans="1:12" s="2352" customFormat="1" ht="13.5" thickBot="1">
      <c r="A634" s="2070"/>
      <c r="B634" s="2489"/>
      <c r="C634" s="2608"/>
      <c r="D634" s="2608"/>
      <c r="E634" s="2609"/>
      <c r="F634" s="2610"/>
      <c r="G634" s="2225"/>
      <c r="H634" s="2225"/>
      <c r="I634" s="2354"/>
      <c r="J634" s="2070"/>
      <c r="K634" s="2070"/>
      <c r="L634" s="2070"/>
    </row>
    <row r="635" spans="1:12" s="2352" customFormat="1" ht="14.25" thickTop="1" thickBot="1">
      <c r="A635" s="2070"/>
      <c r="B635" s="2505"/>
      <c r="C635" s="2472"/>
      <c r="D635" s="2472"/>
      <c r="E635" s="2472"/>
      <c r="F635" s="2472"/>
      <c r="G635" s="2225"/>
      <c r="H635" s="2225"/>
      <c r="I635" s="2354"/>
      <c r="J635" s="2070"/>
      <c r="K635" s="2070"/>
      <c r="L635" s="2070"/>
    </row>
    <row r="636" spans="1:12" s="2352" customFormat="1" ht="13.5" thickTop="1">
      <c r="A636" s="2070"/>
      <c r="B636" s="2478"/>
      <c r="C636" s="2601"/>
      <c r="D636" s="2602"/>
      <c r="E636" s="2603"/>
      <c r="F636" s="2604"/>
      <c r="G636" s="2225"/>
      <c r="H636" s="2225"/>
      <c r="I636" s="2354"/>
      <c r="J636" s="2070"/>
      <c r="K636" s="2070"/>
      <c r="L636" s="2070"/>
    </row>
    <row r="637" spans="1:12" s="2352" customFormat="1">
      <c r="A637" s="2070"/>
      <c r="B637" s="2483"/>
      <c r="C637" s="2605"/>
      <c r="D637" s="2415"/>
      <c r="E637" s="2606"/>
      <c r="F637" s="2607"/>
      <c r="G637" s="2225"/>
      <c r="H637" s="2225"/>
      <c r="I637" s="2354"/>
      <c r="J637" s="2070"/>
      <c r="K637" s="2070"/>
      <c r="L637" s="2070"/>
    </row>
    <row r="638" spans="1:12" s="2352" customFormat="1">
      <c r="A638" s="2070"/>
      <c r="B638" s="2483"/>
      <c r="C638" s="2611"/>
      <c r="D638" s="2415"/>
      <c r="E638" s="2606"/>
      <c r="F638" s="2607"/>
      <c r="G638" s="2225"/>
      <c r="H638" s="2225"/>
      <c r="I638" s="2354"/>
      <c r="J638" s="2070"/>
      <c r="K638" s="2070"/>
      <c r="L638" s="2070"/>
    </row>
    <row r="639" spans="1:12" s="2352" customFormat="1" ht="13.5" thickBot="1">
      <c r="A639" s="2070"/>
      <c r="B639" s="2489"/>
      <c r="C639" s="2608"/>
      <c r="D639" s="2608"/>
      <c r="E639" s="2609"/>
      <c r="F639" s="2610"/>
      <c r="G639" s="2225"/>
      <c r="H639" s="2225"/>
      <c r="I639" s="2354"/>
      <c r="J639" s="2070"/>
      <c r="K639" s="2070"/>
      <c r="L639" s="2070"/>
    </row>
    <row r="640" spans="1:12" s="2352" customFormat="1" ht="13.5" thickTop="1">
      <c r="A640" s="2070"/>
      <c r="B640" s="2600"/>
      <c r="C640" s="2472"/>
      <c r="D640" s="2472"/>
      <c r="E640" s="2472"/>
      <c r="F640" s="2472"/>
      <c r="G640" s="2225"/>
      <c r="H640" s="2225"/>
      <c r="I640" s="2354"/>
      <c r="J640" s="2070"/>
      <c r="K640" s="2070"/>
      <c r="L640" s="2070"/>
    </row>
    <row r="641" spans="1:12" s="2352" customFormat="1">
      <c r="A641" s="2070"/>
      <c r="B641" s="2070"/>
      <c r="C641" s="2093"/>
      <c r="D641" s="2094"/>
      <c r="E641" s="2093"/>
      <c r="F641" s="2093"/>
      <c r="G641" s="2225"/>
      <c r="H641" s="2225"/>
      <c r="I641" s="2354"/>
      <c r="J641" s="2070"/>
      <c r="K641" s="2070"/>
      <c r="L641" s="2070"/>
    </row>
    <row r="642" spans="1:12" s="2352" customFormat="1">
      <c r="A642" s="2070"/>
      <c r="B642" s="2031"/>
      <c r="C642" s="8"/>
      <c r="D642" s="8"/>
      <c r="E642" s="8"/>
      <c r="F642" s="8"/>
      <c r="G642" s="2225"/>
      <c r="H642" s="2225"/>
      <c r="I642" s="2354"/>
      <c r="J642" s="2070"/>
      <c r="K642" s="2070"/>
      <c r="L642" s="2070"/>
    </row>
    <row r="643" spans="1:12" s="2352" customFormat="1">
      <c r="A643" s="2070"/>
      <c r="B643" s="8"/>
      <c r="C643" s="8"/>
      <c r="D643" s="8"/>
      <c r="E643" s="8"/>
      <c r="F643" s="8"/>
      <c r="G643" s="2225"/>
      <c r="H643" s="2225"/>
      <c r="I643" s="2354"/>
      <c r="J643" s="2070"/>
      <c r="K643" s="2070"/>
      <c r="L643" s="2070"/>
    </row>
    <row r="644" spans="1:12" s="2352" customFormat="1">
      <c r="A644" s="2070"/>
      <c r="B644" s="1267"/>
      <c r="C644" s="8"/>
      <c r="D644" s="8"/>
      <c r="E644" s="8"/>
      <c r="F644" s="8"/>
      <c r="G644" s="2225"/>
      <c r="H644" s="2225"/>
      <c r="I644" s="2354"/>
      <c r="J644" s="2070"/>
      <c r="K644" s="2070"/>
      <c r="L644" s="2070"/>
    </row>
    <row r="645" spans="1:12" s="2352" customFormat="1" ht="13.5" thickBot="1">
      <c r="A645" s="2070"/>
      <c r="B645" s="1267"/>
      <c r="C645" s="2385"/>
      <c r="D645" s="1413"/>
      <c r="E645" s="8"/>
      <c r="F645" s="2385"/>
      <c r="G645" s="2225"/>
      <c r="H645" s="2225"/>
      <c r="I645" s="2354"/>
      <c r="J645" s="2070"/>
      <c r="K645" s="2070"/>
      <c r="L645" s="2070"/>
    </row>
    <row r="646" spans="1:12" s="2352" customFormat="1" ht="13.5" thickBot="1">
      <c r="A646" s="2070"/>
      <c r="B646" s="2386"/>
      <c r="C646" s="2387"/>
      <c r="D646" s="2388"/>
      <c r="E646" s="2388"/>
      <c r="F646" s="2389"/>
      <c r="G646" s="2225"/>
      <c r="H646" s="2225"/>
      <c r="I646" s="2354"/>
      <c r="J646" s="2070"/>
      <c r="K646" s="2070"/>
    </row>
    <row r="647" spans="1:12" s="2352" customFormat="1" ht="13.5" thickTop="1">
      <c r="A647" s="2070"/>
      <c r="B647" s="2390"/>
      <c r="C647" s="2391"/>
      <c r="D647" s="2392"/>
      <c r="E647" s="2393"/>
      <c r="F647" s="2394"/>
      <c r="G647" s="2225"/>
      <c r="H647" s="2225"/>
      <c r="I647" s="2354"/>
      <c r="J647" s="2070"/>
      <c r="K647" s="2070"/>
    </row>
    <row r="648" spans="1:12" s="2352" customFormat="1">
      <c r="A648" s="2070"/>
      <c r="B648" s="2395"/>
      <c r="C648" s="2391"/>
      <c r="D648" s="2392"/>
      <c r="E648" s="2393"/>
      <c r="F648" s="2394"/>
      <c r="G648" s="2225"/>
      <c r="H648" s="2225"/>
      <c r="I648" s="2354"/>
      <c r="J648" s="2070"/>
      <c r="K648" s="2070"/>
    </row>
    <row r="649" spans="1:12" s="2352" customFormat="1">
      <c r="A649" s="2070"/>
      <c r="B649" s="2396"/>
      <c r="C649" s="2397"/>
      <c r="D649" s="2398"/>
      <c r="E649" s="2399"/>
      <c r="F649" s="2400"/>
      <c r="G649" s="2225"/>
      <c r="H649" s="2225"/>
      <c r="I649" s="2354"/>
      <c r="J649" s="2070"/>
      <c r="K649" s="2070"/>
    </row>
    <row r="650" spans="1:12" s="2352" customFormat="1">
      <c r="A650" s="2070"/>
      <c r="B650" s="2396"/>
      <c r="C650" s="2397"/>
      <c r="D650" s="2398"/>
      <c r="E650" s="2399"/>
      <c r="F650" s="2400"/>
      <c r="G650" s="2225"/>
      <c r="H650" s="2225"/>
      <c r="I650" s="2354"/>
      <c r="J650" s="2070"/>
      <c r="K650" s="2070"/>
    </row>
    <row r="651" spans="1:12" s="2352" customFormat="1">
      <c r="A651" s="2070"/>
      <c r="B651" s="2396"/>
      <c r="C651" s="2397"/>
      <c r="D651" s="2398"/>
      <c r="E651" s="2399"/>
      <c r="F651" s="2400"/>
      <c r="G651" s="2225"/>
      <c r="H651" s="2225"/>
      <c r="I651" s="2354"/>
      <c r="J651" s="2070"/>
      <c r="K651" s="2070"/>
    </row>
    <row r="652" spans="1:12" s="2352" customFormat="1">
      <c r="A652" s="2070"/>
      <c r="B652" s="2396"/>
      <c r="C652" s="2397"/>
      <c r="D652" s="2398"/>
      <c r="E652" s="2399"/>
      <c r="F652" s="2400"/>
      <c r="G652" s="2225"/>
      <c r="H652" s="2225"/>
      <c r="I652" s="2354"/>
      <c r="J652" s="2070"/>
      <c r="K652" s="2070"/>
    </row>
    <row r="653" spans="1:12" s="2352" customFormat="1">
      <c r="A653" s="2070"/>
      <c r="B653" s="2396"/>
      <c r="C653" s="2397"/>
      <c r="D653" s="2398"/>
      <c r="E653" s="2399"/>
      <c r="F653" s="2400"/>
      <c r="G653" s="2225"/>
      <c r="H653" s="2225"/>
      <c r="I653" s="2354"/>
      <c r="J653" s="2070"/>
      <c r="K653" s="2070"/>
    </row>
    <row r="654" spans="1:12" s="2352" customFormat="1">
      <c r="A654" s="2070"/>
      <c r="B654" s="2395"/>
      <c r="C654" s="2391"/>
      <c r="D654" s="2392"/>
      <c r="E654" s="2393"/>
      <c r="F654" s="2400"/>
      <c r="G654" s="2225"/>
      <c r="H654" s="2225"/>
      <c r="I654" s="2354"/>
      <c r="J654" s="2070"/>
      <c r="K654" s="2070"/>
    </row>
    <row r="655" spans="1:12" s="2352" customFormat="1">
      <c r="A655" s="2070"/>
      <c r="B655" s="2396"/>
      <c r="C655" s="2397"/>
      <c r="D655" s="2398"/>
      <c r="E655" s="2399"/>
      <c r="F655" s="2400"/>
      <c r="G655" s="2225"/>
      <c r="H655" s="2225"/>
      <c r="I655" s="2354"/>
      <c r="J655" s="2070"/>
      <c r="K655" s="2070"/>
    </row>
    <row r="656" spans="1:12" s="2352" customFormat="1">
      <c r="A656" s="2070"/>
      <c r="B656" s="2401"/>
      <c r="C656" s="2402"/>
      <c r="D656" s="2403"/>
      <c r="E656" s="2404"/>
      <c r="F656" s="2400"/>
      <c r="G656" s="2225"/>
      <c r="H656" s="2225"/>
      <c r="I656" s="2354"/>
      <c r="J656" s="2070"/>
      <c r="K656" s="2070"/>
    </row>
    <row r="657" spans="1:11" s="2352" customFormat="1">
      <c r="A657" s="2070"/>
      <c r="B657" s="2396"/>
      <c r="C657" s="2397"/>
      <c r="D657" s="2398"/>
      <c r="E657" s="2399"/>
      <c r="F657" s="2400"/>
      <c r="G657" s="2225"/>
      <c r="H657" s="2225"/>
      <c r="I657" s="2354"/>
      <c r="J657" s="2070"/>
      <c r="K657" s="2070"/>
    </row>
    <row r="658" spans="1:11" s="2352" customFormat="1">
      <c r="A658" s="2070"/>
      <c r="B658" s="2395"/>
      <c r="C658" s="2391"/>
      <c r="D658" s="2392"/>
      <c r="E658" s="2393"/>
      <c r="F658" s="2400"/>
      <c r="G658" s="2225"/>
      <c r="H658" s="2225"/>
      <c r="I658" s="2354"/>
      <c r="J658" s="2070"/>
    </row>
    <row r="659" spans="1:11" s="2352" customFormat="1">
      <c r="A659" s="2070"/>
      <c r="B659" s="2401"/>
      <c r="C659" s="2402"/>
      <c r="D659" s="2403"/>
      <c r="E659" s="2404"/>
      <c r="F659" s="2400"/>
      <c r="G659" s="2225"/>
      <c r="H659" s="2225"/>
      <c r="I659" s="2354"/>
      <c r="J659" s="2070"/>
    </row>
    <row r="660" spans="1:11" s="2352" customFormat="1" ht="13.5" thickBot="1">
      <c r="A660" s="2070"/>
      <c r="B660" s="2405"/>
      <c r="C660" s="2406"/>
      <c r="D660" s="2407"/>
      <c r="E660" s="2408"/>
      <c r="F660" s="2409"/>
      <c r="G660" s="2225"/>
      <c r="H660" s="2225"/>
      <c r="I660" s="2354"/>
      <c r="J660" s="2070"/>
    </row>
    <row r="661" spans="1:11" s="2352" customFormat="1" ht="13.5" thickBot="1">
      <c r="A661" s="2070"/>
      <c r="B661" s="2410"/>
      <c r="C661" s="4920"/>
      <c r="D661" s="4921"/>
      <c r="E661" s="4922"/>
      <c r="F661" s="2411"/>
      <c r="G661" s="2225"/>
      <c r="H661" s="2225"/>
      <c r="I661" s="2354"/>
      <c r="J661" s="2070"/>
    </row>
    <row r="662" spans="1:11" s="2352" customFormat="1">
      <c r="A662" s="2070"/>
      <c r="B662" s="8"/>
      <c r="C662" s="8"/>
      <c r="D662" s="8"/>
      <c r="E662" s="8"/>
      <c r="F662" s="8"/>
      <c r="G662" s="2225"/>
      <c r="H662" s="2225"/>
      <c r="I662" s="2354"/>
      <c r="J662" s="2070"/>
    </row>
    <row r="663" spans="1:11" s="2352" customFormat="1">
      <c r="A663" s="2070"/>
      <c r="B663" s="8"/>
      <c r="C663" s="8"/>
      <c r="D663" s="8"/>
      <c r="E663" s="8"/>
      <c r="F663" s="8"/>
      <c r="G663" s="2225"/>
      <c r="H663" s="2225"/>
      <c r="I663" s="2354"/>
      <c r="J663" s="2070"/>
    </row>
    <row r="664" spans="1:11" s="2352" customFormat="1" ht="13.5" thickBot="1">
      <c r="A664" s="2070"/>
      <c r="B664" s="1910"/>
      <c r="C664" s="8"/>
      <c r="D664" s="8"/>
      <c r="E664" s="8"/>
      <c r="F664" s="8"/>
      <c r="G664" s="2225"/>
      <c r="H664" s="2225"/>
      <c r="I664" s="2354"/>
      <c r="J664" s="2070"/>
    </row>
    <row r="665" spans="1:11" s="2352" customFormat="1" ht="13.5" thickBot="1">
      <c r="A665" s="2070"/>
      <c r="B665" s="2612"/>
      <c r="C665" s="2613"/>
      <c r="D665" s="2613"/>
      <c r="E665" s="2613"/>
      <c r="F665" s="2613"/>
      <c r="G665" s="2225"/>
      <c r="H665" s="2225"/>
      <c r="I665" s="2354"/>
      <c r="J665" s="2070"/>
    </row>
    <row r="666" spans="1:11" s="2352" customFormat="1">
      <c r="A666" s="2070"/>
      <c r="B666" s="2395"/>
      <c r="C666" s="2391"/>
      <c r="D666" s="2392"/>
      <c r="E666" s="2393"/>
      <c r="F666" s="2394"/>
      <c r="G666" s="2225"/>
      <c r="H666" s="2225"/>
      <c r="I666" s="2354"/>
      <c r="J666" s="2070"/>
    </row>
    <row r="667" spans="1:11" s="2352" customFormat="1" ht="13.5" thickBot="1">
      <c r="A667" s="2070"/>
      <c r="B667" s="2396"/>
      <c r="C667" s="2397"/>
      <c r="D667" s="2398"/>
      <c r="E667" s="2399"/>
      <c r="F667" s="2400"/>
      <c r="G667" s="2225"/>
      <c r="H667" s="2225"/>
      <c r="I667" s="2354"/>
      <c r="J667" s="2070"/>
    </row>
    <row r="668" spans="1:11" s="2352" customFormat="1" ht="13.5" thickBot="1">
      <c r="A668" s="2070"/>
      <c r="B668" s="2396"/>
      <c r="C668" s="2614"/>
      <c r="D668" s="2398"/>
      <c r="E668" s="2399"/>
      <c r="F668" s="2400"/>
      <c r="G668" s="2225"/>
      <c r="H668" s="2225"/>
      <c r="I668" s="2354"/>
      <c r="J668" s="2070"/>
    </row>
    <row r="669" spans="1:11" s="2352" customFormat="1">
      <c r="A669" s="2070"/>
      <c r="B669" s="2396"/>
      <c r="C669" s="2397"/>
      <c r="D669" s="2398"/>
      <c r="E669" s="2399"/>
      <c r="F669" s="2400"/>
      <c r="G669" s="2225"/>
      <c r="H669" s="2225"/>
      <c r="I669" s="2354"/>
      <c r="J669" s="2070"/>
    </row>
    <row r="670" spans="1:11" s="2352" customFormat="1">
      <c r="A670" s="2070"/>
      <c r="B670" s="2396"/>
      <c r="C670" s="2397"/>
      <c r="D670" s="2398"/>
      <c r="E670" s="2399"/>
      <c r="F670" s="2400"/>
      <c r="G670" s="2225"/>
      <c r="H670" s="2225"/>
      <c r="I670" s="2354"/>
      <c r="J670" s="2070"/>
    </row>
    <row r="671" spans="1:11" s="2352" customFormat="1">
      <c r="A671" s="2070"/>
      <c r="B671" s="2396"/>
      <c r="C671" s="2397"/>
      <c r="D671" s="2398"/>
      <c r="E671" s="2399"/>
      <c r="F671" s="2400"/>
      <c r="G671" s="2225"/>
      <c r="H671" s="2225"/>
      <c r="I671" s="2354"/>
      <c r="J671" s="2070"/>
    </row>
    <row r="672" spans="1:11" s="2352" customFormat="1">
      <c r="A672" s="2070"/>
      <c r="B672" s="2395"/>
      <c r="C672" s="2391"/>
      <c r="D672" s="2392"/>
      <c r="E672" s="2393"/>
      <c r="F672" s="2400"/>
      <c r="G672" s="2225"/>
      <c r="H672" s="2225"/>
      <c r="I672" s="2354"/>
      <c r="J672" s="2070"/>
    </row>
    <row r="673" spans="1:10" s="2352" customFormat="1">
      <c r="A673" s="2070"/>
      <c r="B673" s="2396"/>
      <c r="C673" s="2397"/>
      <c r="D673" s="2398"/>
      <c r="E673" s="2399"/>
      <c r="F673" s="2400"/>
      <c r="G673" s="1593"/>
      <c r="H673" s="2225"/>
      <c r="I673" s="2354"/>
      <c r="J673" s="2070"/>
    </row>
    <row r="674" spans="1:10" s="2352" customFormat="1">
      <c r="A674" s="2070"/>
      <c r="B674" s="2401"/>
      <c r="C674" s="2402"/>
      <c r="D674" s="2403"/>
      <c r="E674" s="2404"/>
      <c r="F674" s="2400"/>
      <c r="G674" s="1593"/>
      <c r="H674" s="2225"/>
      <c r="I674" s="2354"/>
      <c r="J674" s="2070"/>
    </row>
    <row r="675" spans="1:10" s="2352" customFormat="1">
      <c r="A675" s="2070"/>
      <c r="B675" s="2396"/>
      <c r="C675" s="2397"/>
      <c r="D675" s="2398"/>
      <c r="E675" s="2399"/>
      <c r="F675" s="2400"/>
      <c r="G675" s="1593"/>
      <c r="H675" s="2225"/>
      <c r="I675" s="2354"/>
      <c r="J675" s="2070"/>
    </row>
    <row r="676" spans="1:10" s="2352" customFormat="1">
      <c r="A676" s="2070"/>
      <c r="B676" s="2395"/>
      <c r="C676" s="2391"/>
      <c r="D676" s="2392"/>
      <c r="E676" s="2393"/>
      <c r="F676" s="2400"/>
      <c r="G676" s="1593"/>
      <c r="H676" s="2225"/>
      <c r="I676" s="2354"/>
      <c r="J676" s="2070"/>
    </row>
    <row r="677" spans="1:10" s="2352" customFormat="1">
      <c r="A677" s="2070"/>
      <c r="B677" s="2401"/>
      <c r="C677" s="2402"/>
      <c r="D677" s="2403"/>
      <c r="E677" s="2404"/>
      <c r="F677" s="2400"/>
      <c r="G677" s="2225"/>
      <c r="H677" s="2225"/>
      <c r="I677" s="2354"/>
      <c r="J677" s="2070"/>
    </row>
    <row r="678" spans="1:10" s="2352" customFormat="1" ht="13.5" thickBot="1">
      <c r="A678" s="2070"/>
      <c r="B678" s="2405"/>
      <c r="C678" s="2406"/>
      <c r="D678" s="2407"/>
      <c r="E678" s="2408"/>
      <c r="F678" s="2409"/>
      <c r="G678" s="2225"/>
      <c r="H678" s="2225"/>
      <c r="I678" s="2354"/>
      <c r="J678" s="2070"/>
    </row>
    <row r="679" spans="1:10" s="2352" customFormat="1" ht="13.5" thickBot="1">
      <c r="A679" s="2070"/>
      <c r="B679" s="2410"/>
      <c r="C679" s="4920"/>
      <c r="D679" s="4921"/>
      <c r="E679" s="4922"/>
      <c r="F679" s="2411"/>
      <c r="G679" s="2225"/>
      <c r="H679" s="2225"/>
      <c r="I679" s="2354"/>
      <c r="J679" s="2070"/>
    </row>
    <row r="680" spans="1:10" s="2352" customFormat="1">
      <c r="A680" s="2070"/>
      <c r="B680" s="2070"/>
      <c r="C680" s="2093"/>
      <c r="D680" s="2094"/>
      <c r="E680" s="2093"/>
      <c r="F680" s="2093"/>
      <c r="G680" s="2225"/>
      <c r="H680" s="2225"/>
      <c r="I680" s="2354"/>
      <c r="J680" s="2070"/>
    </row>
    <row r="681" spans="1:10" s="2352" customFormat="1">
      <c r="A681" s="2070"/>
      <c r="B681" s="2147"/>
      <c r="C681" s="2093"/>
      <c r="D681" s="2094"/>
      <c r="E681" s="2093"/>
      <c r="F681" s="2093"/>
      <c r="G681" s="2225"/>
      <c r="H681" s="2225"/>
      <c r="I681" s="2354"/>
      <c r="J681" s="2070"/>
    </row>
    <row r="682" spans="1:10" s="2352" customFormat="1">
      <c r="A682" s="2070"/>
      <c r="B682" s="2070"/>
      <c r="C682" s="2093"/>
      <c r="D682" s="2094"/>
      <c r="E682" s="2093"/>
      <c r="F682" s="2093"/>
      <c r="G682" s="2225"/>
      <c r="H682" s="2225"/>
      <c r="I682" s="2354"/>
      <c r="J682" s="2070"/>
    </row>
    <row r="683" spans="1:10" s="2352" customFormat="1" ht="13.5" thickBot="1">
      <c r="A683" s="2070"/>
      <c r="B683" s="2615"/>
      <c r="C683" s="2616"/>
      <c r="D683" s="2472"/>
      <c r="E683" s="2472"/>
      <c r="F683" s="2472"/>
      <c r="G683" s="2225"/>
      <c r="H683" s="2225"/>
      <c r="I683" s="2354"/>
      <c r="J683" s="2070"/>
    </row>
    <row r="684" spans="1:10" s="2352" customFormat="1" ht="13.5" thickTop="1">
      <c r="A684" s="2070"/>
      <c r="B684" s="2478"/>
      <c r="C684" s="2601"/>
      <c r="D684" s="2602"/>
      <c r="E684" s="2603"/>
      <c r="F684" s="2604"/>
      <c r="G684" s="2225"/>
      <c r="H684" s="2225"/>
      <c r="I684" s="2354"/>
      <c r="J684" s="2070"/>
    </row>
    <row r="685" spans="1:10" s="2352" customFormat="1">
      <c r="A685" s="2070"/>
      <c r="B685" s="2483"/>
      <c r="C685" s="2605"/>
      <c r="D685" s="2415"/>
      <c r="E685" s="2606"/>
      <c r="F685" s="2607"/>
      <c r="G685" s="2225"/>
      <c r="H685" s="2225"/>
      <c r="I685" s="2354"/>
      <c r="J685" s="2070"/>
    </row>
    <row r="686" spans="1:10" s="2352" customFormat="1" ht="13.5" thickBot="1">
      <c r="A686" s="2070"/>
      <c r="B686" s="2489"/>
      <c r="C686" s="2608"/>
      <c r="D686" s="2608"/>
      <c r="E686" s="2609"/>
      <c r="F686" s="2610"/>
      <c r="G686" s="2225"/>
      <c r="H686" s="2225"/>
      <c r="I686" s="2354"/>
      <c r="J686" s="2070"/>
    </row>
    <row r="687" spans="1:10" s="2352" customFormat="1" ht="13.5" thickTop="1">
      <c r="A687" s="2070"/>
      <c r="B687" s="2600"/>
      <c r="C687" s="2472"/>
      <c r="D687" s="2472"/>
      <c r="E687" s="2472"/>
      <c r="F687" s="2472"/>
      <c r="G687" s="2225"/>
      <c r="H687" s="2225"/>
      <c r="I687" s="2354"/>
      <c r="J687" s="2070"/>
    </row>
    <row r="688" spans="1:10" s="2352" customFormat="1" ht="13.5" thickBot="1">
      <c r="A688" s="2070"/>
      <c r="B688" s="2615"/>
      <c r="C688" s="2616"/>
      <c r="D688" s="2472"/>
      <c r="E688" s="2472"/>
      <c r="F688" s="2472"/>
      <c r="G688" s="2225"/>
      <c r="H688" s="2225"/>
      <c r="I688" s="2354"/>
      <c r="J688" s="2070"/>
    </row>
    <row r="689" spans="1:10" s="2352" customFormat="1" ht="13.5" thickTop="1">
      <c r="A689" s="2070"/>
      <c r="B689" s="2478"/>
      <c r="C689" s="2601"/>
      <c r="D689" s="2602"/>
      <c r="E689" s="2603"/>
      <c r="F689" s="2604"/>
      <c r="G689" s="2225"/>
      <c r="H689" s="2225"/>
      <c r="I689" s="2354"/>
      <c r="J689" s="2070"/>
    </row>
    <row r="690" spans="1:10" s="2352" customFormat="1">
      <c r="A690" s="2070"/>
      <c r="B690" s="2483"/>
      <c r="C690" s="2605"/>
      <c r="D690" s="2415"/>
      <c r="E690" s="2606"/>
      <c r="F690" s="2607"/>
      <c r="G690" s="2225"/>
      <c r="H690" s="2225"/>
      <c r="I690" s="2354"/>
      <c r="J690" s="2070"/>
    </row>
    <row r="691" spans="1:10" s="2352" customFormat="1" ht="13.5" thickBot="1">
      <c r="A691" s="2070"/>
      <c r="B691" s="2489"/>
      <c r="C691" s="2608"/>
      <c r="D691" s="2608"/>
      <c r="E691" s="2609"/>
      <c r="F691" s="2610"/>
      <c r="G691" s="2225"/>
      <c r="H691" s="2225"/>
      <c r="I691" s="2354"/>
      <c r="J691" s="2070"/>
    </row>
    <row r="692" spans="1:10" s="2352" customFormat="1" ht="13.5" thickTop="1">
      <c r="A692" s="2070"/>
      <c r="B692" s="2600"/>
      <c r="C692" s="2472"/>
      <c r="D692" s="2472"/>
      <c r="E692" s="2472"/>
      <c r="F692" s="2472"/>
      <c r="G692" s="2225"/>
      <c r="H692" s="2225"/>
      <c r="I692" s="2354"/>
      <c r="J692" s="2070"/>
    </row>
    <row r="693" spans="1:10" s="2352" customFormat="1">
      <c r="A693" s="2070"/>
      <c r="B693" s="2600"/>
      <c r="C693" s="2472"/>
      <c r="D693" s="2472"/>
      <c r="E693" s="2472"/>
      <c r="F693" s="2472"/>
      <c r="G693" s="2225"/>
      <c r="H693" s="2225"/>
      <c r="I693" s="2354"/>
      <c r="J693" s="2070"/>
    </row>
    <row r="694" spans="1:10" s="2352" customFormat="1" ht="13.5" thickBot="1">
      <c r="A694" s="2070"/>
      <c r="B694" s="2617"/>
      <c r="C694" s="2472"/>
      <c r="D694" s="2472"/>
      <c r="E694" s="2472"/>
      <c r="F694" s="2472"/>
      <c r="G694" s="2225"/>
      <c r="H694" s="2225"/>
      <c r="I694" s="2354"/>
      <c r="J694" s="2070"/>
    </row>
    <row r="695" spans="1:10" s="2352" customFormat="1" ht="13.5" thickTop="1">
      <c r="A695" s="2070"/>
      <c r="B695" s="2478"/>
      <c r="C695" s="2601"/>
      <c r="D695" s="2602"/>
      <c r="E695" s="2603"/>
      <c r="F695" s="2604"/>
      <c r="G695" s="2225"/>
      <c r="H695" s="2225"/>
      <c r="I695" s="2354"/>
      <c r="J695" s="2070"/>
    </row>
    <row r="696" spans="1:10" s="2352" customFormat="1">
      <c r="A696" s="2070"/>
      <c r="B696" s="2483"/>
      <c r="C696" s="2605"/>
      <c r="D696" s="2415"/>
      <c r="E696" s="2606"/>
      <c r="F696" s="2607"/>
      <c r="G696" s="2225"/>
      <c r="H696" s="2225"/>
      <c r="I696" s="2354"/>
      <c r="J696" s="2070"/>
    </row>
    <row r="697" spans="1:10" s="2352" customFormat="1">
      <c r="A697" s="2070"/>
      <c r="B697" s="2483"/>
      <c r="C697" s="2611"/>
      <c r="D697" s="2415"/>
      <c r="E697" s="2606"/>
      <c r="F697" s="2607"/>
      <c r="G697" s="2225"/>
      <c r="H697" s="2225"/>
      <c r="I697" s="2354"/>
      <c r="J697" s="2070"/>
    </row>
    <row r="698" spans="1:10" s="2352" customFormat="1" ht="13.5" thickBot="1">
      <c r="A698" s="2070"/>
      <c r="B698" s="2489"/>
      <c r="C698" s="2608"/>
      <c r="D698" s="2608"/>
      <c r="E698" s="2609"/>
      <c r="F698" s="2610"/>
      <c r="G698" s="2225"/>
      <c r="H698" s="2225"/>
      <c r="I698" s="2354"/>
      <c r="J698" s="2070"/>
    </row>
    <row r="699" spans="1:10" s="2352" customFormat="1" ht="13.5" thickTop="1">
      <c r="A699" s="2070"/>
      <c r="B699" s="2070"/>
      <c r="C699" s="2093"/>
      <c r="D699" s="2094"/>
      <c r="E699" s="2093"/>
      <c r="F699" s="2093"/>
      <c r="G699" s="2225"/>
      <c r="H699" s="2225"/>
      <c r="I699" s="2354"/>
      <c r="J699" s="2070"/>
    </row>
    <row r="700" spans="1:10" s="2352" customFormat="1">
      <c r="A700" s="2070"/>
      <c r="B700" s="2070"/>
      <c r="C700" s="2093"/>
      <c r="D700" s="2094"/>
      <c r="E700" s="2093"/>
      <c r="F700" s="2093"/>
      <c r="G700" s="1593"/>
      <c r="H700" s="2225"/>
      <c r="I700" s="2354"/>
      <c r="J700" s="2070"/>
    </row>
    <row r="701" spans="1:10" s="2352" customFormat="1">
      <c r="A701" s="2070"/>
      <c r="B701" s="2241"/>
      <c r="C701" s="2093"/>
      <c r="D701" s="2094"/>
      <c r="E701" s="2093"/>
      <c r="F701" s="2093"/>
      <c r="G701" s="1593"/>
      <c r="H701" s="2225"/>
      <c r="I701" s="2354"/>
      <c r="J701" s="2070"/>
    </row>
    <row r="702" spans="1:10" s="2352" customFormat="1">
      <c r="A702" s="2070"/>
      <c r="B702" s="2070"/>
      <c r="C702" s="2093"/>
      <c r="D702" s="2094"/>
      <c r="E702" s="2093"/>
      <c r="F702" s="2093"/>
      <c r="G702" s="2225"/>
      <c r="H702" s="2225"/>
      <c r="I702" s="2354"/>
      <c r="J702" s="2070"/>
    </row>
    <row r="703" spans="1:10" s="2352" customFormat="1" ht="13.5" thickBot="1">
      <c r="A703" s="2070"/>
      <c r="B703" s="2617"/>
      <c r="C703" s="2472"/>
      <c r="D703" s="2472"/>
      <c r="E703" s="2472"/>
      <c r="F703" s="2472"/>
      <c r="G703" s="2225"/>
      <c r="H703" s="2225"/>
      <c r="I703" s="2354"/>
      <c r="J703" s="2070"/>
    </row>
    <row r="704" spans="1:10" s="2352" customFormat="1" ht="13.5" thickTop="1">
      <c r="A704" s="2070"/>
      <c r="B704" s="2478"/>
      <c r="C704" s="2601"/>
      <c r="D704" s="2602"/>
      <c r="E704" s="2603"/>
      <c r="F704" s="2604"/>
      <c r="G704" s="2225"/>
      <c r="H704" s="2225"/>
      <c r="I704" s="2354"/>
      <c r="J704" s="2070"/>
    </row>
    <row r="705" spans="1:10" s="2352" customFormat="1">
      <c r="A705" s="2070"/>
      <c r="B705" s="2483"/>
      <c r="C705" s="2605"/>
      <c r="D705" s="2415"/>
      <c r="E705" s="2606"/>
      <c r="F705" s="2607"/>
      <c r="G705" s="2225"/>
      <c r="H705" s="2225"/>
      <c r="I705" s="2354"/>
      <c r="J705" s="2070"/>
    </row>
    <row r="706" spans="1:10" s="2352" customFormat="1" ht="13.5" thickBot="1">
      <c r="A706" s="2070"/>
      <c r="B706" s="2489"/>
      <c r="C706" s="2608"/>
      <c r="D706" s="2608"/>
      <c r="E706" s="2609"/>
      <c r="F706" s="2610"/>
      <c r="G706" s="2225"/>
      <c r="H706" s="2225"/>
      <c r="I706" s="2354"/>
      <c r="J706" s="2070"/>
    </row>
    <row r="707" spans="1:10" s="2352" customFormat="1" ht="13.5" thickTop="1">
      <c r="A707" s="2070"/>
      <c r="B707" s="2600"/>
      <c r="C707" s="2472"/>
      <c r="D707" s="2472"/>
      <c r="E707" s="2472"/>
      <c r="F707" s="2472"/>
      <c r="G707" s="2225"/>
      <c r="H707" s="2225"/>
      <c r="I707" s="2354"/>
      <c r="J707" s="2070"/>
    </row>
    <row r="708" spans="1:10" s="2352" customFormat="1" ht="13.5" thickBot="1">
      <c r="A708" s="2070"/>
      <c r="B708" s="2617"/>
      <c r="C708" s="2472"/>
      <c r="D708" s="2472"/>
      <c r="E708" s="2472"/>
      <c r="F708" s="2472"/>
      <c r="G708" s="2225"/>
      <c r="H708" s="2225"/>
      <c r="I708" s="2354"/>
      <c r="J708" s="2070"/>
    </row>
    <row r="709" spans="1:10" s="2352" customFormat="1" ht="13.5" thickTop="1">
      <c r="A709" s="2070"/>
      <c r="B709" s="2478"/>
      <c r="C709" s="2601"/>
      <c r="D709" s="2602"/>
      <c r="E709" s="2603"/>
      <c r="F709" s="2604"/>
      <c r="G709" s="2225"/>
      <c r="H709" s="2225"/>
      <c r="I709" s="2354"/>
      <c r="J709" s="2070"/>
    </row>
    <row r="710" spans="1:10" s="2352" customFormat="1">
      <c r="A710" s="2070"/>
      <c r="B710" s="2483"/>
      <c r="C710" s="2605"/>
      <c r="D710" s="2415"/>
      <c r="E710" s="2606"/>
      <c r="F710" s="2607"/>
      <c r="G710" s="1593"/>
      <c r="H710" s="2225"/>
      <c r="I710" s="2354"/>
      <c r="J710" s="2070"/>
    </row>
    <row r="711" spans="1:10" s="2352" customFormat="1">
      <c r="A711" s="2070"/>
      <c r="B711" s="2483"/>
      <c r="C711" s="2611"/>
      <c r="D711" s="2415"/>
      <c r="E711" s="2606"/>
      <c r="F711" s="2607"/>
      <c r="G711" s="1593"/>
      <c r="H711" s="2225"/>
      <c r="I711" s="2354"/>
      <c r="J711" s="2070"/>
    </row>
    <row r="712" spans="1:10" s="2352" customFormat="1" ht="13.5" thickBot="1">
      <c r="A712" s="2070"/>
      <c r="B712" s="2489"/>
      <c r="C712" s="2608"/>
      <c r="D712" s="2608"/>
      <c r="E712" s="2609"/>
      <c r="F712" s="2610"/>
      <c r="G712" s="2225"/>
      <c r="H712" s="2225"/>
      <c r="I712" s="2354"/>
      <c r="J712" s="2070"/>
    </row>
    <row r="713" spans="1:10" s="2352" customFormat="1" ht="13.5" thickTop="1">
      <c r="A713" s="2070"/>
      <c r="B713" s="2070"/>
      <c r="C713" s="2093"/>
      <c r="D713" s="2094"/>
      <c r="E713" s="2093"/>
      <c r="F713" s="2093"/>
      <c r="G713" s="2225"/>
      <c r="H713" s="2225"/>
      <c r="I713" s="2354"/>
      <c r="J713" s="2070"/>
    </row>
    <row r="714" spans="1:10" s="2352" customFormat="1">
      <c r="A714" s="2070"/>
      <c r="B714" s="2241"/>
      <c r="C714" s="2093"/>
      <c r="D714" s="2094"/>
      <c r="E714" s="2093"/>
      <c r="F714" s="2093"/>
      <c r="G714" s="2225"/>
      <c r="H714" s="2225"/>
      <c r="I714" s="2354"/>
      <c r="J714" s="2070"/>
    </row>
    <row r="715" spans="1:10" s="2352" customFormat="1">
      <c r="A715" s="2070"/>
      <c r="B715" s="2070"/>
      <c r="C715" s="2093"/>
      <c r="D715" s="2094"/>
      <c r="E715" s="2093"/>
      <c r="F715" s="2093"/>
      <c r="G715" s="2225"/>
      <c r="H715" s="2225"/>
      <c r="I715" s="2354"/>
      <c r="J715" s="2070"/>
    </row>
    <row r="716" spans="1:10" s="2352" customFormat="1" ht="13.5" thickBot="1">
      <c r="A716" s="2070"/>
      <c r="B716" s="2617"/>
      <c r="C716" s="2472"/>
      <c r="D716" s="2472"/>
      <c r="E716" s="2472"/>
      <c r="F716" s="2472"/>
      <c r="G716" s="2225"/>
      <c r="H716" s="2225"/>
      <c r="I716" s="2354"/>
      <c r="J716" s="2070"/>
    </row>
    <row r="717" spans="1:10" s="2352" customFormat="1" ht="13.5" thickTop="1">
      <c r="A717" s="2070"/>
      <c r="B717" s="2478"/>
      <c r="C717" s="2601"/>
      <c r="D717" s="2602"/>
      <c r="E717" s="2603"/>
      <c r="F717" s="2604"/>
      <c r="G717" s="2225"/>
      <c r="H717" s="2225"/>
      <c r="I717" s="2354"/>
      <c r="J717" s="2070"/>
    </row>
    <row r="718" spans="1:10" s="2352" customFormat="1">
      <c r="A718" s="2070"/>
      <c r="B718" s="2483"/>
      <c r="C718" s="2605"/>
      <c r="D718" s="2415"/>
      <c r="E718" s="2606"/>
      <c r="F718" s="2607"/>
      <c r="G718" s="2225"/>
      <c r="H718" s="2225"/>
      <c r="I718" s="2354"/>
      <c r="J718" s="2070"/>
    </row>
    <row r="719" spans="1:10" s="2352" customFormat="1" ht="13.5" thickBot="1">
      <c r="A719" s="2070"/>
      <c r="B719" s="2489"/>
      <c r="C719" s="2608"/>
      <c r="D719" s="2608"/>
      <c r="E719" s="2609"/>
      <c r="F719" s="2610"/>
      <c r="G719" s="2225"/>
      <c r="H719" s="2225"/>
      <c r="I719" s="2354"/>
      <c r="J719" s="2070"/>
    </row>
    <row r="720" spans="1:10" s="2352" customFormat="1" ht="13.5" thickTop="1">
      <c r="A720" s="2070"/>
      <c r="B720" s="2600"/>
      <c r="C720" s="2472"/>
      <c r="D720" s="2472"/>
      <c r="E720" s="2472"/>
      <c r="F720" s="2472"/>
      <c r="G720" s="2225"/>
      <c r="H720" s="2225"/>
      <c r="I720" s="2354"/>
      <c r="J720" s="2070"/>
    </row>
    <row r="721" spans="1:10" s="2352" customFormat="1" ht="13.5" thickBot="1">
      <c r="A721" s="2070"/>
      <c r="B721" s="2617"/>
      <c r="C721" s="2472"/>
      <c r="D721" s="2472"/>
      <c r="E721" s="2472"/>
      <c r="F721" s="2472"/>
      <c r="G721" s="2225"/>
      <c r="H721" s="2225"/>
      <c r="I721" s="2354"/>
      <c r="J721" s="2070"/>
    </row>
    <row r="722" spans="1:10" s="2352" customFormat="1" ht="13.5" thickTop="1">
      <c r="A722" s="2070"/>
      <c r="B722" s="2478"/>
      <c r="C722" s="2601"/>
      <c r="D722" s="2602"/>
      <c r="E722" s="2603"/>
      <c r="F722" s="2604"/>
      <c r="G722" s="2225"/>
      <c r="H722" s="2225"/>
      <c r="I722" s="2354"/>
      <c r="J722" s="2070"/>
    </row>
    <row r="723" spans="1:10" s="2352" customFormat="1">
      <c r="A723" s="2070"/>
      <c r="B723" s="2483"/>
      <c r="C723" s="2605"/>
      <c r="D723" s="2415"/>
      <c r="E723" s="2606"/>
      <c r="F723" s="2607"/>
      <c r="G723" s="2225"/>
      <c r="H723" s="2225"/>
      <c r="I723" s="2354"/>
      <c r="J723" s="2070"/>
    </row>
    <row r="724" spans="1:10" s="2352" customFormat="1">
      <c r="A724" s="2070"/>
      <c r="B724" s="2483"/>
      <c r="C724" s="2611"/>
      <c r="D724" s="2415"/>
      <c r="E724" s="2606"/>
      <c r="F724" s="2607"/>
      <c r="G724" s="2225"/>
      <c r="H724" s="2225"/>
      <c r="I724" s="2354"/>
      <c r="J724" s="2070"/>
    </row>
    <row r="725" spans="1:10" s="2352" customFormat="1" ht="13.5" thickBot="1">
      <c r="A725" s="2070"/>
      <c r="B725" s="2489"/>
      <c r="C725" s="2608"/>
      <c r="D725" s="2608"/>
      <c r="E725" s="2609"/>
      <c r="F725" s="2610"/>
      <c r="G725" s="2225"/>
      <c r="H725" s="2225"/>
      <c r="I725" s="2354"/>
      <c r="J725" s="2070"/>
    </row>
    <row r="726" spans="1:10" s="2070" customFormat="1" ht="13.5" thickTop="1">
      <c r="C726" s="2072"/>
      <c r="D726" s="2148"/>
      <c r="E726" s="2072"/>
      <c r="F726" s="2072"/>
      <c r="G726" s="2225"/>
      <c r="H726" s="2225"/>
      <c r="I726" s="2354"/>
    </row>
    <row r="727" spans="1:10" s="2070" customFormat="1">
      <c r="C727" s="2093"/>
      <c r="D727" s="2094"/>
      <c r="E727" s="2093"/>
      <c r="F727" s="2093"/>
      <c r="G727" s="2225"/>
      <c r="H727" s="2225"/>
      <c r="I727" s="2354"/>
    </row>
    <row r="728" spans="1:10" s="2070" customFormat="1">
      <c r="C728" s="2093"/>
      <c r="D728" s="2094"/>
      <c r="E728" s="2093"/>
      <c r="F728" s="2093"/>
      <c r="G728" s="2225"/>
      <c r="H728" s="2225"/>
      <c r="I728" s="2354"/>
    </row>
    <row r="729" spans="1:10" s="2070" customFormat="1">
      <c r="C729" s="2093"/>
      <c r="D729" s="2094"/>
      <c r="E729" s="2072"/>
      <c r="F729" s="2072"/>
      <c r="G729" s="2225"/>
      <c r="H729" s="2225"/>
      <c r="I729" s="2354"/>
    </row>
    <row r="730" spans="1:10" s="2070" customFormat="1">
      <c r="B730" s="2618"/>
      <c r="C730" s="2619"/>
      <c r="D730" s="2620"/>
      <c r="E730" s="2621"/>
      <c r="F730" s="2622"/>
      <c r="G730" s="2225"/>
      <c r="H730" s="2225"/>
      <c r="I730" s="2354"/>
    </row>
    <row r="731" spans="1:10" s="2070" customFormat="1">
      <c r="B731" s="2618"/>
      <c r="C731" s="2619"/>
      <c r="D731" s="2620"/>
      <c r="E731" s="2621"/>
      <c r="F731" s="2622"/>
      <c r="G731" s="2225"/>
      <c r="H731" s="2225"/>
      <c r="I731" s="2354"/>
    </row>
    <row r="732" spans="1:10" s="2070" customFormat="1">
      <c r="B732" s="2623"/>
      <c r="C732" s="2624"/>
      <c r="D732" s="2625"/>
      <c r="E732" s="2626"/>
      <c r="F732" s="2627"/>
      <c r="G732" s="2225"/>
      <c r="H732" s="2225"/>
      <c r="I732" s="2354"/>
    </row>
    <row r="733" spans="1:10" s="2070" customFormat="1">
      <c r="B733" s="2582"/>
      <c r="C733" s="2628"/>
      <c r="D733" s="2629"/>
      <c r="E733" s="2630"/>
      <c r="F733" s="2236"/>
      <c r="G733" s="2225"/>
      <c r="H733" s="2225"/>
      <c r="I733" s="2354"/>
    </row>
    <row r="734" spans="1:10" s="2070" customFormat="1">
      <c r="B734" s="2631"/>
      <c r="C734" s="2628"/>
      <c r="D734" s="2629"/>
      <c r="E734" s="2630"/>
      <c r="F734" s="2243"/>
      <c r="G734" s="2225"/>
      <c r="H734" s="2225"/>
      <c r="I734" s="2354"/>
    </row>
    <row r="735" spans="1:10" s="2070" customFormat="1">
      <c r="B735" s="2582"/>
      <c r="C735" s="2628"/>
      <c r="D735" s="2629"/>
      <c r="E735" s="2630"/>
      <c r="F735" s="2243"/>
      <c r="G735" s="2225"/>
      <c r="H735" s="2225"/>
      <c r="I735" s="2354"/>
    </row>
    <row r="736" spans="1:10" s="2070" customFormat="1">
      <c r="B736" s="2631"/>
      <c r="C736" s="2628"/>
      <c r="D736" s="2629"/>
      <c r="E736" s="2630"/>
      <c r="F736" s="2236"/>
      <c r="G736" s="2225"/>
      <c r="H736" s="2225"/>
      <c r="I736" s="2354"/>
    </row>
    <row r="737" spans="2:9" s="2070" customFormat="1">
      <c r="B737" s="2631"/>
      <c r="C737" s="2628"/>
      <c r="D737" s="2629"/>
      <c r="E737" s="2630"/>
      <c r="F737" s="2236"/>
      <c r="G737" s="2225"/>
      <c r="H737" s="2225"/>
      <c r="I737" s="2354"/>
    </row>
    <row r="738" spans="2:9" s="2070" customFormat="1">
      <c r="B738" s="2631"/>
      <c r="C738" s="2628"/>
      <c r="D738" s="2629"/>
      <c r="E738" s="2630"/>
      <c r="F738" s="2236"/>
      <c r="G738" s="2225"/>
      <c r="H738" s="2225"/>
      <c r="I738" s="2354"/>
    </row>
    <row r="739" spans="2:9" s="2070" customFormat="1">
      <c r="B739" s="2631"/>
      <c r="C739" s="2628"/>
      <c r="D739" s="2629"/>
      <c r="E739" s="2630"/>
      <c r="F739" s="2243"/>
      <c r="G739" s="2225"/>
      <c r="H739" s="2225"/>
      <c r="I739" s="2354"/>
    </row>
    <row r="740" spans="2:9" s="2070" customFormat="1">
      <c r="B740" s="2582"/>
      <c r="C740" s="2628"/>
      <c r="D740" s="2629"/>
      <c r="E740" s="2630"/>
      <c r="F740" s="2243"/>
      <c r="G740" s="2225"/>
      <c r="H740" s="2225"/>
      <c r="I740" s="2354"/>
    </row>
    <row r="741" spans="2:9" s="2070" customFormat="1">
      <c r="B741" s="2631"/>
      <c r="C741" s="2628"/>
      <c r="D741" s="2629"/>
      <c r="E741" s="2630"/>
      <c r="F741" s="2236"/>
      <c r="G741" s="2225"/>
      <c r="H741" s="2225"/>
      <c r="I741" s="2354"/>
    </row>
    <row r="742" spans="2:9" s="2070" customFormat="1">
      <c r="B742" s="2631"/>
      <c r="C742" s="2628"/>
      <c r="D742" s="2629"/>
      <c r="E742" s="2630"/>
      <c r="F742" s="2236"/>
      <c r="G742" s="2225"/>
      <c r="H742" s="2225"/>
      <c r="I742" s="2354"/>
    </row>
    <row r="743" spans="2:9" s="2070" customFormat="1">
      <c r="B743" s="2631"/>
      <c r="C743" s="2628"/>
      <c r="D743" s="2629"/>
      <c r="E743" s="2630"/>
      <c r="F743" s="2236"/>
      <c r="G743" s="2225"/>
      <c r="H743" s="2225"/>
      <c r="I743" s="2354"/>
    </row>
    <row r="744" spans="2:9" s="2070" customFormat="1">
      <c r="B744" s="2631"/>
      <c r="C744" s="2628"/>
      <c r="D744" s="2629"/>
      <c r="E744" s="2630"/>
      <c r="F744" s="2243"/>
      <c r="G744" s="2225"/>
      <c r="H744" s="2225"/>
      <c r="I744" s="2354"/>
    </row>
    <row r="745" spans="2:9" s="2070" customFormat="1">
      <c r="B745" s="2582"/>
      <c r="C745" s="2628"/>
      <c r="D745" s="2629"/>
      <c r="E745" s="2630"/>
      <c r="F745" s="2236"/>
      <c r="G745" s="2225"/>
      <c r="H745" s="2225"/>
      <c r="I745" s="2354"/>
    </row>
    <row r="746" spans="2:9" s="2070" customFormat="1">
      <c r="B746" s="2631"/>
      <c r="C746" s="2628"/>
      <c r="D746" s="2629"/>
      <c r="E746" s="2630"/>
      <c r="F746" s="2243"/>
      <c r="G746" s="2225"/>
      <c r="H746" s="2225"/>
      <c r="I746" s="2354"/>
    </row>
    <row r="747" spans="2:9" s="2070" customFormat="1">
      <c r="B747" s="2582"/>
      <c r="C747" s="2628"/>
      <c r="D747" s="2629"/>
      <c r="E747" s="2630"/>
      <c r="F747" s="2243"/>
      <c r="G747" s="2225"/>
      <c r="H747" s="2225"/>
      <c r="I747" s="2354"/>
    </row>
    <row r="748" spans="2:9" s="2070" customFormat="1">
      <c r="B748" s="2631"/>
      <c r="C748" s="2628"/>
      <c r="D748" s="2629"/>
      <c r="E748" s="2630"/>
      <c r="F748" s="2236"/>
      <c r="G748" s="2225"/>
      <c r="H748" s="2225"/>
      <c r="I748" s="2354"/>
    </row>
    <row r="749" spans="2:9" s="2070" customFormat="1">
      <c r="B749" s="2631"/>
      <c r="C749" s="2628"/>
      <c r="D749" s="2629"/>
      <c r="E749" s="2630"/>
      <c r="F749" s="2236"/>
      <c r="G749" s="2225"/>
      <c r="H749" s="2225"/>
      <c r="I749" s="2354"/>
    </row>
    <row r="750" spans="2:9" s="2070" customFormat="1">
      <c r="B750" s="2631"/>
      <c r="C750" s="2628"/>
      <c r="D750" s="2629"/>
      <c r="E750" s="2630"/>
      <c r="F750" s="2236"/>
      <c r="G750" s="2225"/>
      <c r="H750" s="2225"/>
      <c r="I750" s="2354"/>
    </row>
    <row r="751" spans="2:9" s="2070" customFormat="1">
      <c r="B751" s="2631"/>
      <c r="C751" s="2628"/>
      <c r="D751" s="2629"/>
      <c r="E751" s="2630"/>
      <c r="F751" s="2236"/>
      <c r="G751" s="2225"/>
      <c r="H751" s="2225"/>
      <c r="I751" s="2354"/>
    </row>
    <row r="752" spans="2:9" s="2070" customFormat="1">
      <c r="B752" s="2632"/>
      <c r="C752" s="2633"/>
      <c r="D752" s="2629"/>
      <c r="E752" s="2630"/>
      <c r="F752" s="2243"/>
      <c r="G752" s="2225"/>
      <c r="H752" s="2225"/>
      <c r="I752" s="2354"/>
    </row>
    <row r="753" spans="1:12" s="2352" customFormat="1">
      <c r="A753" s="2070"/>
      <c r="B753" s="1908"/>
      <c r="C753" s="2634"/>
      <c r="D753" s="2635"/>
      <c r="E753" s="2636"/>
      <c r="F753" s="2637"/>
      <c r="G753" s="2225"/>
      <c r="H753" s="2225"/>
      <c r="I753" s="2354"/>
      <c r="J753" s="2070"/>
      <c r="K753" s="2070"/>
      <c r="L753" s="2070"/>
    </row>
    <row r="754" spans="1:12" s="2352" customFormat="1">
      <c r="A754" s="2070"/>
      <c r="B754" s="2070"/>
      <c r="C754" s="2072"/>
      <c r="D754" s="2094"/>
      <c r="E754" s="2093"/>
      <c r="F754" s="2093"/>
      <c r="G754" s="2225"/>
      <c r="H754" s="2225"/>
      <c r="I754" s="2354"/>
      <c r="J754" s="2070"/>
      <c r="K754" s="2070"/>
      <c r="L754" s="2070"/>
    </row>
    <row r="755" spans="1:12" s="2070" customFormat="1">
      <c r="B755" s="2618"/>
      <c r="C755" s="2072"/>
      <c r="D755" s="2094"/>
      <c r="E755" s="2093"/>
      <c r="F755" s="2093"/>
      <c r="G755" s="2225"/>
      <c r="H755" s="2225"/>
      <c r="I755" s="2354"/>
    </row>
    <row r="756" spans="1:12" s="2070" customFormat="1">
      <c r="B756" s="2618"/>
      <c r="C756" s="2072"/>
      <c r="D756" s="2094"/>
      <c r="E756" s="2093"/>
      <c r="F756" s="2093"/>
      <c r="G756" s="2225"/>
      <c r="H756" s="2225"/>
      <c r="I756" s="2354"/>
    </row>
    <row r="757" spans="1:12" s="2070" customFormat="1">
      <c r="B757" s="2259"/>
      <c r="C757" s="2109"/>
      <c r="D757" s="2146"/>
      <c r="E757" s="2109"/>
      <c r="F757" s="2638"/>
      <c r="G757" s="2225"/>
      <c r="H757" s="2225"/>
      <c r="I757" s="2354"/>
    </row>
    <row r="758" spans="1:12" s="2070" customFormat="1">
      <c r="B758" s="2107"/>
      <c r="C758" s="2052"/>
      <c r="D758" s="2146"/>
      <c r="E758" s="2052"/>
      <c r="F758" s="2639"/>
      <c r="G758" s="2225"/>
      <c r="H758" s="2225"/>
      <c r="I758" s="2354"/>
    </row>
    <row r="759" spans="1:12" s="2070" customFormat="1">
      <c r="B759" s="2107"/>
      <c r="C759" s="2052"/>
      <c r="D759" s="2146"/>
      <c r="E759" s="2052"/>
      <c r="F759" s="2639"/>
      <c r="G759" s="2225"/>
      <c r="H759" s="2225"/>
      <c r="I759" s="2354"/>
    </row>
    <row r="760" spans="1:12" s="2070" customFormat="1">
      <c r="B760" s="2107"/>
      <c r="C760" s="2052"/>
      <c r="D760" s="2146"/>
      <c r="E760" s="2052"/>
      <c r="F760" s="2639"/>
      <c r="G760" s="2225"/>
      <c r="H760" s="2225"/>
      <c r="I760" s="2354"/>
    </row>
    <row r="761" spans="1:12" s="2070" customFormat="1">
      <c r="B761" s="8"/>
      <c r="C761" s="8"/>
      <c r="D761" s="8"/>
      <c r="E761" s="2636"/>
      <c r="F761" s="2637"/>
      <c r="G761" s="2225"/>
      <c r="H761" s="2225"/>
      <c r="I761" s="2354"/>
    </row>
    <row r="762" spans="1:12" s="2070" customFormat="1">
      <c r="B762" s="8"/>
      <c r="C762" s="8"/>
      <c r="D762" s="8"/>
      <c r="E762" s="8"/>
      <c r="F762" s="2640"/>
      <c r="G762" s="2225"/>
      <c r="H762" s="2225"/>
      <c r="I762" s="2354"/>
    </row>
    <row r="763" spans="1:12" s="2070" customFormat="1">
      <c r="B763" s="2641"/>
      <c r="C763" s="2642"/>
      <c r="D763" s="2643"/>
      <c r="E763" s="2642"/>
      <c r="F763" s="2642"/>
      <c r="G763" s="2225"/>
      <c r="H763" s="2225"/>
      <c r="I763" s="2354"/>
    </row>
    <row r="764" spans="1:12" s="2070" customFormat="1">
      <c r="B764" s="2107"/>
      <c r="C764" s="2052"/>
      <c r="D764" s="2146"/>
      <c r="E764" s="2052"/>
      <c r="F764" s="2639"/>
      <c r="G764" s="2225"/>
      <c r="H764" s="2225"/>
      <c r="I764" s="2354"/>
    </row>
    <row r="765" spans="1:12" s="2070" customFormat="1">
      <c r="B765" s="2107"/>
      <c r="C765" s="2052"/>
      <c r="D765" s="2146"/>
      <c r="E765" s="2052"/>
      <c r="F765" s="2639"/>
      <c r="G765" s="2225"/>
      <c r="H765" s="2225"/>
      <c r="I765" s="2354"/>
    </row>
    <row r="766" spans="1:12" s="2070" customFormat="1">
      <c r="B766" s="2107"/>
      <c r="C766" s="2109"/>
      <c r="D766" s="2146"/>
      <c r="E766" s="2440"/>
      <c r="F766" s="2637"/>
      <c r="G766" s="2225"/>
      <c r="H766" s="2225"/>
      <c r="I766" s="2354"/>
    </row>
    <row r="767" spans="1:12" s="2070" customFormat="1">
      <c r="C767" s="2093"/>
      <c r="D767" s="2094"/>
      <c r="E767" s="2093"/>
      <c r="F767" s="2093"/>
      <c r="G767" s="2225"/>
      <c r="H767" s="2225"/>
      <c r="I767" s="2354"/>
    </row>
    <row r="768" spans="1:12" s="2070" customFormat="1">
      <c r="C768" s="2093"/>
      <c r="D768" s="2094"/>
      <c r="E768" s="2093"/>
      <c r="F768" s="2093"/>
      <c r="G768" s="2225"/>
      <c r="H768" s="2225"/>
      <c r="I768" s="2354"/>
    </row>
    <row r="769" spans="1:11" s="2070" customFormat="1" ht="13.5" thickBot="1">
      <c r="B769" s="2644"/>
      <c r="C769" s="2645"/>
      <c r="D769" s="2643"/>
      <c r="E769" s="2642"/>
      <c r="F769" s="2642"/>
      <c r="G769" s="2225"/>
      <c r="H769" s="2225"/>
      <c r="I769" s="2354"/>
    </row>
    <row r="770" spans="1:11" s="2070" customFormat="1" ht="13.5" thickTop="1">
      <c r="B770" s="2080"/>
      <c r="C770" s="2048"/>
      <c r="D770" s="2145"/>
      <c r="E770" s="2048"/>
      <c r="F770" s="199"/>
      <c r="G770" s="2225"/>
      <c r="H770" s="2225"/>
      <c r="I770" s="2354"/>
    </row>
    <row r="771" spans="1:11" s="2070" customFormat="1">
      <c r="B771" s="2082"/>
      <c r="C771" s="2052"/>
      <c r="D771" s="2146"/>
      <c r="E771" s="2052"/>
      <c r="F771" s="204"/>
      <c r="G771" s="2225"/>
      <c r="H771" s="2225"/>
      <c r="I771" s="2354"/>
    </row>
    <row r="772" spans="1:11" s="2070" customFormat="1">
      <c r="B772" s="2082"/>
      <c r="C772" s="2052"/>
      <c r="D772" s="2146"/>
      <c r="E772" s="2052"/>
      <c r="F772" s="204"/>
      <c r="G772" s="2225"/>
      <c r="H772" s="2225"/>
      <c r="I772" s="2354"/>
    </row>
    <row r="773" spans="1:11" s="2070" customFormat="1" ht="13.5" thickBot="1">
      <c r="B773" s="2100"/>
      <c r="C773" s="2101"/>
      <c r="D773" s="2105"/>
      <c r="E773" s="2440"/>
      <c r="F773" s="2637"/>
      <c r="G773" s="2225"/>
      <c r="H773" s="2225"/>
      <c r="I773" s="2354"/>
    </row>
    <row r="774" spans="1:11" s="2070" customFormat="1" ht="13.5" thickTop="1">
      <c r="C774" s="2093"/>
      <c r="D774" s="2094"/>
      <c r="E774" s="2093"/>
      <c r="F774" s="2093"/>
      <c r="G774" s="2225"/>
      <c r="H774" s="2225"/>
      <c r="I774" s="2354"/>
    </row>
    <row r="775" spans="1:11" s="2070" customFormat="1" ht="13.5" thickBot="1">
      <c r="B775" s="2644"/>
      <c r="C775" s="2645"/>
      <c r="D775" s="2643"/>
      <c r="E775" s="2642"/>
      <c r="F775" s="2642"/>
      <c r="G775" s="2225"/>
      <c r="H775" s="2225"/>
      <c r="I775" s="2354"/>
    </row>
    <row r="776" spans="1:11" s="2070" customFormat="1" ht="13.5" thickTop="1">
      <c r="B776" s="2080"/>
      <c r="C776" s="2048"/>
      <c r="D776" s="2145"/>
      <c r="E776" s="2048"/>
      <c r="F776" s="199"/>
      <c r="G776" s="2225"/>
      <c r="H776" s="2225"/>
      <c r="I776" s="2354"/>
    </row>
    <row r="777" spans="1:11" s="2070" customFormat="1">
      <c r="B777" s="2082"/>
      <c r="C777" s="2052"/>
      <c r="D777" s="2146"/>
      <c r="E777" s="2052"/>
      <c r="F777" s="204"/>
      <c r="G777" s="2225"/>
      <c r="H777" s="2225"/>
      <c r="I777" s="2354"/>
    </row>
    <row r="778" spans="1:11" s="2070" customFormat="1">
      <c r="B778" s="2082"/>
      <c r="C778" s="2052"/>
      <c r="D778" s="2146"/>
      <c r="E778" s="2052"/>
      <c r="F778" s="204"/>
      <c r="G778" s="2225"/>
      <c r="H778" s="2225"/>
      <c r="I778" s="2354"/>
    </row>
    <row r="779" spans="1:11" s="2070" customFormat="1" ht="13.5" thickBot="1">
      <c r="B779" s="2100"/>
      <c r="C779" s="2101"/>
      <c r="D779" s="2105"/>
      <c r="E779" s="2440"/>
      <c r="F779" s="2637"/>
      <c r="G779" s="2225"/>
      <c r="H779" s="2225"/>
      <c r="I779" s="2354"/>
    </row>
    <row r="780" spans="1:11" s="2070" customFormat="1" ht="13.5" thickTop="1">
      <c r="A780" s="2646"/>
      <c r="B780" s="4903"/>
      <c r="C780" s="4903"/>
      <c r="D780" s="4903"/>
      <c r="E780" s="4903"/>
      <c r="F780" s="4903"/>
      <c r="G780" s="2225"/>
      <c r="H780" s="2225"/>
      <c r="I780" s="2354"/>
    </row>
    <row r="781" spans="1:11" s="2070" customFormat="1">
      <c r="B781" s="2647"/>
      <c r="C781" s="2648"/>
      <c r="D781" s="2648"/>
      <c r="E781" s="2648"/>
      <c r="F781" s="2648"/>
      <c r="G781" s="2225"/>
      <c r="H781" s="2225"/>
      <c r="I781" s="2354"/>
    </row>
    <row r="782" spans="1:11" s="2352" customFormat="1">
      <c r="A782" s="2070"/>
      <c r="B782" s="2649"/>
      <c r="C782" s="2650"/>
      <c r="D782" s="2094"/>
      <c r="E782" s="2093"/>
      <c r="F782" s="2093"/>
      <c r="G782" s="2244"/>
      <c r="H782" s="2244"/>
      <c r="I782" s="2357"/>
    </row>
    <row r="783" spans="1:11" s="2352" customFormat="1">
      <c r="A783" s="2651"/>
      <c r="B783" s="2082"/>
      <c r="C783" s="2234"/>
      <c r="D783" s="2235"/>
      <c r="E783" s="2652"/>
      <c r="F783" s="2653"/>
      <c r="G783" s="2244"/>
      <c r="H783" s="2357"/>
      <c r="K783" s="2244"/>
    </row>
    <row r="784" spans="1:11" s="2352" customFormat="1">
      <c r="A784" s="2651"/>
      <c r="B784" s="2654"/>
      <c r="C784" s="2234"/>
      <c r="D784" s="2235"/>
      <c r="E784" s="2652"/>
      <c r="F784" s="2653"/>
      <c r="G784" s="2244"/>
      <c r="H784" s="2357"/>
      <c r="K784" s="2244"/>
    </row>
    <row r="785" spans="1:11" s="2352" customFormat="1">
      <c r="A785" s="2651"/>
      <c r="B785" s="2082"/>
      <c r="C785" s="2234"/>
      <c r="D785" s="2235"/>
      <c r="E785" s="2655"/>
      <c r="F785" s="2653"/>
      <c r="H785" s="2357"/>
    </row>
    <row r="786" spans="1:11" s="2352" customFormat="1">
      <c r="A786" s="2651"/>
      <c r="B786" s="2082"/>
      <c r="C786" s="2234"/>
      <c r="D786" s="2235"/>
      <c r="E786" s="2653"/>
      <c r="F786" s="2653"/>
      <c r="H786" s="2357"/>
    </row>
    <row r="787" spans="1:11" s="2352" customFormat="1">
      <c r="A787" s="2651"/>
      <c r="B787" s="2107"/>
      <c r="C787" s="2234"/>
      <c r="D787" s="2235"/>
      <c r="E787" s="2653"/>
      <c r="F787" s="2653"/>
      <c r="G787" s="2244"/>
      <c r="H787" s="2244"/>
      <c r="I787" s="2357"/>
      <c r="K787" s="2656"/>
    </row>
    <row r="788" spans="1:11" s="2352" customFormat="1">
      <c r="A788" s="2651"/>
      <c r="B788" s="2107"/>
      <c r="C788" s="2234"/>
      <c r="D788" s="2235"/>
      <c r="E788" s="2653"/>
      <c r="F788" s="2653"/>
      <c r="G788" s="2244"/>
      <c r="H788" s="2244"/>
      <c r="I788" s="2357"/>
      <c r="K788" s="2656"/>
    </row>
    <row r="789" spans="1:11" s="2352" customFormat="1">
      <c r="A789" s="2651"/>
      <c r="B789" s="2107"/>
      <c r="C789" s="2234"/>
      <c r="D789" s="2235"/>
      <c r="E789" s="2653"/>
      <c r="F789" s="2653"/>
      <c r="G789" s="2244"/>
      <c r="H789" s="2244"/>
      <c r="I789" s="2357"/>
      <c r="K789" s="2244"/>
    </row>
    <row r="790" spans="1:11" s="2352" customFormat="1">
      <c r="A790" s="2651"/>
      <c r="B790" s="2107"/>
      <c r="C790" s="2234"/>
      <c r="D790" s="2235"/>
      <c r="E790" s="2653"/>
      <c r="F790" s="2653"/>
      <c r="G790" s="2244"/>
      <c r="I790" s="2357"/>
      <c r="K790" s="2244"/>
    </row>
    <row r="791" spans="1:11" s="2352" customFormat="1">
      <c r="A791" s="2651"/>
      <c r="B791" s="2107"/>
      <c r="C791" s="2234"/>
      <c r="D791" s="2235"/>
      <c r="E791" s="2653"/>
      <c r="F791" s="2653"/>
      <c r="G791" s="2244"/>
      <c r="H791" s="2244"/>
      <c r="I791" s="2357"/>
      <c r="K791" s="2244"/>
    </row>
    <row r="792" spans="1:11" s="2352" customFormat="1">
      <c r="A792" s="2651"/>
      <c r="B792" s="2107"/>
      <c r="C792" s="2234"/>
      <c r="D792" s="2235"/>
      <c r="E792" s="2653"/>
      <c r="F792" s="2653"/>
      <c r="G792" s="2244"/>
      <c r="H792" s="2244"/>
      <c r="I792" s="2357"/>
    </row>
    <row r="793" spans="1:11" s="2352" customFormat="1">
      <c r="A793" s="2651"/>
      <c r="B793" s="2107"/>
      <c r="C793" s="2234"/>
      <c r="D793" s="2235"/>
      <c r="E793" s="2653"/>
      <c r="F793" s="2653"/>
      <c r="G793" s="2244"/>
      <c r="H793" s="2357"/>
      <c r="K793" s="2244"/>
    </row>
    <row r="794" spans="1:11" s="2352" customFormat="1">
      <c r="A794" s="2651"/>
      <c r="B794" s="2107"/>
      <c r="C794" s="2234"/>
      <c r="D794" s="2235"/>
      <c r="E794" s="2653"/>
      <c r="F794" s="2653"/>
      <c r="G794" s="2244"/>
      <c r="H794" s="2244"/>
      <c r="I794" s="2357"/>
      <c r="K794" s="2244"/>
    </row>
    <row r="795" spans="1:11" s="2352" customFormat="1">
      <c r="A795" s="2651"/>
      <c r="B795" s="2657"/>
      <c r="C795" s="2658"/>
      <c r="D795" s="2658"/>
      <c r="E795" s="2658"/>
      <c r="F795" s="2516"/>
      <c r="G795" s="2244"/>
      <c r="H795" s="2244"/>
      <c r="I795" s="2357"/>
    </row>
    <row r="796" spans="1:11" s="2352" customFormat="1">
      <c r="A796" s="2070"/>
      <c r="B796" s="2659"/>
      <c r="C796" s="2660"/>
      <c r="D796" s="2660"/>
      <c r="E796" s="2660"/>
      <c r="F796" s="2538"/>
      <c r="G796" s="2244"/>
      <c r="H796" s="2244"/>
      <c r="I796" s="2357"/>
    </row>
    <row r="797" spans="1:11" s="2352" customFormat="1">
      <c r="A797" s="2070"/>
      <c r="B797" s="2659"/>
      <c r="C797" s="2660"/>
      <c r="D797" s="2660"/>
      <c r="E797" s="2660"/>
      <c r="F797" s="2538"/>
      <c r="G797" s="2244"/>
      <c r="H797" s="2244"/>
      <c r="I797" s="2357"/>
    </row>
    <row r="798" spans="1:11" s="2070" customFormat="1">
      <c r="B798" s="2025"/>
      <c r="C798" s="2412"/>
      <c r="D798" s="2413"/>
      <c r="E798" s="2413"/>
      <c r="F798" s="2413"/>
      <c r="G798" s="2225"/>
      <c r="H798" s="2225"/>
      <c r="I798" s="2354"/>
    </row>
    <row r="799" spans="1:11" s="2070" customFormat="1">
      <c r="B799" s="2661"/>
      <c r="C799" s="2414"/>
      <c r="D799" s="2415"/>
      <c r="E799" s="2414"/>
      <c r="F799" s="2414"/>
      <c r="G799" s="2225"/>
      <c r="H799" s="2225"/>
      <c r="I799" s="2354"/>
    </row>
    <row r="800" spans="1:11" s="2070" customFormat="1">
      <c r="B800" s="2661"/>
      <c r="C800" s="2414"/>
      <c r="D800" s="2415"/>
      <c r="E800" s="2414"/>
      <c r="F800" s="2414"/>
      <c r="G800" s="2225"/>
      <c r="H800" s="2225"/>
      <c r="I800" s="2354"/>
    </row>
    <row r="801" spans="1:9" s="2070" customFormat="1">
      <c r="B801" s="2661"/>
      <c r="C801" s="2662"/>
      <c r="D801" s="2415"/>
      <c r="E801" s="2416"/>
      <c r="F801" s="2414"/>
      <c r="G801" s="2225"/>
      <c r="H801" s="2225"/>
      <c r="I801" s="2354"/>
    </row>
    <row r="802" spans="1:9" s="2070" customFormat="1">
      <c r="B802" s="2663"/>
      <c r="C802" s="2661"/>
      <c r="D802" s="2664"/>
      <c r="E802" s="2259"/>
      <c r="F802" s="2516"/>
      <c r="G802" s="2225"/>
      <c r="H802" s="2225"/>
      <c r="I802" s="2354"/>
    </row>
    <row r="803" spans="1:9" s="2352" customFormat="1">
      <c r="A803" s="2070"/>
      <c r="B803" s="2659"/>
      <c r="C803" s="2660"/>
      <c r="D803" s="2660"/>
      <c r="E803" s="2660"/>
      <c r="F803" s="2538"/>
      <c r="G803" s="2244"/>
      <c r="H803" s="2244"/>
      <c r="I803" s="2357"/>
    </row>
    <row r="804" spans="1:9" s="2665" customFormat="1">
      <c r="B804" s="2560"/>
      <c r="C804" s="2161"/>
      <c r="D804" s="2162"/>
      <c r="E804" s="2161"/>
      <c r="F804" s="2161"/>
    </row>
    <row r="805" spans="1:9" s="2665" customFormat="1">
      <c r="B805" s="2666"/>
      <c r="C805" s="2666"/>
      <c r="D805" s="2666"/>
      <c r="E805" s="2666"/>
      <c r="F805" s="2667"/>
    </row>
    <row r="806" spans="1:9" s="2665" customFormat="1">
      <c r="B806" s="2668"/>
      <c r="C806" s="2669"/>
      <c r="D806" s="2597"/>
      <c r="E806" s="2669"/>
      <c r="F806" s="2670"/>
    </row>
    <row r="807" spans="1:9" s="2665" customFormat="1">
      <c r="B807" s="2671"/>
      <c r="C807" s="2672"/>
      <c r="D807" s="2673"/>
      <c r="E807" s="2672"/>
      <c r="F807" s="2674"/>
    </row>
    <row r="808" spans="1:9" s="2665" customFormat="1">
      <c r="B808" s="2675"/>
      <c r="C808" s="2672"/>
      <c r="D808" s="2673"/>
      <c r="E808" s="2672"/>
      <c r="F808" s="2674"/>
    </row>
    <row r="809" spans="1:9" s="2665" customFormat="1">
      <c r="B809" s="2675"/>
      <c r="C809" s="2672"/>
      <c r="D809" s="2673"/>
      <c r="E809" s="2672"/>
      <c r="F809" s="2674"/>
    </row>
    <row r="810" spans="1:9" s="2665" customFormat="1">
      <c r="B810" s="2676"/>
      <c r="C810" s="2672"/>
      <c r="D810" s="2673"/>
      <c r="E810" s="2672"/>
      <c r="F810" s="2674"/>
    </row>
    <row r="811" spans="1:9" s="2665" customFormat="1">
      <c r="B811" s="2671"/>
      <c r="C811" s="2677"/>
      <c r="D811" s="2673"/>
      <c r="E811" s="2678"/>
      <c r="F811" s="2679"/>
    </row>
    <row r="812" spans="1:9" s="2665" customFormat="1">
      <c r="B812" s="2680"/>
      <c r="C812" s="2681"/>
      <c r="D812" s="2682"/>
      <c r="E812" s="2683"/>
      <c r="F812" s="2435"/>
    </row>
    <row r="813" spans="1:9" s="2070" customFormat="1">
      <c r="B813" s="2684"/>
      <c r="C813" s="2648"/>
      <c r="D813" s="2648"/>
      <c r="E813" s="2685"/>
      <c r="F813" s="2686"/>
      <c r="G813" s="2225"/>
      <c r="H813" s="2225"/>
      <c r="I813" s="2354"/>
    </row>
    <row r="814" spans="1:9" s="2070" customFormat="1">
      <c r="B814" s="2684"/>
      <c r="C814" s="2648"/>
      <c r="D814" s="2648"/>
      <c r="E814" s="2685"/>
      <c r="F814" s="2686"/>
      <c r="G814" s="2225"/>
      <c r="H814" s="2225"/>
      <c r="I814" s="2354"/>
    </row>
    <row r="815" spans="1:9" s="8" customFormat="1">
      <c r="B815" s="2417"/>
      <c r="C815" s="2418"/>
      <c r="D815" s="2418"/>
      <c r="E815" s="2418"/>
      <c r="F815" s="2418"/>
    </row>
    <row r="816" spans="1:9" s="8" customFormat="1">
      <c r="B816" s="2687"/>
      <c r="C816" s="2688"/>
      <c r="D816" s="2688"/>
      <c r="E816" s="2688"/>
      <c r="F816" s="2688"/>
    </row>
    <row r="817" spans="1:10" s="8" customFormat="1">
      <c r="B817" s="40"/>
      <c r="C817" s="2689"/>
      <c r="D817" s="2690"/>
      <c r="E817" s="2689"/>
      <c r="F817" s="2689"/>
    </row>
    <row r="818" spans="1:10" s="8" customFormat="1">
      <c r="B818" s="40"/>
      <c r="C818" s="2689"/>
      <c r="D818" s="2690"/>
      <c r="E818" s="2689"/>
      <c r="F818" s="2689"/>
    </row>
    <row r="819" spans="1:10" s="8" customFormat="1">
      <c r="B819" s="40"/>
      <c r="C819" s="2689"/>
      <c r="D819" s="2690"/>
      <c r="E819" s="2689"/>
      <c r="F819" s="2689"/>
    </row>
    <row r="820" spans="1:10" s="8" customFormat="1">
      <c r="B820" s="40"/>
      <c r="C820" s="2689"/>
      <c r="D820" s="2690"/>
      <c r="E820" s="2689"/>
      <c r="F820" s="2689"/>
    </row>
    <row r="821" spans="1:10" s="8" customFormat="1">
      <c r="B821" s="2691"/>
      <c r="C821" s="2692"/>
      <c r="D821" s="2693"/>
      <c r="E821" s="2694"/>
      <c r="F821" s="2694"/>
    </row>
    <row r="822" spans="1:10" s="8" customFormat="1">
      <c r="B822" s="2695"/>
      <c r="C822" s="2696"/>
      <c r="D822" s="2697"/>
      <c r="E822" s="2695"/>
      <c r="F822" s="2698"/>
    </row>
    <row r="823" spans="1:10" s="8" customFormat="1">
      <c r="B823" s="2695"/>
      <c r="C823" s="2699"/>
      <c r="D823" s="2697"/>
      <c r="E823" s="2695"/>
      <c r="F823" s="2686"/>
    </row>
    <row r="824" spans="1:10" s="2070" customFormat="1" ht="13.5" thickBot="1">
      <c r="A824" s="8"/>
      <c r="B824" s="1738"/>
      <c r="C824" s="2700"/>
      <c r="D824" s="2648"/>
      <c r="E824" s="2701"/>
      <c r="F824" s="2686"/>
      <c r="G824" s="2225"/>
      <c r="H824" s="2225"/>
      <c r="I824" s="2354"/>
    </row>
    <row r="825" spans="1:10" s="2070" customFormat="1" ht="13.5" thickTop="1">
      <c r="A825" s="8"/>
      <c r="B825" s="2702"/>
      <c r="C825" s="2703"/>
      <c r="D825" s="2145"/>
      <c r="E825" s="2703"/>
      <c r="F825" s="2524"/>
      <c r="G825" s="2225"/>
      <c r="H825" s="2225"/>
      <c r="I825" s="2354"/>
    </row>
    <row r="826" spans="1:10" s="2070" customFormat="1">
      <c r="A826" s="8"/>
      <c r="B826" s="2704"/>
      <c r="C826" s="2249"/>
      <c r="D826" s="2146"/>
      <c r="E826" s="2249"/>
      <c r="F826" s="2525"/>
      <c r="G826" s="2225"/>
      <c r="H826" s="2225"/>
      <c r="I826" s="2354"/>
    </row>
    <row r="827" spans="1:10" s="2070" customFormat="1">
      <c r="A827" s="8"/>
      <c r="B827" s="2704"/>
      <c r="C827" s="2249"/>
      <c r="D827" s="2146"/>
      <c r="E827" s="2249"/>
      <c r="F827" s="2525"/>
      <c r="G827" s="2225"/>
      <c r="H827" s="2225"/>
      <c r="I827" s="2354"/>
    </row>
    <row r="828" spans="1:10" s="2070" customFormat="1">
      <c r="A828" s="8"/>
      <c r="B828" s="2704"/>
      <c r="C828" s="2249"/>
      <c r="D828" s="2146"/>
      <c r="E828" s="2249"/>
      <c r="F828" s="2525"/>
      <c r="G828" s="2225"/>
      <c r="H828" s="2225"/>
      <c r="I828" s="2354"/>
    </row>
    <row r="829" spans="1:10" s="2070" customFormat="1" ht="13.5" thickBot="1">
      <c r="A829" s="8"/>
      <c r="B829" s="2705"/>
      <c r="C829" s="2706"/>
      <c r="D829" s="2705"/>
      <c r="E829" s="2707"/>
      <c r="F829" s="2708"/>
      <c r="G829" s="2225"/>
      <c r="H829" s="2225"/>
      <c r="I829" s="2354"/>
    </row>
    <row r="830" spans="1:10" s="2070" customFormat="1" ht="13.5" thickTop="1">
      <c r="A830" s="8"/>
      <c r="B830" s="2709"/>
      <c r="C830" s="2710"/>
      <c r="D830" s="2145"/>
      <c r="E830" s="2711"/>
      <c r="F830" s="2712"/>
      <c r="G830" s="2225"/>
      <c r="H830" s="2225"/>
      <c r="I830" s="2354"/>
    </row>
    <row r="831" spans="1:10" s="2070" customFormat="1">
      <c r="A831" s="8"/>
      <c r="B831" s="2713"/>
      <c r="C831" s="2714"/>
      <c r="D831" s="2148"/>
      <c r="E831" s="2149"/>
      <c r="F831" s="2686"/>
      <c r="G831" s="2225"/>
      <c r="H831" s="2225"/>
      <c r="I831" s="2354"/>
    </row>
    <row r="832" spans="1:10" s="2352" customFormat="1">
      <c r="A832" s="8"/>
      <c r="B832" s="2505"/>
      <c r="C832" s="2583"/>
      <c r="D832" s="2472"/>
      <c r="E832" s="2472"/>
      <c r="F832" s="2472"/>
      <c r="G832" s="2244"/>
      <c r="H832" s="2244"/>
      <c r="I832" s="2244"/>
      <c r="J832" s="2357"/>
    </row>
    <row r="833" spans="1:10" s="2352" customFormat="1">
      <c r="A833" s="2070"/>
      <c r="B833" s="2715"/>
      <c r="C833" s="2589"/>
      <c r="D833" s="2716"/>
      <c r="E833" s="2717"/>
      <c r="F833" s="2718"/>
      <c r="G833" s="2244"/>
      <c r="H833" s="2244"/>
      <c r="I833" s="2244"/>
      <c r="J833" s="2357"/>
    </row>
    <row r="834" spans="1:10" s="2352" customFormat="1">
      <c r="A834" s="2070"/>
      <c r="B834" s="2675"/>
      <c r="C834" s="2589"/>
      <c r="D834" s="2716"/>
      <c r="E834" s="2717"/>
      <c r="F834" s="2718"/>
      <c r="G834" s="2244"/>
      <c r="H834" s="2244"/>
      <c r="I834" s="2244"/>
      <c r="J834" s="2357"/>
    </row>
    <row r="835" spans="1:10" s="2352" customFormat="1">
      <c r="A835" s="2070"/>
      <c r="B835" s="2427"/>
      <c r="C835" s="2589"/>
      <c r="D835" s="2716"/>
      <c r="E835" s="2717"/>
      <c r="F835" s="2718"/>
      <c r="G835" s="2244"/>
      <c r="H835" s="2244"/>
      <c r="I835" s="2244"/>
      <c r="J835" s="2357"/>
    </row>
    <row r="836" spans="1:10" s="2352" customFormat="1">
      <c r="A836" s="2070"/>
      <c r="B836" s="2605"/>
      <c r="C836" s="2589"/>
      <c r="D836" s="2719"/>
      <c r="E836" s="2717"/>
      <c r="F836" s="2718"/>
      <c r="G836" s="2244"/>
      <c r="H836" s="2244"/>
      <c r="I836" s="2244"/>
      <c r="J836" s="2357"/>
    </row>
    <row r="837" spans="1:10" s="2352" customFormat="1">
      <c r="A837" s="2070"/>
      <c r="B837" s="2605"/>
      <c r="C837" s="2589"/>
      <c r="D837" s="2719"/>
      <c r="E837" s="2717"/>
      <c r="F837" s="2720"/>
      <c r="G837" s="2244"/>
      <c r="H837" s="2244"/>
      <c r="I837" s="2244"/>
      <c r="J837" s="2357"/>
    </row>
    <row r="838" spans="1:10" s="2352" customFormat="1">
      <c r="A838" s="2070"/>
      <c r="B838" s="2721"/>
      <c r="C838" s="2589"/>
      <c r="D838" s="2719"/>
      <c r="E838" s="2722"/>
      <c r="F838" s="2720"/>
      <c r="G838" s="2244"/>
      <c r="H838" s="2244"/>
      <c r="I838" s="2244"/>
      <c r="J838" s="2357"/>
    </row>
    <row r="839" spans="1:10" s="2352" customFormat="1" ht="13.5" thickBot="1">
      <c r="A839" s="2070"/>
      <c r="B839" s="2723"/>
      <c r="C839" s="2724"/>
      <c r="D839" s="2719"/>
      <c r="E839" s="2725"/>
      <c r="F839" s="2492"/>
      <c r="G839" s="2244"/>
      <c r="H839" s="2244"/>
      <c r="I839" s="2244"/>
      <c r="J839" s="2357"/>
    </row>
    <row r="840" spans="1:10" s="2352" customFormat="1" ht="13.5" thickTop="1">
      <c r="A840" s="2070"/>
      <c r="B840" s="2147"/>
      <c r="C840" s="2726"/>
      <c r="D840" s="2727"/>
      <c r="E840" s="2250"/>
      <c r="F840" s="2475"/>
      <c r="G840" s="2244"/>
      <c r="H840" s="2244"/>
      <c r="I840" s="2244"/>
      <c r="J840" s="2357"/>
    </row>
    <row r="841" spans="1:10" s="2352" customFormat="1">
      <c r="A841" s="2070"/>
      <c r="B841" s="2147"/>
      <c r="C841" s="2250"/>
      <c r="D841" s="2728"/>
      <c r="E841" s="2250"/>
      <c r="F841" s="2250"/>
      <c r="G841" s="2244"/>
      <c r="H841" s="2244"/>
      <c r="I841" s="2244"/>
      <c r="J841" s="2357"/>
    </row>
    <row r="842" spans="1:10" s="2352" customFormat="1">
      <c r="A842" s="2070"/>
      <c r="B842" s="2147"/>
      <c r="C842" s="2250"/>
      <c r="D842" s="2728"/>
      <c r="E842" s="2250"/>
      <c r="F842" s="2250"/>
      <c r="G842" s="2244"/>
      <c r="H842" s="2244"/>
      <c r="I842" s="2244"/>
      <c r="J842" s="2357"/>
    </row>
    <row r="843" spans="1:10" s="2352" customFormat="1">
      <c r="A843" s="2070"/>
      <c r="B843" s="2147"/>
      <c r="C843" s="2093"/>
      <c r="D843" s="2094"/>
      <c r="E843" s="2093"/>
      <c r="F843" s="2093"/>
      <c r="G843" s="2244"/>
      <c r="H843" s="2244"/>
      <c r="I843" s="2244"/>
      <c r="J843" s="2357"/>
    </row>
    <row r="844" spans="1:10" s="2352" customFormat="1">
      <c r="A844" s="2070"/>
      <c r="B844" s="2729"/>
      <c r="C844" s="2589"/>
      <c r="D844" s="2730"/>
      <c r="E844" s="2717"/>
      <c r="F844" s="2718"/>
      <c r="G844" s="2244"/>
      <c r="H844" s="2244"/>
      <c r="I844" s="2244"/>
      <c r="J844" s="2357"/>
    </row>
    <row r="845" spans="1:10" s="2352" customFormat="1">
      <c r="A845" s="2070"/>
      <c r="B845" s="2731"/>
      <c r="C845" s="2589"/>
      <c r="D845" s="2716"/>
      <c r="E845" s="2717"/>
      <c r="F845" s="2718"/>
      <c r="G845" s="2244"/>
      <c r="H845" s="2244"/>
      <c r="I845" s="2244"/>
      <c r="J845" s="2357"/>
    </row>
    <row r="846" spans="1:10" s="2352" customFormat="1" ht="13.5" thickBot="1">
      <c r="A846" s="2070"/>
      <c r="B846" s="2605"/>
      <c r="C846" s="2589"/>
      <c r="D846" s="2719"/>
      <c r="E846" s="2732"/>
      <c r="F846" s="2492"/>
      <c r="G846" s="2244"/>
      <c r="H846" s="2244"/>
      <c r="I846" s="2244"/>
      <c r="J846" s="2357"/>
    </row>
    <row r="847" spans="1:10" s="2352" customFormat="1" ht="13.5" thickTop="1">
      <c r="A847" s="2070"/>
      <c r="B847" s="2472"/>
      <c r="C847" s="2583"/>
      <c r="D847" s="2727"/>
      <c r="E847" s="2250"/>
      <c r="F847" s="2250"/>
      <c r="G847" s="2244"/>
      <c r="H847" s="2244"/>
      <c r="I847" s="2244"/>
      <c r="J847" s="2357"/>
    </row>
    <row r="848" spans="1:10" s="8" customFormat="1" ht="13.5" thickBot="1">
      <c r="B848" s="2733"/>
      <c r="C848" s="2734"/>
      <c r="D848" s="2735"/>
      <c r="E848" s="2736"/>
      <c r="F848" s="2250"/>
    </row>
    <row r="849" spans="1:9" s="8" customFormat="1" ht="13.5" thickBot="1">
      <c r="B849" s="2737"/>
      <c r="C849" s="2738"/>
      <c r="D849" s="2739"/>
      <c r="E849" s="2739"/>
      <c r="F849" s="2740"/>
    </row>
    <row r="850" spans="1:9" s="8" customFormat="1" ht="13.5" thickTop="1">
      <c r="B850" s="2741"/>
      <c r="C850" s="2742"/>
      <c r="D850" s="2743"/>
      <c r="E850" s="2744"/>
      <c r="F850" s="2745"/>
    </row>
    <row r="851" spans="1:9" s="8" customFormat="1">
      <c r="B851" s="2746"/>
      <c r="C851" s="2742"/>
      <c r="D851" s="2743"/>
      <c r="E851" s="2744"/>
      <c r="F851" s="2745"/>
    </row>
    <row r="852" spans="1:9" s="8" customFormat="1">
      <c r="B852" s="2747"/>
      <c r="C852" s="2748"/>
      <c r="D852" s="2749"/>
      <c r="E852" s="2750"/>
      <c r="F852" s="2751"/>
    </row>
    <row r="853" spans="1:9" s="8" customFormat="1">
      <c r="B853" s="2747"/>
      <c r="C853" s="2748"/>
      <c r="D853" s="2749"/>
      <c r="E853" s="2750"/>
      <c r="F853" s="2751"/>
    </row>
    <row r="854" spans="1:9" s="8" customFormat="1">
      <c r="B854" s="2746"/>
      <c r="C854" s="2742"/>
      <c r="D854" s="2743"/>
      <c r="E854" s="2744"/>
      <c r="F854" s="2745"/>
    </row>
    <row r="855" spans="1:9" s="8" customFormat="1">
      <c r="B855" s="2747"/>
      <c r="C855" s="2748"/>
      <c r="D855" s="2749"/>
      <c r="E855" s="2750"/>
      <c r="F855" s="2751"/>
    </row>
    <row r="856" spans="1:9" s="8" customFormat="1">
      <c r="B856" s="2746"/>
      <c r="C856" s="2742"/>
      <c r="D856" s="2743"/>
      <c r="E856" s="2744"/>
      <c r="F856" s="2745"/>
    </row>
    <row r="857" spans="1:9" s="8" customFormat="1">
      <c r="B857" s="2747"/>
      <c r="C857" s="2748"/>
      <c r="D857" s="2749"/>
      <c r="E857" s="2750"/>
      <c r="F857" s="2751"/>
    </row>
    <row r="858" spans="1:9" s="8" customFormat="1">
      <c r="B858" s="2747"/>
      <c r="C858" s="2748"/>
      <c r="D858" s="2749"/>
      <c r="E858" s="2750"/>
      <c r="F858" s="2751"/>
    </row>
    <row r="859" spans="1:9" s="8" customFormat="1" ht="13.5" thickBot="1">
      <c r="B859" s="2752"/>
      <c r="C859" s="2753"/>
      <c r="D859" s="2754"/>
      <c r="E859" s="2755"/>
      <c r="F859" s="2756"/>
    </row>
    <row r="860" spans="1:9" s="8" customFormat="1" ht="13.5" thickBot="1">
      <c r="B860" s="2757"/>
      <c r="C860" s="4927"/>
      <c r="D860" s="4928"/>
      <c r="E860" s="4929"/>
      <c r="F860" s="2758"/>
    </row>
    <row r="861" spans="1:9" s="8" customFormat="1">
      <c r="B861" s="2757"/>
      <c r="C861" s="2733"/>
      <c r="D861" s="2733"/>
      <c r="E861" s="2733"/>
      <c r="F861" s="2149"/>
    </row>
    <row r="862" spans="1:9" s="2352" customFormat="1" ht="13.5" thickBot="1">
      <c r="A862" s="8"/>
      <c r="B862" s="2147"/>
      <c r="C862" s="2102"/>
      <c r="D862" s="2103"/>
      <c r="E862" s="2072"/>
      <c r="F862" s="2149"/>
      <c r="G862" s="2227"/>
      <c r="H862" s="2244"/>
      <c r="I862" s="2357"/>
    </row>
    <row r="863" spans="1:9" s="2352" customFormat="1" ht="13.5" thickTop="1">
      <c r="A863" s="8"/>
      <c r="B863" s="2759"/>
      <c r="C863" s="2106"/>
      <c r="D863" s="2081"/>
      <c r="E863" s="2760"/>
      <c r="F863" s="2511"/>
      <c r="G863" s="2227"/>
      <c r="H863" s="2244"/>
      <c r="I863" s="2357"/>
    </row>
    <row r="864" spans="1:9" s="2352" customFormat="1">
      <c r="A864" s="8"/>
      <c r="B864" s="2107"/>
      <c r="C864" s="2108"/>
      <c r="D864" s="2083"/>
      <c r="E864" s="2109"/>
      <c r="F864" s="2132"/>
      <c r="G864" s="2227"/>
      <c r="H864" s="2244"/>
      <c r="I864" s="2357"/>
    </row>
    <row r="865" spans="1:9" s="2352" customFormat="1">
      <c r="A865" s="8"/>
      <c r="B865" s="2107"/>
      <c r="C865" s="2108"/>
      <c r="D865" s="2083"/>
      <c r="E865" s="2109"/>
      <c r="F865" s="2132"/>
      <c r="G865" s="2227"/>
      <c r="H865" s="2244"/>
      <c r="I865" s="2357"/>
    </row>
    <row r="866" spans="1:9" s="2352" customFormat="1">
      <c r="A866" s="8"/>
      <c r="B866" s="2110"/>
      <c r="C866" s="2108"/>
      <c r="D866" s="2083"/>
      <c r="E866" s="2111"/>
      <c r="F866" s="2516"/>
      <c r="G866" s="2227"/>
      <c r="H866" s="2244"/>
      <c r="I866" s="2357"/>
    </row>
    <row r="867" spans="1:9" s="2352" customFormat="1">
      <c r="A867" s="8"/>
      <c r="B867" s="2110"/>
      <c r="C867" s="2112"/>
      <c r="D867" s="2083"/>
      <c r="E867" s="2111"/>
      <c r="F867" s="2516"/>
      <c r="G867" s="2227"/>
      <c r="H867" s="2244"/>
      <c r="I867" s="2357"/>
    </row>
    <row r="868" spans="1:9" s="2352" customFormat="1" ht="13.5" thickBot="1">
      <c r="A868" s="8"/>
      <c r="B868" s="2114"/>
      <c r="C868" s="2115"/>
      <c r="D868" s="2091"/>
      <c r="E868" s="2113"/>
      <c r="F868" s="2516"/>
      <c r="G868" s="2227"/>
      <c r="H868" s="2244"/>
      <c r="I868" s="2357"/>
    </row>
    <row r="869" spans="1:9" s="2352" customFormat="1" ht="13.5" thickTop="1">
      <c r="A869" s="8"/>
      <c r="B869" s="2070"/>
      <c r="C869" s="2102"/>
      <c r="D869" s="2103"/>
      <c r="E869" s="2116"/>
      <c r="F869" s="2149"/>
      <c r="G869" s="2227"/>
      <c r="H869" s="2244"/>
      <c r="I869" s="2357"/>
    </row>
    <row r="870" spans="1:9" s="2070" customFormat="1">
      <c r="B870" s="2419"/>
      <c r="C870" s="2419"/>
      <c r="D870" s="2761"/>
      <c r="E870" s="2762"/>
      <c r="F870" s="2763"/>
      <c r="G870" s="2225"/>
      <c r="H870" s="2225"/>
      <c r="I870" s="2354"/>
    </row>
    <row r="871" spans="1:9" s="2070" customFormat="1" ht="13.5" thickBot="1">
      <c r="B871" s="2427"/>
      <c r="C871" s="2764"/>
      <c r="D871" s="2764"/>
      <c r="E871" s="2764"/>
      <c r="F871" s="2764"/>
      <c r="G871" s="2225"/>
      <c r="H871" s="2225"/>
      <c r="I871" s="2354"/>
    </row>
    <row r="872" spans="1:9" s="2070" customFormat="1" ht="13.5" thickTop="1">
      <c r="B872" s="2765"/>
      <c r="C872" s="2766"/>
      <c r="D872" s="2166"/>
      <c r="E872" s="2767"/>
      <c r="F872" s="2768"/>
      <c r="G872" s="2225"/>
      <c r="H872" s="2225"/>
      <c r="I872" s="2354"/>
    </row>
    <row r="873" spans="1:9" s="2070" customFormat="1">
      <c r="B873" s="2769"/>
      <c r="C873" s="2770"/>
      <c r="D873" s="2771"/>
      <c r="E873" s="2772"/>
      <c r="F873" s="2773"/>
      <c r="G873" s="2225"/>
      <c r="H873" s="2225"/>
      <c r="I873" s="2354"/>
    </row>
    <row r="874" spans="1:9" s="2070" customFormat="1" ht="13.5" thickBot="1">
      <c r="B874" s="2774"/>
      <c r="C874" s="2427"/>
      <c r="D874" s="2439"/>
      <c r="E874" s="2113"/>
      <c r="F874" s="2516"/>
      <c r="G874" s="2225"/>
      <c r="H874" s="2225"/>
      <c r="I874" s="2354"/>
    </row>
    <row r="875" spans="1:9" s="2070" customFormat="1" ht="13.5" thickTop="1">
      <c r="B875" s="2775"/>
      <c r="C875" s="2776"/>
      <c r="D875" s="2777"/>
      <c r="E875" s="2778"/>
      <c r="F875" s="2779"/>
      <c r="G875" s="2225"/>
      <c r="H875" s="2225"/>
      <c r="I875" s="2354"/>
    </row>
    <row r="876" spans="1:9" s="2070" customFormat="1">
      <c r="B876" s="2775"/>
      <c r="C876" s="2776"/>
      <c r="D876" s="2777"/>
      <c r="E876" s="2778"/>
      <c r="F876" s="2779"/>
      <c r="G876" s="2225"/>
      <c r="H876" s="2225"/>
      <c r="I876" s="2354"/>
    </row>
    <row r="877" spans="1:9" s="2070" customFormat="1" ht="13.5" thickBot="1">
      <c r="B877" s="2780"/>
      <c r="C877" s="2781"/>
      <c r="D877" s="2735"/>
      <c r="E877" s="2736"/>
      <c r="F877" s="2781"/>
      <c r="G877" s="2225"/>
      <c r="H877" s="2225"/>
      <c r="I877" s="2354"/>
    </row>
    <row r="878" spans="1:9" s="2070" customFormat="1" ht="13.5" thickBot="1">
      <c r="B878" s="2386"/>
      <c r="C878" s="2387"/>
      <c r="D878" s="2388"/>
      <c r="E878" s="2388"/>
      <c r="F878" s="2389"/>
      <c r="G878" s="2225"/>
      <c r="H878" s="2225"/>
      <c r="I878" s="2354"/>
    </row>
    <row r="879" spans="1:9" s="2070" customFormat="1" ht="13.5" thickTop="1">
      <c r="B879" s="2390"/>
      <c r="C879" s="2391"/>
      <c r="D879" s="2392"/>
      <c r="E879" s="2393"/>
      <c r="F879" s="2394"/>
      <c r="G879" s="2225"/>
      <c r="H879" s="2225"/>
      <c r="I879" s="2354"/>
    </row>
    <row r="880" spans="1:9" s="2070" customFormat="1">
      <c r="B880" s="2782"/>
      <c r="C880" s="2783"/>
      <c r="D880" s="2784"/>
      <c r="E880" s="2428"/>
      <c r="F880" s="2428"/>
      <c r="G880" s="2225"/>
      <c r="H880" s="2225"/>
      <c r="I880" s="2354"/>
    </row>
    <row r="881" spans="2:9" s="2070" customFormat="1">
      <c r="B881" s="2785"/>
      <c r="C881" s="2786"/>
      <c r="D881" s="2784"/>
      <c r="E881" s="2428"/>
      <c r="F881" s="2428"/>
      <c r="G881" s="2225"/>
      <c r="H881" s="2225"/>
      <c r="I881" s="2354"/>
    </row>
    <row r="882" spans="2:9" s="2070" customFormat="1">
      <c r="B882" s="2785"/>
      <c r="C882" s="2786"/>
      <c r="D882" s="2784"/>
      <c r="E882" s="2428"/>
      <c r="F882" s="2428"/>
      <c r="G882" s="2225"/>
      <c r="H882" s="2225"/>
      <c r="I882" s="2354"/>
    </row>
    <row r="883" spans="2:9" s="2070" customFormat="1">
      <c r="B883" s="2785"/>
      <c r="C883" s="2786"/>
      <c r="D883" s="2784"/>
      <c r="E883" s="2428"/>
      <c r="F883" s="2428"/>
      <c r="G883" s="2225"/>
      <c r="H883" s="2225"/>
      <c r="I883" s="2354"/>
    </row>
    <row r="884" spans="2:9" s="2070" customFormat="1">
      <c r="B884" s="2785"/>
      <c r="C884" s="2786"/>
      <c r="D884" s="2784"/>
      <c r="E884" s="2428"/>
      <c r="F884" s="2428"/>
      <c r="G884" s="2225"/>
      <c r="H884" s="2225"/>
      <c r="I884" s="2354"/>
    </row>
    <row r="885" spans="2:9" s="2070" customFormat="1">
      <c r="B885" s="2785"/>
      <c r="C885" s="2786"/>
      <c r="D885" s="2784"/>
      <c r="E885" s="2428"/>
      <c r="F885" s="2428"/>
      <c r="G885" s="2225"/>
      <c r="H885" s="2225"/>
      <c r="I885" s="2354"/>
    </row>
    <row r="886" spans="2:9" s="2070" customFormat="1">
      <c r="B886" s="2787"/>
      <c r="C886" s="2787"/>
      <c r="D886" s="2784"/>
      <c r="E886" s="2451"/>
      <c r="F886" s="2788"/>
      <c r="G886" s="2225"/>
      <c r="H886" s="2225"/>
      <c r="I886" s="2354"/>
    </row>
    <row r="887" spans="2:9" s="2070" customFormat="1">
      <c r="B887" s="2789"/>
      <c r="C887" s="2790"/>
      <c r="D887" s="2788"/>
      <c r="E887" s="2450"/>
      <c r="F887" s="2450"/>
      <c r="G887" s="2225"/>
      <c r="H887" s="2225"/>
      <c r="I887" s="2354"/>
    </row>
    <row r="888" spans="2:9" s="2070" customFormat="1" ht="13.5" thickBot="1">
      <c r="B888" s="2791"/>
      <c r="C888" s="2792"/>
      <c r="D888" s="2793"/>
      <c r="E888" s="2794"/>
      <c r="F888" s="2795"/>
      <c r="G888" s="2225"/>
      <c r="H888" s="2225"/>
      <c r="I888" s="2354"/>
    </row>
    <row r="889" spans="2:9" s="2070" customFormat="1" ht="13.5" thickBot="1">
      <c r="B889" s="2410"/>
      <c r="C889" s="4920"/>
      <c r="D889" s="4921"/>
      <c r="E889" s="4922"/>
      <c r="F889" s="2516"/>
      <c r="G889" s="2225"/>
      <c r="H889" s="2225"/>
      <c r="I889" s="2354"/>
    </row>
    <row r="890" spans="2:9" s="2070" customFormat="1">
      <c r="B890" s="2775"/>
      <c r="C890" s="2776"/>
      <c r="D890" s="2777"/>
      <c r="E890" s="2778"/>
      <c r="F890" s="2779"/>
      <c r="G890" s="2225"/>
      <c r="H890" s="2225"/>
      <c r="I890" s="2354"/>
    </row>
    <row r="891" spans="2:9" s="2070" customFormat="1" ht="13.5" thickBot="1">
      <c r="B891" s="2780"/>
      <c r="C891" s="2781"/>
      <c r="D891" s="2735"/>
      <c r="E891" s="2736"/>
      <c r="F891" s="2781"/>
      <c r="G891" s="2225"/>
      <c r="H891" s="2225"/>
      <c r="I891" s="2354"/>
    </row>
    <row r="892" spans="2:9" s="2070" customFormat="1" ht="13.5" thickBot="1">
      <c r="B892" s="2386"/>
      <c r="C892" s="2387"/>
      <c r="D892" s="2388"/>
      <c r="E892" s="2388"/>
      <c r="F892" s="2389"/>
      <c r="G892" s="2225"/>
      <c r="H892" s="2225"/>
      <c r="I892" s="2354"/>
    </row>
    <row r="893" spans="2:9" s="2070" customFormat="1" ht="13.5" thickTop="1">
      <c r="B893" s="2396"/>
      <c r="C893" s="2397"/>
      <c r="D893" s="2398"/>
      <c r="E893" s="2399"/>
      <c r="F893" s="2400"/>
      <c r="G893" s="2225"/>
      <c r="H893" s="2225"/>
      <c r="I893" s="2354"/>
    </row>
    <row r="894" spans="2:9" s="2070" customFormat="1">
      <c r="B894" s="2396"/>
      <c r="C894" s="3126"/>
      <c r="D894" s="2398"/>
      <c r="E894" s="3127"/>
      <c r="F894" s="3128"/>
      <c r="G894" s="2225"/>
      <c r="H894" s="2225"/>
      <c r="I894" s="2354"/>
    </row>
    <row r="895" spans="2:9" s="2070" customFormat="1">
      <c r="B895" s="2396"/>
      <c r="C895" s="3126"/>
      <c r="D895" s="2398"/>
      <c r="E895" s="3127"/>
      <c r="F895" s="3128"/>
      <c r="G895" s="2225"/>
      <c r="H895" s="2225"/>
      <c r="I895" s="2354"/>
    </row>
    <row r="896" spans="2:9" s="2070" customFormat="1">
      <c r="B896" s="2396"/>
      <c r="C896" s="3126"/>
      <c r="D896" s="2398"/>
      <c r="E896" s="3127"/>
      <c r="F896" s="3128"/>
      <c r="G896" s="2225"/>
      <c r="H896" s="2225"/>
      <c r="I896" s="2354"/>
    </row>
    <row r="897" spans="1:10" s="2070" customFormat="1">
      <c r="B897" s="2401"/>
      <c r="C897" s="3129"/>
      <c r="D897" s="2403"/>
      <c r="E897" s="3130"/>
      <c r="F897" s="3128"/>
      <c r="G897" s="2225"/>
      <c r="H897" s="2225"/>
      <c r="I897" s="2354"/>
    </row>
    <row r="898" spans="1:10" s="2070" customFormat="1">
      <c r="B898" s="2396"/>
      <c r="C898" s="3126"/>
      <c r="D898" s="2398"/>
      <c r="E898" s="3127"/>
      <c r="F898" s="3128"/>
      <c r="G898" s="2225"/>
      <c r="H898" s="2225"/>
      <c r="I898" s="2354"/>
    </row>
    <row r="899" spans="1:10" s="2070" customFormat="1">
      <c r="B899" s="2396"/>
      <c r="C899" s="3126"/>
      <c r="D899" s="2398"/>
      <c r="E899" s="3127"/>
      <c r="F899" s="3128"/>
      <c r="G899" s="2225"/>
      <c r="H899" s="2225"/>
      <c r="I899" s="2354"/>
    </row>
    <row r="900" spans="1:10" s="2070" customFormat="1">
      <c r="B900" s="2796"/>
      <c r="C900" s="2509"/>
      <c r="D900" s="2509"/>
      <c r="E900" s="2509"/>
      <c r="F900" s="3131"/>
      <c r="G900" s="2225"/>
      <c r="H900" s="2225"/>
      <c r="I900" s="2354"/>
    </row>
    <row r="901" spans="1:10" s="2070" customFormat="1" ht="13.5" thickBot="1">
      <c r="B901" s="2405"/>
      <c r="C901" s="3132"/>
      <c r="D901" s="2407"/>
      <c r="E901" s="3133"/>
      <c r="F901" s="3134"/>
      <c r="G901" s="2225"/>
      <c r="H901" s="2225"/>
      <c r="I901" s="2354"/>
    </row>
    <row r="902" spans="1:10" s="2070" customFormat="1" ht="13.5" thickBot="1">
      <c r="B902" s="2395"/>
      <c r="C902" s="3135"/>
      <c r="D902" s="2392"/>
      <c r="E902" s="2393"/>
      <c r="F902" s="3136"/>
      <c r="G902" s="2225"/>
      <c r="H902" s="2225"/>
      <c r="I902" s="2354"/>
    </row>
    <row r="903" spans="1:10" s="2070" customFormat="1" ht="13.5" thickBot="1">
      <c r="B903" s="2797"/>
      <c r="C903" s="4930"/>
      <c r="D903" s="4931"/>
      <c r="E903" s="4932"/>
      <c r="F903" s="2516"/>
      <c r="G903" s="2225"/>
      <c r="H903" s="2225"/>
      <c r="I903" s="2354"/>
    </row>
    <row r="904" spans="1:10" s="2070" customFormat="1">
      <c r="B904" s="2410"/>
      <c r="C904" s="2780"/>
      <c r="D904" s="2780"/>
      <c r="E904" s="2780"/>
      <c r="F904" s="2798"/>
      <c r="G904" s="2225"/>
      <c r="H904" s="2225"/>
      <c r="I904" s="2354"/>
    </row>
    <row r="905" spans="1:10" s="8" customFormat="1">
      <c r="B905" s="2776"/>
      <c r="C905" s="2421"/>
      <c r="D905" s="2421"/>
      <c r="E905" s="2799"/>
      <c r="F905" s="2798"/>
    </row>
    <row r="906" spans="1:10" s="2070" customFormat="1">
      <c r="A906" s="2068"/>
      <c r="B906" s="2800"/>
      <c r="C906" s="2801"/>
      <c r="D906" s="2146"/>
      <c r="E906" s="2111"/>
      <c r="F906" s="2802"/>
      <c r="G906" s="2225"/>
      <c r="H906" s="2225"/>
      <c r="I906" s="2354"/>
    </row>
    <row r="907" spans="1:10" s="2070" customFormat="1">
      <c r="A907" s="2068"/>
      <c r="B907" s="2137"/>
      <c r="C907" s="2801"/>
      <c r="D907" s="2146"/>
      <c r="E907" s="2111"/>
      <c r="F907" s="2803"/>
      <c r="G907" s="2225"/>
      <c r="H907" s="2225"/>
      <c r="I907" s="2354"/>
    </row>
    <row r="908" spans="1:10" s="2070" customFormat="1">
      <c r="A908" s="2068"/>
      <c r="B908" s="2137"/>
      <c r="C908" s="2801"/>
      <c r="D908" s="2146"/>
      <c r="E908" s="2111"/>
      <c r="F908" s="2803"/>
      <c r="G908" s="2225"/>
      <c r="H908" s="2225"/>
      <c r="I908" s="2354"/>
    </row>
    <row r="909" spans="1:10" s="2070" customFormat="1">
      <c r="A909" s="2068"/>
      <c r="B909" s="2137"/>
      <c r="C909" s="2801"/>
      <c r="D909" s="2146"/>
      <c r="E909" s="2111"/>
      <c r="F909" s="2803"/>
      <c r="G909" s="2225"/>
      <c r="H909" s="2225"/>
      <c r="I909" s="2354"/>
      <c r="J909" s="2225"/>
    </row>
    <row r="910" spans="1:10" s="2070" customFormat="1">
      <c r="A910" s="2068"/>
      <c r="B910" s="2137"/>
      <c r="C910" s="2801"/>
      <c r="D910" s="2146"/>
      <c r="E910" s="2111"/>
      <c r="F910" s="2804"/>
      <c r="G910" s="2225"/>
      <c r="H910" s="2225"/>
      <c r="I910" s="2354"/>
      <c r="J910" s="2225"/>
    </row>
    <row r="911" spans="1:10" s="2070" customFormat="1" ht="13.5" thickBot="1">
      <c r="A911" s="2099"/>
      <c r="B911" s="2805"/>
      <c r="C911" s="2806"/>
      <c r="D911" s="2807"/>
      <c r="E911" s="2143"/>
      <c r="F911" s="2808"/>
      <c r="G911" s="2225"/>
      <c r="H911" s="2225"/>
      <c r="I911" s="2354"/>
    </row>
    <row r="912" spans="1:10" s="2070" customFormat="1" ht="13.5" thickTop="1">
      <c r="B912" s="2684"/>
      <c r="C912" s="2648"/>
      <c r="D912" s="2648"/>
      <c r="E912" s="2685"/>
      <c r="F912" s="2686"/>
      <c r="G912" s="2225"/>
      <c r="H912" s="2225"/>
      <c r="I912" s="2354"/>
    </row>
    <row r="913" spans="1:9" s="2352" customFormat="1">
      <c r="A913" s="2070"/>
      <c r="B913" s="2147"/>
      <c r="C913" s="2093"/>
      <c r="D913" s="2094"/>
      <c r="E913" s="2093"/>
      <c r="F913" s="2093"/>
      <c r="G913" s="2244"/>
      <c r="H913" s="2244"/>
      <c r="I913" s="2357"/>
    </row>
    <row r="914" spans="1:9" s="2352" customFormat="1">
      <c r="A914" s="2070"/>
      <c r="B914" s="2107"/>
      <c r="C914" s="2234"/>
      <c r="D914" s="2235"/>
      <c r="E914" s="2606"/>
      <c r="F914" s="2653"/>
      <c r="G914" s="2244"/>
      <c r="H914" s="2244"/>
      <c r="I914" s="2357"/>
    </row>
    <row r="915" spans="1:9" s="2352" customFormat="1">
      <c r="A915" s="2070"/>
      <c r="B915" s="2243"/>
      <c r="C915" s="2234"/>
      <c r="D915" s="2235"/>
      <c r="E915" s="2606"/>
      <c r="F915" s="2653"/>
      <c r="G915" s="2244"/>
      <c r="H915" s="2244"/>
      <c r="I915" s="2357"/>
    </row>
    <row r="916" spans="1:9" s="2352" customFormat="1">
      <c r="A916" s="2070"/>
      <c r="B916" s="2243"/>
      <c r="C916" s="2234"/>
      <c r="D916" s="2235"/>
      <c r="E916" s="2606"/>
      <c r="F916" s="2653"/>
      <c r="G916" s="2244"/>
      <c r="H916" s="2244"/>
      <c r="I916" s="2357"/>
    </row>
    <row r="917" spans="1:9" s="2352" customFormat="1">
      <c r="A917" s="2070"/>
      <c r="B917" s="2107"/>
      <c r="C917" s="2109"/>
      <c r="D917" s="2146"/>
      <c r="E917" s="2652"/>
      <c r="F917" s="2653"/>
      <c r="G917" s="2244"/>
      <c r="H917" s="2244"/>
      <c r="I917" s="2357"/>
    </row>
    <row r="918" spans="1:9" s="2352" customFormat="1">
      <c r="A918" s="2070"/>
      <c r="B918" s="2107"/>
      <c r="C918" s="2109"/>
      <c r="D918" s="2146"/>
      <c r="E918" s="2809"/>
      <c r="F918" s="2732"/>
      <c r="G918" s="2244"/>
      <c r="H918" s="2244"/>
      <c r="I918" s="2357"/>
    </row>
    <row r="919" spans="1:9" s="2352" customFormat="1">
      <c r="A919" s="2070"/>
      <c r="B919" s="2652"/>
      <c r="C919" s="2234"/>
      <c r="D919" s="2235"/>
      <c r="E919" s="2111"/>
      <c r="F919" s="2516"/>
      <c r="G919" s="2244"/>
      <c r="H919" s="2244"/>
      <c r="I919" s="2357"/>
    </row>
    <row r="920" spans="1:9" s="2352" customFormat="1">
      <c r="A920" s="2070"/>
      <c r="B920" s="2810"/>
      <c r="C920" s="2811"/>
      <c r="D920" s="1909"/>
      <c r="E920" s="2149"/>
      <c r="F920" s="2812"/>
      <c r="G920" s="2244"/>
      <c r="H920" s="2244"/>
      <c r="I920" s="2357"/>
    </row>
    <row r="921" spans="1:9" s="2352" customFormat="1">
      <c r="A921" s="2070"/>
      <c r="B921" s="2659"/>
      <c r="C921" s="2660"/>
      <c r="D921" s="2660"/>
      <c r="E921" s="2660"/>
      <c r="F921" s="2538"/>
      <c r="G921" s="2244"/>
      <c r="H921" s="2244"/>
      <c r="I921" s="2357"/>
    </row>
    <row r="922" spans="1:9" s="2070" customFormat="1">
      <c r="B922" s="2813"/>
      <c r="C922" s="2814"/>
      <c r="D922" s="2814"/>
      <c r="E922" s="2814"/>
      <c r="F922" s="2814"/>
      <c r="G922" s="2225"/>
    </row>
    <row r="923" spans="1:9" s="2070" customFormat="1">
      <c r="B923" s="2815"/>
      <c r="C923" s="2814"/>
      <c r="D923" s="2814"/>
      <c r="E923" s="2814"/>
      <c r="F923" s="2814"/>
      <c r="G923" s="2225"/>
    </row>
    <row r="924" spans="1:9" s="2070" customFormat="1">
      <c r="B924" s="2815"/>
      <c r="C924" s="2814"/>
      <c r="D924" s="2816"/>
      <c r="E924" s="2814"/>
      <c r="F924" s="2814"/>
      <c r="G924" s="2225"/>
    </row>
    <row r="925" spans="1:9" s="2070" customFormat="1">
      <c r="B925" s="2815"/>
      <c r="C925" s="2814"/>
      <c r="D925" s="2816"/>
      <c r="E925" s="2814"/>
      <c r="F925" s="2814"/>
      <c r="G925" s="2225"/>
    </row>
    <row r="926" spans="1:9" s="2070" customFormat="1">
      <c r="B926" s="2815"/>
      <c r="C926" s="2814"/>
      <c r="D926" s="2816"/>
      <c r="E926" s="2814"/>
      <c r="F926" s="2814"/>
      <c r="G926" s="2225"/>
    </row>
    <row r="927" spans="1:9" s="2070" customFormat="1">
      <c r="B927" s="2815"/>
      <c r="C927" s="2814"/>
      <c r="D927" s="2816"/>
      <c r="E927" s="2814"/>
      <c r="F927" s="2814"/>
      <c r="G927" s="2225"/>
    </row>
    <row r="928" spans="1:9" s="2070" customFormat="1">
      <c r="B928" s="2815"/>
      <c r="C928" s="2814"/>
      <c r="D928" s="2816"/>
      <c r="E928" s="2814"/>
      <c r="F928" s="2814"/>
      <c r="G928" s="2225"/>
    </row>
    <row r="929" spans="2:9" s="2070" customFormat="1">
      <c r="B929" s="2815"/>
      <c r="C929" s="2814"/>
      <c r="D929" s="2816"/>
      <c r="E929" s="2814"/>
      <c r="F929" s="2814"/>
      <c r="G929" s="2225"/>
      <c r="H929" s="2225"/>
      <c r="I929" s="2354"/>
    </row>
    <row r="930" spans="2:9" s="2070" customFormat="1">
      <c r="B930" s="2815"/>
      <c r="C930" s="4917"/>
      <c r="D930" s="4917"/>
      <c r="E930" s="4917"/>
      <c r="F930" s="2817"/>
      <c r="G930" s="2225"/>
      <c r="H930" s="2225"/>
      <c r="I930" s="2354"/>
    </row>
    <row r="931" spans="2:9" s="2070" customFormat="1">
      <c r="B931" s="2818"/>
      <c r="C931" s="4917"/>
      <c r="D931" s="4917"/>
      <c r="E931" s="4917"/>
      <c r="F931" s="2817"/>
      <c r="G931" s="2225"/>
      <c r="H931" s="2225"/>
      <c r="I931" s="2354"/>
    </row>
    <row r="932" spans="2:9" s="2070" customFormat="1">
      <c r="B932" s="2819"/>
      <c r="C932" s="2820"/>
      <c r="D932" s="2820"/>
      <c r="E932" s="2820"/>
      <c r="F932" s="2538"/>
      <c r="G932" s="2225"/>
      <c r="H932" s="2225"/>
      <c r="I932" s="2354"/>
    </row>
    <row r="933" spans="2:9" s="2070" customFormat="1">
      <c r="B933" s="2819"/>
      <c r="C933" s="2820"/>
      <c r="D933" s="2820"/>
      <c r="E933" s="2820"/>
      <c r="F933" s="2538"/>
      <c r="G933" s="2225"/>
      <c r="H933" s="2225"/>
      <c r="I933" s="2354"/>
    </row>
    <row r="934" spans="2:9" s="2070" customFormat="1">
      <c r="B934" s="2819"/>
      <c r="C934" s="2820"/>
      <c r="D934" s="2820"/>
      <c r="E934" s="2820"/>
      <c r="F934" s="2538"/>
      <c r="G934" s="2225"/>
      <c r="H934" s="2225"/>
      <c r="I934" s="2354"/>
    </row>
    <row r="935" spans="2:9" s="2070" customFormat="1">
      <c r="B935" s="2821"/>
      <c r="C935" s="2822"/>
      <c r="D935" s="2822"/>
      <c r="E935" s="2822"/>
      <c r="F935" s="2822"/>
      <c r="G935" s="2225"/>
      <c r="H935" s="2225"/>
      <c r="I935" s="2354"/>
    </row>
    <row r="936" spans="2:9" s="2070" customFormat="1">
      <c r="B936" s="2823"/>
      <c r="C936" s="2822"/>
      <c r="D936" s="2822"/>
      <c r="E936" s="2822"/>
      <c r="F936" s="2822"/>
      <c r="G936" s="2225"/>
      <c r="H936" s="2225"/>
      <c r="I936" s="2354"/>
    </row>
    <row r="937" spans="2:9" s="2070" customFormat="1">
      <c r="B937" s="2815"/>
      <c r="C937" s="2814"/>
      <c r="D937" s="2816"/>
      <c r="E937" s="2814"/>
      <c r="F937" s="2814"/>
      <c r="G937" s="2225"/>
      <c r="H937" s="2225"/>
      <c r="I937" s="2354"/>
    </row>
    <row r="938" spans="2:9" s="2070" customFormat="1">
      <c r="B938" s="2815"/>
      <c r="C938" s="2814"/>
      <c r="D938" s="2816"/>
      <c r="E938" s="2814"/>
      <c r="F938" s="2814"/>
      <c r="G938" s="2225"/>
      <c r="H938" s="2225"/>
      <c r="I938" s="2354"/>
    </row>
    <row r="939" spans="2:9" s="2070" customFormat="1">
      <c r="B939" s="2815"/>
      <c r="C939" s="2814"/>
      <c r="D939" s="2816"/>
      <c r="E939" s="2814"/>
      <c r="F939" s="2814"/>
      <c r="G939" s="2225"/>
      <c r="H939" s="2225"/>
      <c r="I939" s="2354"/>
    </row>
    <row r="940" spans="2:9" s="2070" customFormat="1">
      <c r="B940" s="2815"/>
      <c r="C940" s="4917"/>
      <c r="D940" s="4917"/>
      <c r="E940" s="4917"/>
      <c r="F940" s="2824"/>
      <c r="G940" s="2225"/>
      <c r="H940" s="2225"/>
      <c r="I940" s="2354"/>
    </row>
    <row r="941" spans="2:9" s="2070" customFormat="1">
      <c r="B941" s="2818"/>
      <c r="C941" s="4917"/>
      <c r="D941" s="4917"/>
      <c r="E941" s="4917"/>
      <c r="F941" s="2824"/>
      <c r="G941" s="2225"/>
      <c r="H941" s="2225"/>
      <c r="I941" s="2354"/>
    </row>
    <row r="942" spans="2:9" s="2070" customFormat="1">
      <c r="B942" s="2243"/>
      <c r="C942" s="4917"/>
      <c r="D942" s="4917"/>
      <c r="E942" s="4917"/>
      <c r="F942" s="2817"/>
      <c r="G942" s="2225"/>
      <c r="H942" s="2225"/>
      <c r="I942" s="2354"/>
    </row>
    <row r="943" spans="2:9" s="2070" customFormat="1">
      <c r="B943" s="2819"/>
      <c r="C943" s="2820"/>
      <c r="D943" s="2820"/>
      <c r="E943" s="2820"/>
      <c r="F943" s="2538"/>
      <c r="G943" s="2225"/>
      <c r="H943" s="2225"/>
      <c r="I943" s="2354"/>
    </row>
    <row r="944" spans="2:9" s="2070" customFormat="1">
      <c r="B944" s="2819"/>
      <c r="C944" s="2820"/>
      <c r="D944" s="2820"/>
      <c r="E944" s="2820"/>
      <c r="F944" s="2538"/>
      <c r="G944" s="2225"/>
      <c r="H944" s="2225"/>
      <c r="I944" s="2354"/>
    </row>
    <row r="945" spans="1:16" s="2352" customFormat="1" ht="13.5" thickBot="1">
      <c r="A945" s="2070"/>
      <c r="B945" s="2104"/>
      <c r="C945" s="2102"/>
      <c r="D945" s="2103"/>
      <c r="E945" s="2072"/>
      <c r="F945" s="2149"/>
      <c r="G945" s="2227"/>
      <c r="H945" s="2244"/>
      <c r="I945" s="2244"/>
      <c r="J945" s="2357"/>
    </row>
    <row r="946" spans="1:16" s="2352" customFormat="1" ht="13.5" thickTop="1">
      <c r="A946" s="2070"/>
      <c r="B946" s="2080"/>
      <c r="C946" s="2106"/>
      <c r="D946" s="2081"/>
      <c r="E946" s="2048"/>
      <c r="F946" s="2511"/>
      <c r="G946" s="2227"/>
      <c r="H946" s="2244"/>
      <c r="I946" s="2244"/>
      <c r="J946" s="2357"/>
    </row>
    <row r="947" spans="1:16" s="2352" customFormat="1">
      <c r="A947" s="2070"/>
      <c r="B947" s="2082"/>
      <c r="C947" s="2108"/>
      <c r="D947" s="2083"/>
      <c r="E947" s="2052"/>
      <c r="F947" s="2132"/>
      <c r="G947" s="2227"/>
      <c r="H947" s="2244"/>
      <c r="I947" s="2244"/>
      <c r="J947" s="2357"/>
    </row>
    <row r="948" spans="1:16" s="2352" customFormat="1" ht="13.5" thickBot="1">
      <c r="A948" s="2070"/>
      <c r="B948" s="2100"/>
      <c r="C948" s="2115"/>
      <c r="D948" s="2091"/>
      <c r="E948" s="2092"/>
      <c r="F948" s="2533"/>
      <c r="G948" s="2227"/>
      <c r="H948" s="2244"/>
      <c r="I948" s="2244"/>
      <c r="J948" s="2357"/>
    </row>
    <row r="949" spans="1:16" s="2070" customFormat="1" ht="13.5" thickTop="1">
      <c r="B949" s="2819"/>
      <c r="C949" s="2820"/>
      <c r="D949" s="2820"/>
      <c r="E949" s="2820"/>
      <c r="F949" s="2538"/>
      <c r="G949" s="2225"/>
      <c r="H949" s="2225"/>
      <c r="I949" s="2354"/>
    </row>
    <row r="950" spans="1:16" s="2070" customFormat="1">
      <c r="B950" s="2819"/>
      <c r="C950" s="2820"/>
      <c r="D950" s="2820"/>
      <c r="E950" s="2820"/>
      <c r="F950" s="2538"/>
      <c r="G950" s="2225"/>
      <c r="H950" s="2225"/>
      <c r="I950" s="2354"/>
    </row>
    <row r="951" spans="1:16" s="2070" customFormat="1">
      <c r="B951" s="2819"/>
      <c r="C951" s="2820"/>
      <c r="D951" s="2820"/>
      <c r="E951" s="2820"/>
      <c r="F951" s="2538"/>
      <c r="G951" s="2225"/>
      <c r="H951" s="2225"/>
      <c r="I951" s="2354"/>
    </row>
    <row r="952" spans="1:16" s="2352" customFormat="1" ht="13.5" thickBot="1">
      <c r="A952" s="2070"/>
      <c r="B952" s="2104"/>
      <c r="C952" s="2102"/>
      <c r="D952" s="2103"/>
      <c r="E952" s="2072"/>
      <c r="F952" s="2149"/>
      <c r="G952" s="2227"/>
      <c r="H952" s="2244"/>
      <c r="I952" s="2244"/>
      <c r="J952" s="2357"/>
    </row>
    <row r="953" spans="1:16" s="2827" customFormat="1" ht="13.5" thickTop="1">
      <c r="A953" s="2352"/>
      <c r="B953" s="2825"/>
      <c r="C953" s="2826"/>
      <c r="D953" s="2826"/>
      <c r="E953" s="2826"/>
      <c r="F953" s="2826"/>
      <c r="G953" s="2352"/>
      <c r="K953" s="2352"/>
      <c r="L953" s="2352"/>
      <c r="M953" s="2352"/>
      <c r="N953" s="2352"/>
      <c r="O953" s="2352"/>
      <c r="P953" s="2352"/>
    </row>
    <row r="954" spans="1:16" s="2827" customFormat="1">
      <c r="A954" s="2352"/>
      <c r="B954" s="2825"/>
      <c r="C954" s="2828"/>
      <c r="D954" s="2829"/>
      <c r="E954" s="2830"/>
      <c r="F954" s="2830"/>
      <c r="G954" s="2352"/>
      <c r="K954" s="2352"/>
      <c r="L954" s="2352"/>
      <c r="M954" s="2352"/>
      <c r="N954" s="2352"/>
      <c r="O954" s="2352"/>
      <c r="P954" s="2352"/>
    </row>
    <row r="955" spans="1:16" s="2827" customFormat="1">
      <c r="A955" s="2352"/>
      <c r="B955" s="2825"/>
      <c r="C955" s="2828"/>
      <c r="D955" s="2829"/>
      <c r="E955" s="2830"/>
      <c r="F955" s="2830"/>
      <c r="G955" s="2352"/>
      <c r="K955" s="2352"/>
      <c r="L955" s="2352"/>
      <c r="M955" s="2352"/>
      <c r="N955" s="2352"/>
      <c r="O955" s="2352"/>
      <c r="P955" s="2352"/>
    </row>
    <row r="956" spans="1:16" s="2352" customFormat="1">
      <c r="B956" s="2825"/>
      <c r="C956" s="2828"/>
      <c r="D956" s="2829"/>
      <c r="E956" s="2830"/>
      <c r="F956" s="2830"/>
      <c r="H956" s="2827"/>
      <c r="I956" s="2827"/>
      <c r="J956" s="2827"/>
    </row>
    <row r="957" spans="1:16" s="2827" customFormat="1">
      <c r="A957" s="2352"/>
      <c r="B957" s="2068"/>
      <c r="C957" s="2828"/>
      <c r="D957" s="2829"/>
      <c r="E957" s="2831"/>
      <c r="F957" s="2830"/>
      <c r="G957" s="2352"/>
      <c r="K957" s="2352"/>
      <c r="L957" s="2352"/>
      <c r="M957" s="2352"/>
      <c r="N957" s="2352"/>
      <c r="O957" s="2352"/>
      <c r="P957" s="2352"/>
    </row>
    <row r="958" spans="1:16" s="2352" customFormat="1">
      <c r="B958" s="2825"/>
      <c r="C958" s="2828"/>
      <c r="D958" s="2829"/>
      <c r="E958" s="2830"/>
      <c r="F958" s="2830"/>
      <c r="H958" s="2827"/>
      <c r="I958" s="2827"/>
      <c r="J958" s="2827"/>
    </row>
    <row r="959" spans="1:16" s="2352" customFormat="1">
      <c r="B959" s="2825"/>
      <c r="C959" s="2825"/>
      <c r="D959" s="2832"/>
      <c r="E959" s="2833"/>
      <c r="F959" s="2834"/>
      <c r="H959" s="2827"/>
      <c r="I959" s="2827"/>
      <c r="J959" s="2827"/>
    </row>
    <row r="960" spans="1:16" s="2352" customFormat="1">
      <c r="B960" s="2833"/>
      <c r="C960" s="2357"/>
      <c r="D960" s="2826"/>
      <c r="E960" s="2825"/>
      <c r="F960" s="2825"/>
      <c r="H960" s="2827"/>
      <c r="I960" s="2827"/>
      <c r="J960" s="2827"/>
    </row>
    <row r="961" spans="1:10" s="2352" customFormat="1">
      <c r="B961" s="2833"/>
      <c r="C961" s="2835"/>
      <c r="D961" s="2826"/>
      <c r="E961" s="2833"/>
      <c r="F961" s="2836"/>
      <c r="H961" s="2827"/>
      <c r="I961" s="2827"/>
      <c r="J961" s="2827"/>
    </row>
    <row r="962" spans="1:10" s="2352" customFormat="1">
      <c r="B962" s="2837"/>
      <c r="C962" s="2838"/>
      <c r="D962" s="2839"/>
      <c r="E962" s="2837"/>
      <c r="F962" s="2538"/>
      <c r="H962" s="2827"/>
      <c r="I962" s="2827"/>
      <c r="J962" s="2827"/>
    </row>
    <row r="963" spans="1:10" s="2070" customFormat="1">
      <c r="B963" s="2819"/>
      <c r="C963" s="2820"/>
      <c r="D963" s="2820"/>
      <c r="E963" s="2820"/>
      <c r="F963" s="2538"/>
      <c r="G963" s="2225"/>
      <c r="H963" s="2225"/>
      <c r="I963" s="2354"/>
    </row>
    <row r="964" spans="1:10" s="8" customFormat="1">
      <c r="A964" s="2840"/>
      <c r="B964" s="2841"/>
      <c r="C964" s="2236"/>
      <c r="D964" s="2235"/>
      <c r="E964" s="2236"/>
      <c r="F964" s="2236"/>
    </row>
    <row r="965" spans="1:10" s="8" customFormat="1">
      <c r="A965" s="2840"/>
      <c r="B965" s="2842"/>
      <c r="C965" s="2236"/>
      <c r="D965" s="2235"/>
      <c r="E965" s="2236"/>
      <c r="F965" s="2236"/>
    </row>
    <row r="966" spans="1:10" s="8" customFormat="1">
      <c r="A966" s="2840"/>
      <c r="B966" s="2842"/>
      <c r="C966" s="2236"/>
      <c r="D966" s="2235"/>
      <c r="E966" s="2236"/>
      <c r="F966" s="2236"/>
    </row>
    <row r="967" spans="1:10" s="8" customFormat="1">
      <c r="A967" s="2840"/>
      <c r="B967" s="2842"/>
      <c r="C967" s="2236"/>
      <c r="D967" s="2235"/>
      <c r="E967" s="2236"/>
      <c r="F967" s="2236"/>
    </row>
    <row r="968" spans="1:10" s="8" customFormat="1">
      <c r="A968" s="2840"/>
      <c r="B968" s="2843"/>
      <c r="C968" s="2844"/>
      <c r="D968" s="2658"/>
      <c r="E968" s="2844"/>
      <c r="F968" s="2844"/>
    </row>
    <row r="969" spans="1:10" s="8" customFormat="1">
      <c r="A969" s="2840"/>
      <c r="B969" s="2243"/>
      <c r="C969" s="2845"/>
      <c r="D969" s="2235"/>
      <c r="E969" s="2845"/>
      <c r="F969" s="2845"/>
    </row>
    <row r="970" spans="1:10" s="8" customFormat="1">
      <c r="A970" s="2840"/>
      <c r="B970" s="2243"/>
      <c r="C970" s="2845"/>
      <c r="D970" s="2235"/>
      <c r="E970" s="2845"/>
      <c r="F970" s="2845"/>
    </row>
    <row r="971" spans="1:10" s="8" customFormat="1">
      <c r="A971" s="2840"/>
      <c r="B971" s="2243"/>
      <c r="C971" s="2845"/>
      <c r="D971" s="2235"/>
      <c r="E971" s="2845"/>
      <c r="F971" s="2845"/>
    </row>
    <row r="972" spans="1:10" s="8" customFormat="1">
      <c r="A972" s="2840"/>
      <c r="B972" s="2243"/>
      <c r="C972" s="2845"/>
      <c r="D972" s="2235"/>
      <c r="E972" s="2845"/>
      <c r="F972" s="2845"/>
    </row>
    <row r="973" spans="1:10" s="8" customFormat="1">
      <c r="B973" s="2243"/>
      <c r="C973" s="2845"/>
      <c r="D973" s="2235"/>
      <c r="E973" s="2845"/>
      <c r="F973" s="2845"/>
    </row>
    <row r="974" spans="1:10" s="8" customFormat="1">
      <c r="B974" s="2243"/>
      <c r="C974" s="2236"/>
      <c r="D974" s="2235"/>
      <c r="E974" s="2300"/>
      <c r="F974" s="2844"/>
    </row>
    <row r="975" spans="1:10" s="8" customFormat="1">
      <c r="B975" s="2440"/>
      <c r="C975" s="2236"/>
      <c r="D975" s="2235"/>
      <c r="E975" s="2236"/>
      <c r="F975" s="2236"/>
    </row>
    <row r="976" spans="1:10" s="8" customFormat="1">
      <c r="A976" s="2840"/>
      <c r="B976" s="2440"/>
      <c r="C976" s="2236"/>
      <c r="D976" s="2235"/>
      <c r="E976" s="2236"/>
      <c r="F976" s="2637"/>
    </row>
    <row r="977" spans="1:6" s="8" customFormat="1">
      <c r="A977" s="2840"/>
      <c r="B977" s="2842"/>
      <c r="C977" s="2236"/>
      <c r="D977" s="2235"/>
      <c r="E977" s="2236"/>
      <c r="F977" s="2236"/>
    </row>
    <row r="978" spans="1:6" s="8" customFormat="1">
      <c r="A978" s="2840"/>
      <c r="B978" s="2842"/>
      <c r="C978" s="2236"/>
      <c r="D978" s="2235"/>
      <c r="E978" s="2236"/>
      <c r="F978" s="2236"/>
    </row>
    <row r="979" spans="1:6" s="8" customFormat="1">
      <c r="A979" s="2840"/>
      <c r="B979" s="2842"/>
      <c r="C979" s="2236"/>
      <c r="D979" s="2235"/>
      <c r="E979" s="2236"/>
      <c r="F979" s="2236"/>
    </row>
    <row r="980" spans="1:6" s="8" customFormat="1">
      <c r="A980" s="2840"/>
      <c r="B980" s="2243"/>
      <c r="C980" s="2845"/>
      <c r="D980" s="2235"/>
      <c r="E980" s="2845"/>
      <c r="F980" s="2845"/>
    </row>
    <row r="981" spans="1:6" s="8" customFormat="1">
      <c r="A981" s="2840"/>
      <c r="B981" s="2243"/>
      <c r="C981" s="2845"/>
      <c r="D981" s="2235"/>
      <c r="E981" s="2845"/>
      <c r="F981" s="2845"/>
    </row>
    <row r="982" spans="1:6" s="8" customFormat="1">
      <c r="A982" s="2840"/>
      <c r="B982" s="2243"/>
      <c r="C982" s="2845"/>
      <c r="D982" s="2235"/>
      <c r="E982" s="2845"/>
      <c r="F982" s="2845"/>
    </row>
    <row r="983" spans="1:6" s="8" customFormat="1">
      <c r="A983" s="2840"/>
      <c r="B983" s="2842"/>
      <c r="C983" s="2236"/>
      <c r="D983" s="2235"/>
      <c r="E983" s="2236"/>
      <c r="F983" s="2637"/>
    </row>
    <row r="984" spans="1:6" s="8" customFormat="1">
      <c r="A984" s="2840"/>
      <c r="B984" s="2842"/>
      <c r="C984" s="2236"/>
      <c r="D984" s="2235"/>
      <c r="E984" s="2236"/>
      <c r="F984" s="2236"/>
    </row>
    <row r="985" spans="1:6" s="8" customFormat="1">
      <c r="A985" s="2840"/>
      <c r="B985" s="2243"/>
      <c r="C985" s="2846"/>
      <c r="D985" s="2235"/>
      <c r="E985" s="2236"/>
      <c r="F985" s="2845"/>
    </row>
    <row r="986" spans="1:6" s="8" customFormat="1">
      <c r="A986" s="2840"/>
      <c r="B986" s="2842"/>
      <c r="C986" s="2236"/>
      <c r="D986" s="2235"/>
      <c r="E986" s="2236"/>
      <c r="F986" s="2637"/>
    </row>
    <row r="987" spans="1:6" s="8" customFormat="1">
      <c r="A987" s="2840"/>
      <c r="B987" s="2842"/>
      <c r="C987" s="2236"/>
      <c r="D987" s="2235"/>
      <c r="E987" s="2236"/>
      <c r="F987" s="2236"/>
    </row>
    <row r="988" spans="1:6" s="8" customFormat="1">
      <c r="A988" s="2840"/>
      <c r="B988" s="2842"/>
      <c r="C988" s="2236"/>
      <c r="D988" s="2235"/>
      <c r="E988" s="2236"/>
      <c r="F988" s="2236"/>
    </row>
    <row r="989" spans="1:6" s="8" customFormat="1">
      <c r="A989" s="2840"/>
      <c r="B989" s="2243"/>
      <c r="C989" s="2236"/>
      <c r="D989" s="2235"/>
      <c r="E989" s="2236"/>
      <c r="F989" s="2845"/>
    </row>
    <row r="990" spans="1:6" s="8" customFormat="1">
      <c r="A990" s="2840"/>
      <c r="B990" s="2243"/>
      <c r="C990" s="2236"/>
      <c r="D990" s="2235"/>
      <c r="E990" s="2236"/>
      <c r="F990" s="2845"/>
    </row>
    <row r="991" spans="1:6" s="8" customFormat="1">
      <c r="A991" s="2840"/>
      <c r="B991" s="2847"/>
      <c r="C991" s="2236"/>
      <c r="D991" s="2235"/>
      <c r="E991" s="2848"/>
      <c r="F991" s="2848"/>
    </row>
    <row r="992" spans="1:6" s="8" customFormat="1">
      <c r="A992" s="2840"/>
      <c r="B992" s="2243"/>
      <c r="C992" s="2236"/>
      <c r="D992" s="2235"/>
      <c r="E992" s="2236"/>
      <c r="F992" s="2848"/>
    </row>
    <row r="993" spans="1:16" s="8" customFormat="1">
      <c r="A993" s="2840"/>
      <c r="B993" s="2243"/>
      <c r="C993" s="2236"/>
      <c r="D993" s="2235"/>
      <c r="E993" s="2236"/>
      <c r="F993" s="2848"/>
    </row>
    <row r="994" spans="1:16" s="8" customFormat="1">
      <c r="A994" s="2840"/>
      <c r="B994" s="2842"/>
      <c r="C994" s="2236"/>
      <c r="D994" s="2235"/>
      <c r="E994" s="2236"/>
      <c r="F994" s="2637"/>
    </row>
    <row r="995" spans="1:16" s="8" customFormat="1">
      <c r="A995" s="2840"/>
      <c r="B995" s="2842"/>
      <c r="C995" s="2236"/>
      <c r="D995" s="2235"/>
      <c r="E995" s="2236"/>
      <c r="F995" s="2236"/>
    </row>
    <row r="996" spans="1:16" s="8" customFormat="1">
      <c r="A996" s="2840"/>
      <c r="B996" s="2440"/>
      <c r="C996" s="2236"/>
      <c r="D996" s="2235"/>
      <c r="E996" s="2236"/>
      <c r="F996" s="2637"/>
    </row>
    <row r="997" spans="1:16" s="8" customFormat="1">
      <c r="A997" s="2840"/>
      <c r="B997" s="2842"/>
      <c r="C997" s="2236"/>
      <c r="D997" s="2235"/>
      <c r="E997" s="2236"/>
      <c r="F997" s="2236"/>
    </row>
    <row r="998" spans="1:16" s="8" customFormat="1">
      <c r="A998" s="2840"/>
      <c r="B998" s="2440"/>
      <c r="C998" s="2236"/>
      <c r="D998" s="2235"/>
      <c r="E998" s="2236"/>
      <c r="F998" s="2836"/>
    </row>
    <row r="999" spans="1:16" s="2070" customFormat="1">
      <c r="B999" s="2819"/>
      <c r="C999" s="2820"/>
      <c r="D999" s="2820"/>
      <c r="E999" s="2820"/>
      <c r="F999" s="2538"/>
      <c r="G999" s="2225"/>
      <c r="H999" s="2225"/>
      <c r="I999" s="2354"/>
    </row>
    <row r="1000" spans="1:16" s="2827" customFormat="1">
      <c r="A1000" s="2352"/>
      <c r="B1000" s="2849"/>
      <c r="C1000" s="2849"/>
      <c r="D1000" s="2849"/>
      <c r="E1000" s="2849"/>
      <c r="F1000" s="2849"/>
      <c r="G1000" s="2352"/>
      <c r="K1000" s="2352"/>
      <c r="L1000" s="2352"/>
      <c r="M1000" s="2352"/>
      <c r="N1000" s="2352"/>
      <c r="O1000" s="2352"/>
      <c r="P1000" s="2352"/>
    </row>
    <row r="1001" spans="1:16" s="2827" customFormat="1">
      <c r="A1001" s="2352"/>
      <c r="B1001" s="2825"/>
      <c r="C1001" s="2826"/>
      <c r="D1001" s="2826"/>
      <c r="E1001" s="2826"/>
      <c r="F1001" s="2826"/>
      <c r="G1001" s="2352"/>
      <c r="K1001" s="2352"/>
      <c r="L1001" s="2352"/>
      <c r="M1001" s="2352"/>
      <c r="N1001" s="2352"/>
      <c r="O1001" s="2352"/>
      <c r="P1001" s="2352"/>
    </row>
    <row r="1002" spans="1:16" s="2827" customFormat="1">
      <c r="A1002" s="2352"/>
      <c r="B1002" s="2825"/>
      <c r="C1002" s="2828"/>
      <c r="D1002" s="2829"/>
      <c r="E1002" s="2830"/>
      <c r="F1002" s="2830"/>
      <c r="G1002" s="2352"/>
      <c r="K1002" s="2352"/>
      <c r="L1002" s="2352"/>
      <c r="M1002" s="2352"/>
      <c r="N1002" s="2352"/>
      <c r="O1002" s="2352"/>
      <c r="P1002" s="2352"/>
    </row>
    <row r="1003" spans="1:16" s="2827" customFormat="1">
      <c r="A1003" s="2352"/>
      <c r="B1003" s="2825"/>
      <c r="C1003" s="2828"/>
      <c r="D1003" s="2829"/>
      <c r="E1003" s="2830"/>
      <c r="F1003" s="2830"/>
      <c r="G1003" s="2352"/>
      <c r="K1003" s="2352"/>
      <c r="L1003" s="2352"/>
      <c r="M1003" s="2352"/>
      <c r="N1003" s="2352"/>
      <c r="O1003" s="2352"/>
      <c r="P1003" s="2352"/>
    </row>
    <row r="1004" spans="1:16" s="2352" customFormat="1">
      <c r="B1004" s="2825"/>
      <c r="C1004" s="2828"/>
      <c r="D1004" s="2829"/>
      <c r="E1004" s="2830"/>
      <c r="F1004" s="2830"/>
      <c r="H1004" s="2827"/>
      <c r="I1004" s="2827"/>
      <c r="J1004" s="2827"/>
    </row>
    <row r="1005" spans="1:16" s="2827" customFormat="1">
      <c r="A1005" s="2352"/>
      <c r="B1005" s="2068"/>
      <c r="C1005" s="2828"/>
      <c r="D1005" s="2829"/>
      <c r="E1005" s="2831"/>
      <c r="F1005" s="2830"/>
      <c r="G1005" s="2352"/>
      <c r="K1005" s="2352"/>
      <c r="L1005" s="2352"/>
      <c r="M1005" s="2352"/>
      <c r="N1005" s="2352"/>
      <c r="O1005" s="2352"/>
      <c r="P1005" s="2352"/>
    </row>
    <row r="1006" spans="1:16" s="2352" customFormat="1">
      <c r="B1006" s="2825"/>
      <c r="C1006" s="2828"/>
      <c r="D1006" s="2829"/>
      <c r="E1006" s="2830"/>
      <c r="F1006" s="2830"/>
      <c r="H1006" s="2827"/>
      <c r="I1006" s="2827"/>
      <c r="J1006" s="2827"/>
    </row>
    <row r="1007" spans="1:16" s="2352" customFormat="1">
      <c r="B1007" s="2825"/>
      <c r="C1007" s="2825"/>
      <c r="D1007" s="2832"/>
      <c r="E1007" s="2833"/>
      <c r="F1007" s="2834"/>
      <c r="H1007" s="2827"/>
      <c r="I1007" s="2827"/>
      <c r="J1007" s="2827"/>
    </row>
    <row r="1008" spans="1:16" s="2352" customFormat="1">
      <c r="B1008" s="2833"/>
      <c r="C1008" s="2835"/>
      <c r="D1008" s="2826"/>
      <c r="E1008" s="2825"/>
      <c r="F1008" s="2825"/>
      <c r="H1008" s="2827"/>
      <c r="I1008" s="2827"/>
      <c r="J1008" s="2827"/>
    </row>
    <row r="1009" spans="1:16" s="2352" customFormat="1">
      <c r="B1009" s="2825"/>
      <c r="C1009" s="2825"/>
      <c r="D1009" s="2825"/>
      <c r="E1009" s="2833"/>
      <c r="F1009" s="2836"/>
      <c r="H1009" s="2827"/>
      <c r="I1009" s="2827"/>
      <c r="J1009" s="2827"/>
    </row>
    <row r="1010" spans="1:16" s="2352" customFormat="1">
      <c r="B1010" s="2825"/>
      <c r="C1010" s="2825"/>
      <c r="D1010" s="2825"/>
      <c r="E1010" s="2833"/>
      <c r="F1010" s="2836"/>
      <c r="H1010" s="2827"/>
      <c r="I1010" s="2827"/>
      <c r="J1010" s="2827"/>
    </row>
    <row r="1011" spans="1:16" s="2352" customFormat="1">
      <c r="B1011" s="2849"/>
      <c r="C1011" s="2849"/>
      <c r="D1011" s="2849"/>
      <c r="E1011" s="2849"/>
      <c r="F1011" s="2849"/>
      <c r="H1011" s="2827"/>
      <c r="I1011" s="2827"/>
      <c r="J1011" s="2827"/>
    </row>
    <row r="1012" spans="1:16" s="2352" customFormat="1">
      <c r="B1012" s="2825"/>
      <c r="C1012" s="2826"/>
      <c r="D1012" s="2826"/>
      <c r="E1012" s="2826"/>
      <c r="F1012" s="2826"/>
      <c r="H1012" s="2827"/>
      <c r="I1012" s="2827"/>
      <c r="J1012" s="2827"/>
    </row>
    <row r="1013" spans="1:16" s="2352" customFormat="1">
      <c r="B1013" s="2825"/>
      <c r="C1013" s="2850"/>
      <c r="D1013" s="2829"/>
      <c r="E1013" s="2851"/>
      <c r="F1013" s="2828"/>
      <c r="H1013" s="2827"/>
      <c r="I1013" s="2827"/>
      <c r="J1013" s="2827"/>
    </row>
    <row r="1014" spans="1:16" s="2352" customFormat="1">
      <c r="B1014" s="2825"/>
      <c r="C1014" s="2850"/>
      <c r="D1014" s="2829"/>
      <c r="E1014" s="2851"/>
      <c r="F1014" s="2828"/>
      <c r="H1014" s="2827"/>
      <c r="I1014" s="2827"/>
      <c r="J1014" s="2827"/>
    </row>
    <row r="1015" spans="1:16" s="2352" customFormat="1">
      <c r="B1015" s="2825"/>
      <c r="C1015" s="2850"/>
      <c r="D1015" s="2829"/>
      <c r="E1015" s="2851"/>
      <c r="F1015" s="2828"/>
      <c r="H1015" s="2827"/>
      <c r="I1015" s="2827"/>
      <c r="J1015" s="2827"/>
    </row>
    <row r="1016" spans="1:16" s="2827" customFormat="1">
      <c r="A1016" s="2352"/>
      <c r="B1016" s="2068"/>
      <c r="C1016" s="2828"/>
      <c r="D1016" s="2829"/>
      <c r="E1016" s="2831"/>
      <c r="F1016" s="2830"/>
      <c r="G1016" s="2352"/>
      <c r="K1016" s="2352"/>
      <c r="L1016" s="2352"/>
      <c r="M1016" s="2352"/>
      <c r="N1016" s="2352"/>
      <c r="O1016" s="2352"/>
      <c r="P1016" s="2352"/>
    </row>
    <row r="1017" spans="1:16" s="2352" customFormat="1">
      <c r="B1017" s="2825"/>
      <c r="C1017" s="2828"/>
      <c r="D1017" s="2829"/>
      <c r="E1017" s="2830"/>
      <c r="F1017" s="2830"/>
      <c r="H1017" s="2827"/>
      <c r="I1017" s="2827"/>
      <c r="J1017" s="2827"/>
    </row>
    <row r="1018" spans="1:16" s="2352" customFormat="1">
      <c r="B1018" s="2825"/>
      <c r="C1018" s="2825"/>
      <c r="D1018" s="2832"/>
      <c r="E1018" s="2833"/>
      <c r="F1018" s="2834"/>
      <c r="H1018" s="2827"/>
      <c r="I1018" s="2827"/>
      <c r="J1018" s="2827"/>
    </row>
    <row r="1019" spans="1:16" s="2352" customFormat="1">
      <c r="B1019" s="2833"/>
      <c r="C1019" s="2835"/>
      <c r="D1019" s="2825"/>
      <c r="E1019" s="2825"/>
      <c r="F1019" s="2825"/>
      <c r="H1019" s="2827"/>
      <c r="I1019" s="2827"/>
      <c r="J1019" s="2827"/>
    </row>
    <row r="1020" spans="1:16" s="2352" customFormat="1">
      <c r="B1020" s="2825"/>
      <c r="C1020" s="2825"/>
      <c r="D1020" s="2825"/>
      <c r="E1020" s="2833"/>
      <c r="F1020" s="2836"/>
      <c r="H1020" s="2827"/>
      <c r="I1020" s="2827"/>
      <c r="J1020" s="2827"/>
    </row>
    <row r="1021" spans="1:16" s="2070" customFormat="1" ht="13.5" thickBot="1">
      <c r="B1021" s="2684"/>
      <c r="C1021" s="2700"/>
      <c r="D1021" s="2648"/>
      <c r="E1021" s="2701"/>
      <c r="F1021" s="2686"/>
      <c r="G1021" s="2225"/>
      <c r="H1021" s="2225"/>
      <c r="I1021" s="2354"/>
    </row>
    <row r="1022" spans="1:16" s="2070" customFormat="1" ht="13.5" thickTop="1">
      <c r="A1022" s="2246"/>
      <c r="B1022" s="2702"/>
      <c r="C1022" s="2703"/>
      <c r="D1022" s="2145"/>
      <c r="E1022" s="2703"/>
      <c r="F1022" s="2524"/>
      <c r="G1022" s="2225"/>
      <c r="H1022" s="2225"/>
      <c r="I1022" s="2354"/>
    </row>
    <row r="1023" spans="1:16" s="2070" customFormat="1">
      <c r="A1023" s="2068"/>
      <c r="B1023" s="2704"/>
      <c r="C1023" s="2249"/>
      <c r="D1023" s="2146"/>
      <c r="E1023" s="2249"/>
      <c r="F1023" s="2525"/>
      <c r="G1023" s="2225"/>
      <c r="H1023" s="2225"/>
      <c r="I1023" s="2354"/>
    </row>
    <row r="1024" spans="1:16" s="2070" customFormat="1">
      <c r="A1024" s="2068"/>
      <c r="B1024" s="2704"/>
      <c r="C1024" s="2249"/>
      <c r="D1024" s="2146"/>
      <c r="E1024" s="2249"/>
      <c r="F1024" s="2525"/>
      <c r="G1024" s="2225"/>
      <c r="H1024" s="2225"/>
      <c r="I1024" s="2354"/>
    </row>
    <row r="1025" spans="1:12" s="2070" customFormat="1">
      <c r="A1025" s="2068"/>
      <c r="B1025" s="2704"/>
      <c r="C1025" s="2249"/>
      <c r="D1025" s="2146"/>
      <c r="E1025" s="2249"/>
      <c r="F1025" s="2525"/>
      <c r="G1025" s="2225"/>
      <c r="H1025" s="2225"/>
      <c r="I1025" s="2354"/>
    </row>
    <row r="1026" spans="1:12" s="2070" customFormat="1">
      <c r="A1026" s="2068"/>
      <c r="B1026" s="2704"/>
      <c r="C1026" s="2249"/>
      <c r="D1026" s="2146"/>
      <c r="E1026" s="2249"/>
      <c r="F1026" s="2525"/>
      <c r="G1026" s="2225"/>
      <c r="H1026" s="2225"/>
      <c r="I1026" s="2354"/>
    </row>
    <row r="1027" spans="1:12" s="2070" customFormat="1" ht="13.5" thickBot="1">
      <c r="A1027" s="2099"/>
      <c r="B1027" s="2705"/>
      <c r="C1027" s="2706"/>
      <c r="D1027" s="2705"/>
      <c r="E1027" s="2707"/>
      <c r="F1027" s="2708"/>
      <c r="G1027" s="2225"/>
      <c r="H1027" s="2225"/>
      <c r="I1027" s="2354"/>
    </row>
    <row r="1028" spans="1:12" s="2070" customFormat="1" ht="13.5" thickTop="1">
      <c r="A1028" s="2246"/>
      <c r="B1028" s="2852"/>
      <c r="C1028" s="2853"/>
      <c r="D1028" s="2145"/>
      <c r="E1028" s="2711"/>
      <c r="F1028" s="2854"/>
      <c r="G1028" s="2225"/>
      <c r="H1028" s="2225"/>
      <c r="I1028" s="2354"/>
    </row>
    <row r="1029" spans="1:12" s="2070" customFormat="1">
      <c r="A1029" s="2068"/>
      <c r="B1029" s="2800"/>
      <c r="C1029" s="2249"/>
      <c r="D1029" s="2146"/>
      <c r="E1029" s="2817"/>
      <c r="F1029" s="2855"/>
      <c r="G1029" s="2225"/>
      <c r="H1029" s="2225"/>
      <c r="I1029" s="2354"/>
    </row>
    <row r="1030" spans="1:12" s="2070" customFormat="1">
      <c r="A1030" s="2068"/>
      <c r="B1030" s="2800"/>
      <c r="C1030" s="2249"/>
      <c r="D1030" s="2146"/>
      <c r="E1030" s="2817"/>
      <c r="F1030" s="2855"/>
      <c r="G1030" s="2225"/>
      <c r="H1030" s="2225"/>
      <c r="I1030" s="2354"/>
    </row>
    <row r="1031" spans="1:12" s="2070" customFormat="1">
      <c r="A1031" s="2068"/>
      <c r="B1031" s="2800"/>
      <c r="C1031" s="2249"/>
      <c r="D1031" s="2146"/>
      <c r="E1031" s="2817"/>
      <c r="F1031" s="2855"/>
      <c r="G1031" s="2225"/>
      <c r="H1031" s="2225"/>
      <c r="I1031" s="2354"/>
    </row>
    <row r="1032" spans="1:12" s="2070" customFormat="1">
      <c r="A1032" s="2068"/>
      <c r="B1032" s="2800"/>
      <c r="C1032" s="2249"/>
      <c r="D1032" s="2146"/>
      <c r="E1032" s="2817"/>
      <c r="F1032" s="2855"/>
      <c r="G1032" s="2225"/>
      <c r="H1032" s="2225"/>
      <c r="I1032" s="2354"/>
      <c r="J1032" s="2856"/>
    </row>
    <row r="1033" spans="1:12" s="2070" customFormat="1">
      <c r="A1033" s="2068"/>
      <c r="B1033" s="2800"/>
      <c r="C1033" s="2249"/>
      <c r="D1033" s="2146"/>
      <c r="E1033" s="2817"/>
      <c r="F1033" s="2855"/>
      <c r="G1033" s="2225"/>
      <c r="H1033" s="2225"/>
      <c r="I1033" s="2354"/>
    </row>
    <row r="1034" spans="1:12" s="2070" customFormat="1">
      <c r="A1034" s="2068"/>
      <c r="B1034" s="2137"/>
      <c r="C1034" s="2249"/>
      <c r="D1034" s="2146"/>
      <c r="E1034" s="2817"/>
      <c r="F1034" s="2855"/>
      <c r="G1034" s="2225"/>
      <c r="H1034" s="2225"/>
      <c r="I1034" s="2354"/>
    </row>
    <row r="1035" spans="1:12" s="2070" customFormat="1">
      <c r="A1035" s="2068"/>
      <c r="B1035" s="2800"/>
      <c r="C1035" s="2249"/>
      <c r="D1035" s="2146"/>
      <c r="E1035" s="2817"/>
      <c r="F1035" s="2855"/>
      <c r="G1035" s="2225"/>
      <c r="H1035" s="2225"/>
      <c r="I1035" s="2354"/>
      <c r="J1035" s="2225"/>
    </row>
    <row r="1036" spans="1:12" s="2070" customFormat="1">
      <c r="A1036" s="2068"/>
      <c r="B1036" s="2800"/>
      <c r="C1036" s="2249"/>
      <c r="D1036" s="2146"/>
      <c r="E1036" s="2817"/>
      <c r="F1036" s="2855"/>
      <c r="G1036" s="2225"/>
      <c r="H1036" s="2225"/>
      <c r="I1036" s="2354"/>
      <c r="J1036" s="2225"/>
    </row>
    <row r="1037" spans="1:12" s="2070" customFormat="1">
      <c r="A1037" s="2068"/>
      <c r="B1037" s="2800"/>
      <c r="C1037" s="2249"/>
      <c r="D1037" s="2146"/>
      <c r="E1037" s="2817"/>
      <c r="F1037" s="2855"/>
      <c r="G1037" s="2225"/>
      <c r="H1037" s="2225"/>
      <c r="I1037" s="2354"/>
      <c r="J1037" s="2225"/>
    </row>
    <row r="1038" spans="1:12" s="2070" customFormat="1">
      <c r="A1038" s="2068"/>
      <c r="B1038" s="2800"/>
      <c r="C1038" s="2249"/>
      <c r="D1038" s="2146"/>
      <c r="E1038" s="2817"/>
      <c r="F1038" s="2855"/>
      <c r="G1038" s="2225"/>
      <c r="H1038" s="2225"/>
      <c r="I1038" s="2354"/>
      <c r="J1038" s="2225"/>
    </row>
    <row r="1039" spans="1:12" s="2070" customFormat="1">
      <c r="A1039" s="2068"/>
      <c r="B1039" s="2800"/>
      <c r="C1039" s="2249"/>
      <c r="D1039" s="2146"/>
      <c r="E1039" s="2817"/>
      <c r="F1039" s="2855"/>
      <c r="G1039" s="2225"/>
      <c r="H1039" s="2225"/>
      <c r="I1039" s="2354"/>
    </row>
    <row r="1040" spans="1:12" s="2070" customFormat="1">
      <c r="A1040" s="2068"/>
      <c r="B1040" s="2800"/>
      <c r="C1040" s="2249"/>
      <c r="D1040" s="2146"/>
      <c r="E1040" s="2817"/>
      <c r="F1040" s="2855"/>
      <c r="G1040" s="2225"/>
      <c r="H1040" s="2225"/>
      <c r="I1040" s="2354"/>
      <c r="K1040" s="2225"/>
      <c r="L1040" s="2225"/>
    </row>
    <row r="1041" spans="1:12" s="2070" customFormat="1">
      <c r="A1041" s="2068"/>
      <c r="B1041" s="2800"/>
      <c r="C1041" s="2249"/>
      <c r="D1041" s="2146"/>
      <c r="E1041" s="2817"/>
      <c r="F1041" s="2855"/>
      <c r="G1041" s="2225"/>
      <c r="H1041" s="2225"/>
      <c r="I1041" s="2354"/>
      <c r="K1041" s="2225"/>
      <c r="L1041" s="2225"/>
    </row>
    <row r="1042" spans="1:12" s="2070" customFormat="1">
      <c r="A1042" s="2068"/>
      <c r="B1042" s="2800"/>
      <c r="C1042" s="2249"/>
      <c r="D1042" s="2146"/>
      <c r="E1042" s="2817"/>
      <c r="F1042" s="2855"/>
      <c r="G1042" s="2225"/>
      <c r="H1042" s="2225"/>
      <c r="I1042" s="2354"/>
      <c r="J1042" s="2225"/>
      <c r="K1042" s="2225"/>
      <c r="L1042" s="2225"/>
    </row>
    <row r="1043" spans="1:12" s="2070" customFormat="1">
      <c r="A1043" s="2068"/>
      <c r="B1043" s="2800"/>
      <c r="C1043" s="2249"/>
      <c r="D1043" s="2146"/>
      <c r="E1043" s="2817"/>
      <c r="F1043" s="2855"/>
      <c r="G1043" s="2225"/>
      <c r="H1043" s="2225"/>
      <c r="I1043" s="2354"/>
      <c r="K1043" s="2225"/>
      <c r="L1043" s="2225"/>
    </row>
    <row r="1044" spans="1:12" s="2070" customFormat="1">
      <c r="A1044" s="2068"/>
      <c r="B1044" s="2800"/>
      <c r="C1044" s="2249"/>
      <c r="D1044" s="2146"/>
      <c r="E1044" s="2817"/>
      <c r="F1044" s="2855"/>
      <c r="G1044" s="2225"/>
      <c r="H1044" s="2225"/>
      <c r="I1044" s="2354"/>
    </row>
    <row r="1045" spans="1:12" s="2070" customFormat="1">
      <c r="A1045" s="2068"/>
      <c r="B1045" s="2800"/>
      <c r="C1045" s="2249"/>
      <c r="D1045" s="2146"/>
      <c r="E1045" s="2817"/>
      <c r="F1045" s="2855"/>
      <c r="G1045" s="2225"/>
      <c r="H1045" s="2225"/>
      <c r="I1045" s="2354"/>
    </row>
    <row r="1046" spans="1:12" s="2070" customFormat="1">
      <c r="A1046" s="2068"/>
      <c r="B1046" s="2800"/>
      <c r="C1046" s="2249"/>
      <c r="D1046" s="2146"/>
      <c r="E1046" s="2817"/>
      <c r="F1046" s="2855"/>
      <c r="G1046" s="2225"/>
      <c r="H1046" s="2225"/>
      <c r="I1046" s="2354"/>
      <c r="K1046" s="2225"/>
    </row>
    <row r="1047" spans="1:12" s="2070" customFormat="1">
      <c r="A1047" s="2068"/>
      <c r="B1047" s="2800"/>
      <c r="C1047" s="2249"/>
      <c r="D1047" s="2146"/>
      <c r="E1047" s="2817"/>
      <c r="F1047" s="2855"/>
      <c r="G1047" s="2225"/>
      <c r="H1047" s="2225"/>
      <c r="I1047" s="2354"/>
      <c r="K1047" s="2225"/>
    </row>
    <row r="1048" spans="1:12" s="2070" customFormat="1" ht="13.5" thickBot="1">
      <c r="A1048" s="2099"/>
      <c r="B1048" s="2857"/>
      <c r="C1048" s="2858"/>
      <c r="D1048" s="2105"/>
      <c r="E1048" s="2859"/>
      <c r="F1048" s="2860"/>
      <c r="G1048" s="2225"/>
      <c r="H1048" s="2225"/>
      <c r="I1048" s="2354"/>
    </row>
    <row r="1049" spans="1:12" s="2070" customFormat="1" ht="13.5" thickTop="1">
      <c r="B1049" s="2648"/>
      <c r="C1049" s="2861"/>
      <c r="D1049" s="2648"/>
      <c r="E1049" s="2861"/>
      <c r="F1049" s="2861"/>
      <c r="G1049" s="2225"/>
      <c r="H1049" s="2225"/>
      <c r="I1049" s="2354"/>
    </row>
    <row r="1050" spans="1:12" s="2070" customFormat="1" ht="13.5" thickBot="1">
      <c r="B1050" s="2684"/>
      <c r="C1050" s="2700"/>
      <c r="D1050" s="2648"/>
      <c r="E1050" s="2701"/>
      <c r="F1050" s="2686"/>
      <c r="G1050" s="2225"/>
      <c r="H1050" s="2225"/>
      <c r="I1050" s="2354"/>
    </row>
    <row r="1051" spans="1:12" s="2070" customFormat="1" ht="13.5" thickTop="1">
      <c r="A1051" s="2246"/>
      <c r="B1051" s="2862"/>
      <c r="C1051" s="2703"/>
      <c r="D1051" s="2145"/>
      <c r="E1051" s="2703"/>
      <c r="F1051" s="2524"/>
      <c r="G1051" s="2225"/>
      <c r="H1051" s="2225"/>
      <c r="I1051" s="2354"/>
    </row>
    <row r="1052" spans="1:12" s="2070" customFormat="1">
      <c r="A1052" s="2863"/>
      <c r="B1052" s="2704"/>
      <c r="C1052" s="2864"/>
      <c r="D1052" s="2865"/>
      <c r="E1052" s="2864"/>
      <c r="F1052" s="2525"/>
      <c r="G1052" s="2225"/>
      <c r="H1052" s="2225"/>
      <c r="I1052" s="2354"/>
    </row>
    <row r="1053" spans="1:12" s="2070" customFormat="1">
      <c r="A1053" s="2068"/>
      <c r="B1053" s="2704"/>
      <c r="C1053" s="2249"/>
      <c r="D1053" s="2146"/>
      <c r="E1053" s="2249"/>
      <c r="F1053" s="2525"/>
      <c r="G1053" s="2225"/>
      <c r="H1053" s="2225"/>
      <c r="I1053" s="2354"/>
    </row>
    <row r="1054" spans="1:12" s="2070" customFormat="1">
      <c r="A1054" s="2068"/>
      <c r="B1054" s="2704"/>
      <c r="C1054" s="2249"/>
      <c r="D1054" s="2146"/>
      <c r="E1054" s="2249"/>
      <c r="F1054" s="2525"/>
      <c r="G1054" s="2225"/>
      <c r="H1054" s="2225"/>
      <c r="I1054" s="2354"/>
    </row>
    <row r="1055" spans="1:12" s="2070" customFormat="1">
      <c r="A1055" s="2068"/>
      <c r="B1055" s="2704"/>
      <c r="C1055" s="2249"/>
      <c r="D1055" s="2146"/>
      <c r="E1055" s="2249"/>
      <c r="F1055" s="2525"/>
      <c r="G1055" s="2225"/>
      <c r="H1055" s="2225"/>
      <c r="I1055" s="2354"/>
    </row>
    <row r="1056" spans="1:12" s="2070" customFormat="1">
      <c r="A1056" s="2068"/>
      <c r="B1056" s="2704"/>
      <c r="C1056" s="2249"/>
      <c r="D1056" s="2146"/>
      <c r="E1056" s="2249"/>
      <c r="F1056" s="2525"/>
      <c r="G1056" s="2225"/>
      <c r="H1056" s="2225"/>
      <c r="I1056" s="2354"/>
    </row>
    <row r="1057" spans="1:9" s="2070" customFormat="1">
      <c r="A1057" s="2261"/>
      <c r="B1057" s="8"/>
      <c r="C1057" s="2866"/>
      <c r="D1057" s="2264"/>
      <c r="E1057" s="2866"/>
      <c r="F1057" s="2867"/>
      <c r="G1057" s="2225"/>
      <c r="H1057" s="2225"/>
      <c r="I1057" s="2354"/>
    </row>
    <row r="1058" spans="1:9" s="2070" customFormat="1" ht="13.5" thickBot="1">
      <c r="A1058" s="2099"/>
      <c r="B1058" s="2705"/>
      <c r="C1058" s="2706"/>
      <c r="D1058" s="2705"/>
      <c r="E1058" s="2707"/>
      <c r="F1058" s="2708"/>
      <c r="G1058" s="2225"/>
      <c r="H1058" s="2225"/>
      <c r="I1058" s="2354"/>
    </row>
    <row r="1059" spans="1:9" s="2070" customFormat="1" ht="13.5" thickTop="1">
      <c r="A1059" s="2246"/>
      <c r="B1059" s="2868"/>
      <c r="C1059" s="2760"/>
      <c r="D1059" s="2145"/>
      <c r="E1059" s="2711"/>
      <c r="F1059" s="2869"/>
      <c r="G1059" s="2225"/>
      <c r="H1059" s="2225"/>
      <c r="I1059" s="2354"/>
    </row>
    <row r="1060" spans="1:9" s="2070" customFormat="1">
      <c r="A1060" s="2863"/>
      <c r="B1060" s="2137"/>
      <c r="C1060" s="2870"/>
      <c r="D1060" s="2865"/>
      <c r="E1060" s="2871"/>
      <c r="F1060" s="2872"/>
      <c r="G1060" s="2225"/>
      <c r="H1060" s="2225"/>
      <c r="I1060" s="2354"/>
    </row>
    <row r="1061" spans="1:9" s="2070" customFormat="1">
      <c r="A1061" s="2068"/>
      <c r="B1061" s="2137"/>
      <c r="C1061" s="2109"/>
      <c r="D1061" s="2146"/>
      <c r="E1061" s="2817"/>
      <c r="F1061" s="2804"/>
      <c r="G1061" s="2225"/>
      <c r="H1061" s="2225"/>
      <c r="I1061" s="2354"/>
    </row>
    <row r="1062" spans="1:9" s="2070" customFormat="1">
      <c r="A1062" s="2068"/>
      <c r="B1062" s="2137"/>
      <c r="C1062" s="2870"/>
      <c r="D1062" s="2146"/>
      <c r="E1062" s="2817"/>
      <c r="F1062" s="2872"/>
      <c r="G1062" s="2225"/>
      <c r="H1062" s="2225"/>
      <c r="I1062" s="2354"/>
    </row>
    <row r="1063" spans="1:9" s="2070" customFormat="1">
      <c r="A1063" s="2068"/>
      <c r="B1063" s="2137"/>
      <c r="C1063" s="2109"/>
      <c r="D1063" s="2146"/>
      <c r="E1063" s="2817"/>
      <c r="F1063" s="2804"/>
      <c r="G1063" s="2225"/>
      <c r="H1063" s="2225"/>
      <c r="I1063" s="2354"/>
    </row>
    <row r="1064" spans="1:9" s="2070" customFormat="1">
      <c r="A1064" s="2261"/>
      <c r="B1064" s="2137"/>
      <c r="C1064" s="2870"/>
      <c r="D1064" s="2264"/>
      <c r="E1064" s="2059"/>
      <c r="F1064" s="2872"/>
      <c r="G1064" s="2225"/>
      <c r="H1064" s="2225"/>
      <c r="I1064" s="2354"/>
    </row>
    <row r="1065" spans="1:9" s="2070" customFormat="1">
      <c r="A1065" s="2261"/>
      <c r="B1065" s="2873"/>
      <c r="C1065" s="2263"/>
      <c r="D1065" s="2264"/>
      <c r="E1065" s="2874"/>
      <c r="F1065" s="2875"/>
      <c r="G1065" s="2225"/>
      <c r="H1065" s="2225"/>
      <c r="I1065" s="2354"/>
    </row>
    <row r="1066" spans="1:9" s="2070" customFormat="1" ht="13.5" thickBot="1">
      <c r="A1066" s="2099"/>
      <c r="B1066" s="2805"/>
      <c r="C1066" s="2876"/>
      <c r="D1066" s="2105"/>
      <c r="E1066" s="2143"/>
      <c r="F1066" s="2877"/>
      <c r="G1066" s="2225"/>
      <c r="H1066" s="2225"/>
      <c r="I1066" s="2354"/>
    </row>
    <row r="1067" spans="1:9" s="2070" customFormat="1" ht="13.5" thickTop="1">
      <c r="C1067" s="2093"/>
      <c r="D1067" s="2094"/>
      <c r="E1067" s="2093"/>
      <c r="F1067" s="2093"/>
      <c r="G1067" s="2225"/>
      <c r="H1067" s="2225"/>
      <c r="I1067" s="2354"/>
    </row>
    <row r="1068" spans="1:9" s="2070" customFormat="1" ht="13.5" thickBot="1">
      <c r="B1068" s="2684"/>
      <c r="C1068" s="2093"/>
      <c r="D1068" s="2094"/>
      <c r="E1068" s="2093"/>
      <c r="F1068" s="2093"/>
      <c r="G1068" s="2225"/>
      <c r="H1068" s="2225"/>
      <c r="I1068" s="2354"/>
    </row>
    <row r="1069" spans="1:9" s="2070" customFormat="1" ht="13.5" thickTop="1">
      <c r="A1069" s="2246"/>
      <c r="B1069" s="2759"/>
      <c r="C1069" s="2760"/>
      <c r="D1069" s="2145"/>
      <c r="E1069" s="2760"/>
      <c r="F1069" s="2524"/>
      <c r="G1069" s="2225"/>
      <c r="H1069" s="2225"/>
      <c r="I1069" s="2354"/>
    </row>
    <row r="1070" spans="1:9" s="2070" customFormat="1">
      <c r="A1070" s="2068"/>
      <c r="B1070" s="2107"/>
      <c r="C1070" s="2109"/>
      <c r="D1070" s="2146"/>
      <c r="E1070" s="2109"/>
      <c r="F1070" s="2525"/>
      <c r="G1070" s="2225"/>
      <c r="H1070" s="2225"/>
      <c r="I1070" s="2354"/>
    </row>
    <row r="1071" spans="1:9" s="2070" customFormat="1">
      <c r="A1071" s="2068"/>
      <c r="B1071" s="2107"/>
      <c r="C1071" s="2109"/>
      <c r="D1071" s="2146"/>
      <c r="E1071" s="2109"/>
      <c r="F1071" s="2525"/>
      <c r="G1071" s="2225"/>
      <c r="H1071" s="2225"/>
      <c r="I1071" s="2354"/>
    </row>
    <row r="1072" spans="1:9" s="2070" customFormat="1">
      <c r="A1072" s="2068"/>
      <c r="B1072" s="2107"/>
      <c r="C1072" s="2109"/>
      <c r="D1072" s="2146"/>
      <c r="E1072" s="2109"/>
      <c r="F1072" s="2525"/>
      <c r="G1072" s="2225"/>
      <c r="H1072" s="2225"/>
      <c r="I1072" s="2354"/>
    </row>
    <row r="1073" spans="1:9" s="2070" customFormat="1">
      <c r="A1073" s="2068"/>
      <c r="B1073" s="2107"/>
      <c r="C1073" s="2109"/>
      <c r="D1073" s="2146"/>
      <c r="E1073" s="2109"/>
      <c r="F1073" s="2525"/>
      <c r="G1073" s="2225"/>
      <c r="H1073" s="2225"/>
      <c r="I1073" s="2354"/>
    </row>
    <row r="1074" spans="1:9" s="2070" customFormat="1">
      <c r="A1074" s="2068"/>
      <c r="B1074" s="2107"/>
      <c r="C1074" s="2109"/>
      <c r="D1074" s="2146"/>
      <c r="E1074" s="2109"/>
      <c r="F1074" s="2525"/>
      <c r="G1074" s="2225"/>
      <c r="H1074" s="2225"/>
      <c r="I1074" s="2354"/>
    </row>
    <row r="1075" spans="1:9" s="2070" customFormat="1">
      <c r="A1075" s="2068"/>
      <c r="B1075" s="2107"/>
      <c r="C1075" s="2109"/>
      <c r="D1075" s="2146"/>
      <c r="E1075" s="2109"/>
      <c r="F1075" s="2525"/>
      <c r="G1075" s="2225"/>
      <c r="H1075" s="2225"/>
      <c r="I1075" s="2354"/>
    </row>
    <row r="1076" spans="1:9" s="2070" customFormat="1">
      <c r="A1076" s="2068"/>
      <c r="B1076" s="2107"/>
      <c r="C1076" s="2109"/>
      <c r="D1076" s="2146"/>
      <c r="E1076" s="2109"/>
      <c r="F1076" s="2525"/>
      <c r="G1076" s="2225"/>
      <c r="H1076" s="2225"/>
      <c r="I1076" s="2354"/>
    </row>
    <row r="1077" spans="1:9" s="2070" customFormat="1" ht="13.5" thickBot="1">
      <c r="A1077" s="2099"/>
      <c r="B1077" s="2114"/>
      <c r="C1077" s="2101"/>
      <c r="D1077" s="2105"/>
      <c r="E1077" s="2707"/>
      <c r="F1077" s="2878"/>
      <c r="G1077" s="2225"/>
      <c r="H1077" s="2225"/>
      <c r="I1077" s="2354"/>
    </row>
    <row r="1078" spans="1:9" s="2070" customFormat="1" ht="14.25" thickTop="1" thickBot="1">
      <c r="A1078" s="2879"/>
      <c r="B1078" s="2880"/>
      <c r="C1078" s="2881"/>
      <c r="D1078" s="2882"/>
      <c r="E1078" s="2883"/>
      <c r="F1078" s="2884"/>
      <c r="G1078" s="2225"/>
      <c r="H1078" s="2225"/>
      <c r="I1078" s="2354"/>
    </row>
    <row r="1079" spans="1:9" s="2070" customFormat="1" ht="13.5" thickTop="1">
      <c r="C1079" s="2093"/>
      <c r="D1079" s="2094"/>
      <c r="E1079" s="2093"/>
      <c r="F1079" s="2093"/>
      <c r="G1079" s="2225"/>
      <c r="H1079" s="2225"/>
      <c r="I1079" s="2354"/>
    </row>
    <row r="1080" spans="1:9" s="2070" customFormat="1">
      <c r="C1080" s="2093"/>
      <c r="D1080" s="2094"/>
      <c r="E1080" s="2093"/>
      <c r="F1080" s="2093"/>
      <c r="G1080" s="2225"/>
      <c r="H1080" s="2225"/>
      <c r="I1080" s="2354"/>
    </row>
    <row r="1081" spans="1:9" s="2070" customFormat="1" ht="13.5" thickBot="1">
      <c r="B1081" s="2420"/>
      <c r="C1081" s="2421"/>
      <c r="D1081" s="2421"/>
      <c r="E1081" s="2421"/>
      <c r="F1081" s="2421"/>
      <c r="G1081" s="2225"/>
      <c r="H1081" s="2225"/>
      <c r="I1081" s="2354"/>
    </row>
    <row r="1082" spans="1:9" s="2070" customFormat="1" ht="13.5" thickTop="1">
      <c r="A1082" s="2246"/>
      <c r="B1082" s="2422"/>
      <c r="C1082" s="2423"/>
      <c r="D1082" s="2423"/>
      <c r="E1082" s="2423"/>
      <c r="F1082" s="2424"/>
      <c r="G1082" s="2225"/>
      <c r="H1082" s="2225"/>
      <c r="I1082" s="2354"/>
    </row>
    <row r="1083" spans="1:9" s="2070" customFormat="1">
      <c r="A1083" s="2068"/>
      <c r="B1083" s="2243"/>
      <c r="C1083" s="2234"/>
      <c r="D1083" s="2235"/>
      <c r="E1083" s="2425"/>
      <c r="F1083" s="2426"/>
      <c r="G1083" s="2225"/>
      <c r="H1083" s="2225"/>
      <c r="I1083" s="2354"/>
    </row>
    <row r="1084" spans="1:9" s="2070" customFormat="1">
      <c r="A1084" s="2068"/>
      <c r="B1084" s="2427"/>
      <c r="C1084" s="2428"/>
      <c r="D1084" s="2429"/>
      <c r="E1084" s="2428"/>
      <c r="F1084" s="2430"/>
      <c r="G1084" s="2225"/>
      <c r="H1084" s="2225"/>
      <c r="I1084" s="2354"/>
    </row>
    <row r="1085" spans="1:9" s="2070" customFormat="1">
      <c r="A1085" s="2068"/>
      <c r="B1085" s="2427"/>
      <c r="C1085" s="2428"/>
      <c r="D1085" s="2429"/>
      <c r="E1085" s="2428"/>
      <c r="F1085" s="2430"/>
      <c r="G1085" s="2225"/>
      <c r="H1085" s="2225"/>
      <c r="I1085" s="2354"/>
    </row>
    <row r="1086" spans="1:9" s="2070" customFormat="1">
      <c r="A1086" s="2068"/>
      <c r="B1086" s="2243"/>
      <c r="C1086" s="2234"/>
      <c r="D1086" s="2235"/>
      <c r="E1086" s="2425"/>
      <c r="F1086" s="2426"/>
      <c r="G1086" s="2225"/>
      <c r="H1086" s="2225"/>
      <c r="I1086" s="2354"/>
    </row>
    <row r="1087" spans="1:9" s="2070" customFormat="1">
      <c r="A1087" s="2068"/>
      <c r="B1087" s="2243"/>
      <c r="C1087" s="2234"/>
      <c r="D1087" s="2235"/>
      <c r="E1087" s="2431"/>
      <c r="F1087" s="2426"/>
      <c r="G1087" s="2225"/>
      <c r="H1087" s="2225"/>
      <c r="I1087" s="2354"/>
    </row>
    <row r="1088" spans="1:9" s="2070" customFormat="1">
      <c r="A1088" s="2068"/>
      <c r="B1088" s="2432"/>
      <c r="C1088" s="2433"/>
      <c r="D1088" s="2434"/>
      <c r="E1088" s="2435"/>
      <c r="F1088" s="2436"/>
      <c r="G1088" s="2225"/>
      <c r="H1088" s="2225"/>
      <c r="I1088" s="2354"/>
    </row>
    <row r="1089" spans="1:23" s="2070" customFormat="1">
      <c r="A1089" s="2068"/>
      <c r="B1089" s="2437"/>
      <c r="C1089" s="2438"/>
      <c r="D1089" s="2439"/>
      <c r="E1089" s="2440"/>
      <c r="F1089" s="2441"/>
      <c r="G1089" s="2225"/>
      <c r="H1089" s="2225"/>
      <c r="I1089" s="2354"/>
    </row>
    <row r="1090" spans="1:23" s="2070" customFormat="1" ht="13.5" thickBot="1">
      <c r="A1090" s="2099"/>
      <c r="B1090" s="2442"/>
      <c r="C1090" s="2238"/>
      <c r="D1090" s="2238"/>
      <c r="E1090" s="2443"/>
      <c r="F1090" s="2444"/>
      <c r="G1090" s="2225"/>
      <c r="H1090" s="2225"/>
      <c r="I1090" s="2354"/>
    </row>
    <row r="1091" spans="1:23" s="2070" customFormat="1" ht="13.5" thickTop="1">
      <c r="A1091" s="2043"/>
      <c r="B1091" s="2885"/>
      <c r="C1091" s="2885"/>
      <c r="D1091" s="2886"/>
      <c r="E1091" s="2887"/>
      <c r="F1091" s="2888"/>
      <c r="G1091" s="2225"/>
      <c r="H1091" s="2225"/>
      <c r="I1091" s="2354"/>
    </row>
    <row r="1092" spans="1:23" s="2070" customFormat="1">
      <c r="C1092" s="2093"/>
      <c r="D1092" s="2094"/>
      <c r="E1092" s="2093"/>
      <c r="F1092" s="2093"/>
      <c r="G1092" s="2225"/>
      <c r="H1092" s="2225"/>
      <c r="I1092" s="2354"/>
    </row>
    <row r="1093" spans="1:23" s="2070" customFormat="1" ht="13.5" thickBot="1">
      <c r="B1093" s="2147"/>
      <c r="C1093" s="2093"/>
      <c r="D1093" s="2094"/>
      <c r="E1093" s="2093"/>
      <c r="F1093" s="2093"/>
      <c r="G1093" s="2225"/>
      <c r="H1093" s="2225"/>
      <c r="I1093" s="2354"/>
      <c r="Q1093" s="2148"/>
      <c r="R1093" s="2148"/>
      <c r="S1093" s="2148"/>
      <c r="T1093" s="2148"/>
      <c r="U1093" s="2148"/>
      <c r="V1093" s="2148"/>
    </row>
    <row r="1094" spans="1:23" s="2070" customFormat="1" ht="13.5" thickTop="1">
      <c r="A1094" s="2246"/>
      <c r="B1094" s="2702"/>
      <c r="C1094" s="2048"/>
      <c r="D1094" s="2145"/>
      <c r="E1094" s="2048"/>
      <c r="F1094" s="2524"/>
      <c r="G1094" s="2225"/>
      <c r="H1094" s="2225"/>
      <c r="I1094" s="2354"/>
      <c r="O1094" s="2648"/>
      <c r="Q1094" s="2225"/>
      <c r="R1094" s="2225"/>
      <c r="S1094" s="2225"/>
      <c r="T1094" s="2225"/>
      <c r="U1094" s="2225"/>
      <c r="V1094" s="2225"/>
      <c r="W1094" s="2648"/>
    </row>
    <row r="1095" spans="1:23" s="2070" customFormat="1">
      <c r="A1095" s="2068"/>
      <c r="B1095" s="2704"/>
      <c r="C1095" s="2052"/>
      <c r="D1095" s="2146"/>
      <c r="E1095" s="2052"/>
      <c r="F1095" s="2525"/>
      <c r="G1095" s="2225"/>
      <c r="H1095" s="2225"/>
      <c r="I1095" s="2354"/>
      <c r="O1095" s="2648"/>
      <c r="Q1095" s="2225"/>
      <c r="R1095" s="2225"/>
      <c r="S1095" s="2225"/>
      <c r="T1095" s="2225"/>
      <c r="U1095" s="2225"/>
      <c r="V1095" s="2225"/>
      <c r="W1095" s="2648"/>
    </row>
    <row r="1096" spans="1:23" s="2070" customFormat="1">
      <c r="A1096" s="2068"/>
      <c r="B1096" s="2704"/>
      <c r="C1096" s="2052"/>
      <c r="D1096" s="2146"/>
      <c r="E1096" s="2052"/>
      <c r="F1096" s="2525"/>
      <c r="G1096" s="2225"/>
      <c r="H1096" s="2225"/>
      <c r="I1096" s="2354"/>
    </row>
    <row r="1097" spans="1:23" s="2070" customFormat="1">
      <c r="A1097" s="2068"/>
      <c r="B1097" s="2107"/>
      <c r="C1097" s="2052"/>
      <c r="D1097" s="2146"/>
      <c r="E1097" s="2052"/>
      <c r="F1097" s="2525"/>
      <c r="G1097" s="2225"/>
      <c r="H1097" s="2225"/>
      <c r="I1097" s="2354"/>
      <c r="S1097" s="2648"/>
    </row>
    <row r="1098" spans="1:23" s="2070" customFormat="1">
      <c r="A1098" s="2068"/>
      <c r="B1098" s="2107"/>
      <c r="C1098" s="2052"/>
      <c r="D1098" s="2146"/>
      <c r="E1098" s="2052"/>
      <c r="F1098" s="2525"/>
      <c r="G1098" s="2225"/>
      <c r="H1098" s="2225"/>
      <c r="I1098" s="2354"/>
      <c r="S1098" s="2648"/>
    </row>
    <row r="1099" spans="1:23" s="2070" customFormat="1">
      <c r="A1099" s="2068"/>
      <c r="B1099" s="2704"/>
      <c r="C1099" s="2052"/>
      <c r="D1099" s="2146"/>
      <c r="E1099" s="2052"/>
      <c r="F1099" s="2525"/>
      <c r="G1099" s="2225"/>
      <c r="H1099" s="2225"/>
      <c r="I1099" s="2354"/>
    </row>
    <row r="1100" spans="1:23" s="2070" customFormat="1">
      <c r="A1100" s="2068"/>
      <c r="B1100" s="2107"/>
      <c r="C1100" s="2052"/>
      <c r="D1100" s="2146"/>
      <c r="E1100" s="2052"/>
      <c r="F1100" s="2525"/>
      <c r="G1100" s="2225"/>
      <c r="H1100" s="2225"/>
      <c r="I1100" s="2354"/>
    </row>
    <row r="1101" spans="1:23" s="2070" customFormat="1" ht="13.5" thickBot="1">
      <c r="A1101" s="2099"/>
      <c r="B1101" s="2114"/>
      <c r="C1101" s="2101"/>
      <c r="D1101" s="2105"/>
      <c r="E1101" s="2707"/>
      <c r="F1101" s="2878"/>
      <c r="G1101" s="2225"/>
      <c r="H1101" s="2225"/>
      <c r="I1101" s="2354"/>
    </row>
    <row r="1102" spans="1:23" s="2070" customFormat="1" ht="13.5" thickTop="1">
      <c r="A1102" s="2246"/>
      <c r="B1102" s="2889"/>
      <c r="C1102" s="2048"/>
      <c r="D1102" s="2145"/>
      <c r="E1102" s="2711"/>
      <c r="F1102" s="2869"/>
      <c r="G1102" s="2225"/>
      <c r="H1102" s="2225"/>
      <c r="I1102" s="2354"/>
    </row>
    <row r="1103" spans="1:23" s="2070" customFormat="1" ht="13.5" thickBot="1">
      <c r="A1103" s="2099"/>
      <c r="B1103" s="2805"/>
      <c r="C1103" s="2890"/>
      <c r="D1103" s="2105"/>
      <c r="E1103" s="2143"/>
      <c r="F1103" s="2808"/>
      <c r="G1103" s="2225"/>
      <c r="H1103" s="2225"/>
      <c r="I1103" s="2354"/>
    </row>
    <row r="1104" spans="1:23" s="2070" customFormat="1" ht="13.5" thickTop="1">
      <c r="C1104" s="2093"/>
      <c r="D1104" s="2094"/>
      <c r="E1104" s="2093"/>
      <c r="F1104" s="2093"/>
      <c r="G1104" s="2225"/>
      <c r="H1104" s="2225"/>
      <c r="I1104" s="2354"/>
      <c r="J1104" s="2354"/>
    </row>
    <row r="1105" spans="1:10" s="2352" customFormat="1">
      <c r="A1105" s="2070"/>
      <c r="B1105" s="2472"/>
      <c r="C1105" s="2583"/>
      <c r="D1105" s="2727"/>
      <c r="E1105" s="2250"/>
      <c r="F1105" s="2250"/>
      <c r="G1105" s="2244"/>
      <c r="H1105" s="2244"/>
      <c r="I1105" s="2244"/>
      <c r="J1105" s="2357"/>
    </row>
    <row r="1106" spans="1:10" s="2352" customFormat="1">
      <c r="A1106" s="2070"/>
      <c r="B1106" s="659"/>
      <c r="C1106" s="2093"/>
      <c r="D1106" s="2094"/>
      <c r="E1106" s="2093"/>
      <c r="F1106" s="2093"/>
      <c r="G1106" s="2244"/>
      <c r="H1106" s="2244"/>
      <c r="I1106" s="2357"/>
    </row>
    <row r="1107" spans="1:10" s="2352" customFormat="1">
      <c r="A1107" s="2070"/>
      <c r="B1107" s="2259"/>
      <c r="C1107" s="2234"/>
      <c r="D1107" s="2235"/>
      <c r="E1107" s="2845"/>
      <c r="F1107" s="2653"/>
      <c r="G1107" s="2244"/>
      <c r="H1107" s="2244"/>
      <c r="I1107" s="2357"/>
    </row>
    <row r="1108" spans="1:10" s="2352" customFormat="1">
      <c r="A1108" s="2070"/>
      <c r="B1108" s="2107"/>
      <c r="C1108" s="2234"/>
      <c r="D1108" s="2235"/>
      <c r="E1108" s="2845"/>
      <c r="F1108" s="2653"/>
      <c r="G1108" s="2244"/>
      <c r="H1108" s="2244"/>
      <c r="I1108" s="2357"/>
    </row>
    <row r="1109" spans="1:10" s="2352" customFormat="1">
      <c r="A1109" s="2070"/>
      <c r="B1109" s="2107"/>
      <c r="C1109" s="2234"/>
      <c r="D1109" s="2235"/>
      <c r="E1109" s="2845"/>
      <c r="F1109" s="2653"/>
      <c r="G1109" s="2244"/>
      <c r="H1109" s="2244"/>
      <c r="I1109" s="2357"/>
    </row>
    <row r="1110" spans="1:10" s="2352" customFormat="1">
      <c r="A1110" s="2070"/>
      <c r="B1110" s="2107"/>
      <c r="C1110" s="2234"/>
      <c r="D1110" s="2235"/>
      <c r="E1110" s="2845"/>
      <c r="F1110" s="2653"/>
      <c r="G1110" s="2244"/>
      <c r="H1110" s="2244"/>
      <c r="I1110" s="2357"/>
    </row>
    <row r="1111" spans="1:10" s="2352" customFormat="1">
      <c r="A1111" s="2070"/>
      <c r="B1111" s="2107"/>
      <c r="C1111" s="2234"/>
      <c r="D1111" s="2235"/>
      <c r="E1111" s="2652"/>
      <c r="F1111" s="2653"/>
      <c r="G1111" s="2244"/>
      <c r="H1111" s="2244"/>
      <c r="I1111" s="2357"/>
    </row>
    <row r="1112" spans="1:10" s="2352" customFormat="1">
      <c r="A1112" s="2070"/>
      <c r="B1112" s="2243"/>
      <c r="C1112" s="2234"/>
      <c r="D1112" s="2235"/>
      <c r="E1112" s="2652"/>
      <c r="F1112" s="2653"/>
      <c r="G1112" s="2244"/>
      <c r="H1112" s="2244"/>
      <c r="I1112" s="2357"/>
    </row>
    <row r="1113" spans="1:10" s="2352" customFormat="1">
      <c r="A1113" s="2070"/>
      <c r="B1113" s="2243"/>
      <c r="C1113" s="2234"/>
      <c r="D1113" s="2235"/>
      <c r="E1113" s="2653"/>
      <c r="F1113" s="2653"/>
      <c r="G1113" s="2244"/>
      <c r="H1113" s="2244"/>
      <c r="I1113" s="2357"/>
    </row>
    <row r="1114" spans="1:10" s="2352" customFormat="1">
      <c r="A1114" s="2070"/>
      <c r="B1114" s="2107"/>
      <c r="C1114" s="2109"/>
      <c r="D1114" s="2146"/>
      <c r="E1114" s="2652"/>
      <c r="F1114" s="2653"/>
      <c r="G1114" s="2244"/>
      <c r="H1114" s="2244"/>
      <c r="I1114" s="2357"/>
    </row>
    <row r="1115" spans="1:10" s="2352" customFormat="1" ht="13.5" thickBot="1">
      <c r="A1115" s="2070"/>
      <c r="B1115" s="2070"/>
      <c r="C1115" s="2093"/>
      <c r="D1115" s="2891"/>
      <c r="E1115" s="2892"/>
      <c r="F1115" s="2893"/>
      <c r="G1115" s="2244"/>
      <c r="H1115" s="2244"/>
      <c r="I1115" s="2357"/>
    </row>
    <row r="1116" spans="1:10" s="2070" customFormat="1" ht="13.5" thickTop="1">
      <c r="B1116" s="2684"/>
      <c r="C1116" s="2093"/>
      <c r="D1116" s="2094"/>
      <c r="E1116" s="2093"/>
      <c r="F1116" s="2093"/>
      <c r="G1116" s="2225"/>
      <c r="H1116" s="2225"/>
      <c r="I1116" s="2354"/>
      <c r="J1116" s="2225"/>
    </row>
    <row r="1117" spans="1:10" s="2070" customFormat="1" ht="13.5" thickBot="1">
      <c r="B1117" s="2684"/>
      <c r="C1117" s="2700"/>
      <c r="D1117" s="2648"/>
      <c r="E1117" s="2701"/>
      <c r="F1117" s="2686"/>
      <c r="G1117" s="2225"/>
      <c r="H1117" s="2225"/>
      <c r="I1117" s="2354"/>
      <c r="J1117" s="2225"/>
    </row>
    <row r="1118" spans="1:10" s="2070" customFormat="1" ht="13.5" thickTop="1">
      <c r="A1118" s="2246"/>
      <c r="B1118" s="2702"/>
      <c r="C1118" s="2703"/>
      <c r="D1118" s="2145"/>
      <c r="E1118" s="2703"/>
      <c r="F1118" s="2524"/>
      <c r="G1118" s="2225"/>
      <c r="H1118" s="2225"/>
      <c r="I1118" s="2354"/>
      <c r="J1118" s="2225"/>
    </row>
    <row r="1119" spans="1:10" s="2070" customFormat="1">
      <c r="A1119" s="2068"/>
      <c r="B1119" s="2704"/>
      <c r="C1119" s="2249"/>
      <c r="D1119" s="2146"/>
      <c r="E1119" s="2249"/>
      <c r="F1119" s="2525"/>
      <c r="G1119" s="2225"/>
      <c r="H1119" s="2225"/>
      <c r="I1119" s="2354"/>
      <c r="J1119" s="2225"/>
    </row>
    <row r="1120" spans="1:10" s="2070" customFormat="1">
      <c r="A1120" s="2068"/>
      <c r="B1120" s="2704"/>
      <c r="C1120" s="2249"/>
      <c r="D1120" s="2146"/>
      <c r="E1120" s="2249"/>
      <c r="F1120" s="2525"/>
      <c r="G1120" s="2225"/>
      <c r="H1120" s="2225"/>
      <c r="I1120" s="2354"/>
    </row>
    <row r="1121" spans="1:9" s="2070" customFormat="1">
      <c r="A1121" s="2068"/>
      <c r="B1121" s="2704"/>
      <c r="C1121" s="2249"/>
      <c r="D1121" s="2146"/>
      <c r="E1121" s="2249"/>
      <c r="F1121" s="2525"/>
      <c r="G1121" s="2225"/>
      <c r="H1121" s="2225"/>
      <c r="I1121" s="2354"/>
    </row>
    <row r="1122" spans="1:9" s="2070" customFormat="1">
      <c r="A1122" s="2261"/>
      <c r="B1122" s="2894"/>
      <c r="C1122" s="2895"/>
      <c r="D1122" s="2894"/>
      <c r="E1122" s="2896"/>
      <c r="F1122" s="2897"/>
      <c r="G1122" s="2225"/>
      <c r="H1122" s="2225"/>
      <c r="I1122" s="2354"/>
    </row>
    <row r="1123" spans="1:9" s="2070" customFormat="1" ht="13.5" thickBot="1">
      <c r="A1123" s="2099"/>
      <c r="B1123" s="2805"/>
      <c r="C1123" s="2101"/>
      <c r="D1123" s="2105"/>
      <c r="E1123" s="2143"/>
      <c r="F1123" s="2898"/>
      <c r="G1123" s="2225"/>
      <c r="H1123" s="2225"/>
      <c r="I1123" s="2354"/>
    </row>
    <row r="1124" spans="1:9" s="2070" customFormat="1" ht="13.5" thickTop="1">
      <c r="C1124" s="2093"/>
      <c r="D1124" s="2094"/>
      <c r="E1124" s="2093"/>
      <c r="F1124" s="2093"/>
      <c r="G1124" s="2225"/>
      <c r="H1124" s="2225"/>
      <c r="I1124" s="2354"/>
    </row>
    <row r="1125" spans="1:9" s="2070" customFormat="1" ht="13.5" thickBot="1">
      <c r="B1125" s="2684"/>
      <c r="C1125" s="2700"/>
      <c r="D1125" s="2648"/>
      <c r="E1125" s="2701"/>
      <c r="F1125" s="2686"/>
      <c r="G1125" s="2225"/>
      <c r="H1125" s="2225"/>
      <c r="I1125" s="2354"/>
    </row>
    <row r="1126" spans="1:9" s="2070" customFormat="1" ht="13.5" thickTop="1">
      <c r="A1126" s="2246"/>
      <c r="B1126" s="2702"/>
      <c r="C1126" s="2703"/>
      <c r="D1126" s="2145"/>
      <c r="E1126" s="2703"/>
      <c r="F1126" s="2524"/>
      <c r="G1126" s="2225"/>
      <c r="H1126" s="2225"/>
      <c r="I1126" s="2354"/>
    </row>
    <row r="1127" spans="1:9" s="2070" customFormat="1">
      <c r="A1127" s="2068"/>
      <c r="B1127" s="2704"/>
      <c r="C1127" s="2249"/>
      <c r="D1127" s="2146"/>
      <c r="E1127" s="2249"/>
      <c r="F1127" s="2525"/>
      <c r="G1127" s="2225"/>
      <c r="H1127" s="2225"/>
      <c r="I1127" s="2354"/>
    </row>
    <row r="1128" spans="1:9" s="2070" customFormat="1">
      <c r="A1128" s="2068"/>
      <c r="B1128" s="2704"/>
      <c r="C1128" s="2249"/>
      <c r="D1128" s="2146"/>
      <c r="E1128" s="2249"/>
      <c r="F1128" s="2525"/>
      <c r="G1128" s="2225"/>
      <c r="H1128" s="2225"/>
      <c r="I1128" s="2354"/>
    </row>
    <row r="1129" spans="1:9" s="2070" customFormat="1">
      <c r="A1129" s="2068"/>
      <c r="B1129" s="2704"/>
      <c r="C1129" s="2249"/>
      <c r="D1129" s="2146"/>
      <c r="E1129" s="2249"/>
      <c r="F1129" s="2525"/>
      <c r="G1129" s="2225"/>
      <c r="H1129" s="2225"/>
      <c r="I1129" s="2354"/>
    </row>
    <row r="1130" spans="1:9" s="2070" customFormat="1" ht="13.5" thickBot="1">
      <c r="A1130" s="2099"/>
      <c r="B1130" s="2705"/>
      <c r="C1130" s="2706"/>
      <c r="E1130" s="2707"/>
      <c r="F1130" s="2708"/>
      <c r="G1130" s="2225"/>
      <c r="H1130" s="2225"/>
      <c r="I1130" s="2354"/>
    </row>
    <row r="1131" spans="1:9" s="2070" customFormat="1" ht="13.5" thickTop="1">
      <c r="B1131" s="2899"/>
      <c r="C1131" s="2900"/>
      <c r="D1131" s="2901"/>
      <c r="E1131" s="2093"/>
      <c r="F1131" s="2093"/>
      <c r="G1131" s="2225"/>
      <c r="H1131" s="2225"/>
      <c r="I1131" s="2354"/>
    </row>
    <row r="1132" spans="1:9" s="2070" customFormat="1" ht="13.5" thickBot="1">
      <c r="B1132" s="2684"/>
      <c r="C1132" s="2700"/>
      <c r="D1132" s="2648"/>
      <c r="E1132" s="2701"/>
      <c r="F1132" s="2686"/>
      <c r="G1132" s="2225"/>
      <c r="H1132" s="2225"/>
      <c r="I1132" s="2354"/>
    </row>
    <row r="1133" spans="1:9" s="2070" customFormat="1" ht="13.5" thickTop="1">
      <c r="A1133" s="2246"/>
      <c r="B1133" s="2702"/>
      <c r="C1133" s="2703"/>
      <c r="D1133" s="2145"/>
      <c r="E1133" s="2703"/>
      <c r="F1133" s="2524"/>
      <c r="G1133" s="2225"/>
      <c r="H1133" s="2225"/>
      <c r="I1133" s="2354"/>
    </row>
    <row r="1134" spans="1:9" s="2070" customFormat="1">
      <c r="A1134" s="2068"/>
      <c r="B1134" s="2704"/>
      <c r="C1134" s="2249"/>
      <c r="D1134" s="2146"/>
      <c r="E1134" s="2249"/>
      <c r="F1134" s="2525"/>
      <c r="G1134" s="2225"/>
      <c r="H1134" s="2225"/>
      <c r="I1134" s="2354"/>
    </row>
    <row r="1135" spans="1:9" s="2070" customFormat="1">
      <c r="A1135" s="2068"/>
      <c r="B1135" s="2704"/>
      <c r="C1135" s="2249"/>
      <c r="D1135" s="2146"/>
      <c r="E1135" s="2249"/>
      <c r="F1135" s="2525"/>
      <c r="G1135" s="2225"/>
      <c r="H1135" s="2225"/>
      <c r="I1135" s="2354"/>
    </row>
    <row r="1136" spans="1:9" s="2070" customFormat="1">
      <c r="A1136" s="2068"/>
      <c r="B1136" s="2704"/>
      <c r="C1136" s="2249"/>
      <c r="D1136" s="2146"/>
      <c r="E1136" s="2249"/>
      <c r="F1136" s="2525"/>
      <c r="G1136" s="2225"/>
      <c r="H1136" s="2225"/>
      <c r="I1136" s="2354"/>
    </row>
    <row r="1137" spans="1:13" s="2070" customFormat="1" ht="13.5" thickBot="1">
      <c r="A1137" s="2099"/>
      <c r="B1137" s="2705"/>
      <c r="C1137" s="2706"/>
      <c r="D1137" s="2705"/>
      <c r="E1137" s="2707"/>
      <c r="F1137" s="2708"/>
      <c r="G1137" s="2225"/>
      <c r="H1137" s="2225"/>
      <c r="I1137" s="2354"/>
    </row>
    <row r="1138" spans="1:13" s="2070" customFormat="1" ht="13.5" thickTop="1">
      <c r="C1138" s="2093"/>
      <c r="D1138" s="2094"/>
      <c r="E1138" s="2093"/>
      <c r="F1138" s="2093"/>
      <c r="G1138" s="2225"/>
      <c r="H1138" s="2225"/>
      <c r="I1138" s="2354"/>
      <c r="J1138" s="2225"/>
    </row>
    <row r="1139" spans="1:13" s="2070" customFormat="1">
      <c r="C1139" s="2093"/>
      <c r="D1139" s="2094"/>
      <c r="E1139" s="2093"/>
      <c r="F1139" s="2093"/>
      <c r="G1139" s="2225"/>
      <c r="H1139" s="2225"/>
      <c r="I1139" s="2354"/>
    </row>
    <row r="1140" spans="1:13" s="2070" customFormat="1">
      <c r="B1140" s="2684"/>
      <c r="C1140" s="2093"/>
      <c r="D1140" s="2094"/>
      <c r="E1140" s="2093"/>
      <c r="F1140" s="2093"/>
      <c r="G1140" s="2225"/>
      <c r="H1140" s="2225"/>
      <c r="I1140" s="2354"/>
    </row>
    <row r="1141" spans="1:13" s="2070" customFormat="1" ht="13.5" thickBot="1">
      <c r="B1141" s="2684"/>
      <c r="C1141" s="2700"/>
      <c r="D1141" s="2648"/>
      <c r="E1141" s="2701"/>
      <c r="F1141" s="2686"/>
      <c r="G1141" s="2225"/>
      <c r="H1141" s="2225"/>
      <c r="I1141" s="2354"/>
    </row>
    <row r="1142" spans="1:13" s="2070" customFormat="1" ht="13.5" thickTop="1">
      <c r="A1142" s="2246"/>
      <c r="B1142" s="2702"/>
      <c r="C1142" s="2703"/>
      <c r="D1142" s="2145"/>
      <c r="E1142" s="2703"/>
      <c r="F1142" s="2524"/>
      <c r="G1142" s="2225"/>
      <c r="H1142" s="2225"/>
      <c r="I1142" s="2354"/>
    </row>
    <row r="1143" spans="1:13" s="2070" customFormat="1">
      <c r="A1143" s="2068"/>
      <c r="B1143" s="2704"/>
      <c r="C1143" s="2249"/>
      <c r="D1143" s="2146"/>
      <c r="E1143" s="2249"/>
      <c r="F1143" s="2525"/>
      <c r="G1143" s="2225"/>
      <c r="H1143" s="2225"/>
      <c r="I1143" s="2354"/>
    </row>
    <row r="1144" spans="1:13" s="2070" customFormat="1">
      <c r="A1144" s="2068"/>
      <c r="B1144" s="2704"/>
      <c r="C1144" s="2249"/>
      <c r="D1144" s="2146"/>
      <c r="E1144" s="2249"/>
      <c r="F1144" s="2525"/>
      <c r="G1144" s="2225"/>
      <c r="H1144" s="2225"/>
      <c r="I1144" s="2354"/>
    </row>
    <row r="1145" spans="1:13" s="2070" customFormat="1">
      <c r="A1145" s="2068"/>
      <c r="B1145" s="2704"/>
      <c r="C1145" s="2249"/>
      <c r="D1145" s="2146"/>
      <c r="E1145" s="2249"/>
      <c r="F1145" s="2525"/>
      <c r="G1145" s="2225"/>
      <c r="H1145" s="2225"/>
      <c r="I1145" s="2354"/>
    </row>
    <row r="1146" spans="1:13" s="2070" customFormat="1" ht="13.5" thickBot="1">
      <c r="A1146" s="2099"/>
      <c r="B1146" s="2705"/>
      <c r="C1146" s="2706"/>
      <c r="D1146" s="2705"/>
      <c r="E1146" s="2707"/>
      <c r="F1146" s="2708"/>
      <c r="G1146" s="2225"/>
      <c r="H1146" s="2225"/>
      <c r="I1146" s="2354"/>
    </row>
    <row r="1147" spans="1:13" s="2070" customFormat="1" ht="13.5" thickTop="1">
      <c r="A1147" s="2246"/>
      <c r="B1147" s="2889"/>
      <c r="C1147" s="2760"/>
      <c r="D1147" s="2145"/>
      <c r="E1147" s="2711"/>
      <c r="F1147" s="2902"/>
      <c r="G1147" s="2225"/>
      <c r="H1147" s="2225"/>
      <c r="I1147" s="2225"/>
    </row>
    <row r="1148" spans="1:13" s="2070" customFormat="1">
      <c r="A1148" s="2261"/>
      <c r="B1148" s="2873"/>
      <c r="C1148" s="2263"/>
      <c r="D1148" s="2264"/>
      <c r="E1148" s="2059"/>
      <c r="F1148" s="2903"/>
      <c r="G1148" s="2225"/>
      <c r="H1148" s="2225"/>
      <c r="I1148" s="2354"/>
    </row>
    <row r="1149" spans="1:13" s="2070" customFormat="1">
      <c r="A1149" s="2261"/>
      <c r="B1149" s="2873"/>
      <c r="C1149" s="2263"/>
      <c r="D1149" s="2264"/>
      <c r="E1149" s="2059"/>
      <c r="F1149" s="2903"/>
      <c r="G1149" s="2225"/>
      <c r="H1149" s="2225"/>
      <c r="I1149" s="2354"/>
      <c r="K1149" s="2225"/>
    </row>
    <row r="1150" spans="1:13" s="2070" customFormat="1" ht="13.5" thickBot="1">
      <c r="A1150" s="2099"/>
      <c r="B1150" s="2805"/>
      <c r="C1150" s="2904"/>
      <c r="D1150" s="2105"/>
      <c r="E1150" s="2859"/>
      <c r="F1150" s="2905"/>
      <c r="G1150" s="2225"/>
      <c r="H1150" s="2225"/>
      <c r="I1150" s="2354"/>
      <c r="K1150" s="2225"/>
      <c r="L1150" s="2225"/>
      <c r="M1150" s="2225"/>
    </row>
    <row r="1151" spans="1:13" s="2070" customFormat="1" ht="13.5" thickTop="1">
      <c r="C1151" s="2093"/>
      <c r="D1151" s="2094"/>
      <c r="E1151" s="2093"/>
      <c r="F1151" s="2093"/>
      <c r="G1151" s="2225"/>
      <c r="H1151" s="2225"/>
      <c r="I1151" s="2354"/>
      <c r="K1151" s="2225"/>
      <c r="L1151" s="2225"/>
      <c r="M1151" s="2225"/>
    </row>
    <row r="1152" spans="1:13" s="2070" customFormat="1">
      <c r="B1152" s="2684"/>
      <c r="C1152" s="2093"/>
      <c r="D1152" s="2094"/>
      <c r="E1152" s="2093"/>
      <c r="F1152" s="2093"/>
      <c r="G1152" s="2225"/>
      <c r="H1152" s="2225"/>
      <c r="I1152" s="2354"/>
      <c r="M1152" s="2225"/>
    </row>
    <row r="1153" spans="1:9" s="2070" customFormat="1">
      <c r="C1153" s="2093"/>
      <c r="D1153" s="2094"/>
      <c r="E1153" s="2093"/>
      <c r="F1153" s="2093"/>
      <c r="G1153" s="2225"/>
      <c r="H1153" s="2225"/>
      <c r="I1153" s="2354"/>
    </row>
    <row r="1154" spans="1:9" s="2070" customFormat="1" ht="13.5" thickBot="1">
      <c r="B1154" s="2684"/>
      <c r="C1154" s="2700"/>
      <c r="D1154" s="2648"/>
      <c r="E1154" s="2701"/>
      <c r="F1154" s="2686"/>
      <c r="G1154" s="2225"/>
      <c r="H1154" s="2225"/>
      <c r="I1154" s="2354"/>
    </row>
    <row r="1155" spans="1:9" s="2070" customFormat="1" ht="13.5" thickTop="1">
      <c r="A1155" s="2246"/>
      <c r="B1155" s="2702"/>
      <c r="C1155" s="2703"/>
      <c r="D1155" s="2145"/>
      <c r="E1155" s="2703"/>
      <c r="F1155" s="2524"/>
      <c r="G1155" s="2225"/>
      <c r="H1155" s="2225"/>
      <c r="I1155" s="2354"/>
    </row>
    <row r="1156" spans="1:9" s="2070" customFormat="1">
      <c r="A1156" s="2068"/>
      <c r="B1156" s="2704"/>
      <c r="C1156" s="2249"/>
      <c r="D1156" s="2146"/>
      <c r="E1156" s="2249"/>
      <c r="F1156" s="2525"/>
      <c r="G1156" s="2225"/>
      <c r="H1156" s="2225"/>
      <c r="I1156" s="2354"/>
    </row>
    <row r="1157" spans="1:9" s="2070" customFormat="1">
      <c r="A1157" s="2068"/>
      <c r="B1157" s="2704"/>
      <c r="C1157" s="2249"/>
      <c r="D1157" s="2146"/>
      <c r="E1157" s="2249"/>
      <c r="F1157" s="2525"/>
      <c r="G1157" s="2225"/>
      <c r="H1157" s="2225"/>
      <c r="I1157" s="2354"/>
    </row>
    <row r="1158" spans="1:9" s="2070" customFormat="1">
      <c r="A1158" s="2068"/>
      <c r="B1158" s="2704"/>
      <c r="C1158" s="2249"/>
      <c r="D1158" s="2146"/>
      <c r="E1158" s="2249"/>
      <c r="F1158" s="2525"/>
      <c r="G1158" s="2225"/>
      <c r="H1158" s="2225"/>
      <c r="I1158" s="2354"/>
    </row>
    <row r="1159" spans="1:9" s="2070" customFormat="1" ht="13.5" thickBot="1">
      <c r="A1159" s="2099"/>
      <c r="B1159" s="2705"/>
      <c r="C1159" s="2706"/>
      <c r="D1159" s="2705"/>
      <c r="E1159" s="2707"/>
      <c r="F1159" s="2708"/>
      <c r="G1159" s="2225"/>
      <c r="H1159" s="2225"/>
      <c r="I1159" s="2354"/>
    </row>
    <row r="1160" spans="1:9" s="2070" customFormat="1" ht="14.25" thickTop="1" thickBot="1">
      <c r="A1160" s="2879"/>
      <c r="B1160" s="2880"/>
      <c r="C1160" s="2881"/>
      <c r="D1160" s="2882"/>
      <c r="E1160" s="2906"/>
      <c r="F1160" s="2905"/>
      <c r="G1160" s="2225"/>
      <c r="H1160" s="2225"/>
      <c r="I1160" s="2354"/>
    </row>
    <row r="1161" spans="1:9" s="2070" customFormat="1" ht="13.5" thickTop="1">
      <c r="C1161" s="2093"/>
      <c r="D1161" s="2094"/>
      <c r="E1161" s="2093"/>
      <c r="F1161" s="2093"/>
      <c r="G1161" s="2225"/>
      <c r="H1161" s="2225"/>
      <c r="I1161" s="2354"/>
    </row>
    <row r="1162" spans="1:9" s="2070" customFormat="1">
      <c r="B1162" s="2684"/>
      <c r="C1162" s="2093"/>
      <c r="D1162" s="2094"/>
      <c r="E1162" s="2093"/>
      <c r="F1162" s="2093"/>
      <c r="G1162" s="2225"/>
      <c r="H1162" s="2225"/>
      <c r="I1162" s="2354"/>
    </row>
    <row r="1163" spans="1:9" s="2070" customFormat="1">
      <c r="C1163" s="2093"/>
      <c r="D1163" s="2094"/>
      <c r="E1163" s="2093"/>
      <c r="F1163" s="2093"/>
      <c r="G1163" s="2225"/>
      <c r="H1163" s="2225"/>
      <c r="I1163" s="2354"/>
    </row>
    <row r="1164" spans="1:9" s="2070" customFormat="1" ht="13.5" thickBot="1">
      <c r="B1164" s="2684"/>
      <c r="C1164" s="2700"/>
      <c r="D1164" s="2648"/>
      <c r="E1164" s="2701"/>
      <c r="F1164" s="2686"/>
      <c r="G1164" s="2225"/>
      <c r="H1164" s="2225"/>
      <c r="I1164" s="2354"/>
    </row>
    <row r="1165" spans="1:9" s="2070" customFormat="1" ht="13.5" thickTop="1">
      <c r="A1165" s="2246"/>
      <c r="B1165" s="2702"/>
      <c r="C1165" s="2703"/>
      <c r="D1165" s="2145"/>
      <c r="E1165" s="2703"/>
      <c r="F1165" s="2524"/>
      <c r="G1165" s="2225"/>
      <c r="H1165" s="2225"/>
      <c r="I1165" s="2354"/>
    </row>
    <row r="1166" spans="1:9" s="2070" customFormat="1">
      <c r="A1166" s="2068"/>
      <c r="B1166" s="2704"/>
      <c r="C1166" s="2249"/>
      <c r="D1166" s="2146"/>
      <c r="E1166" s="2249"/>
      <c r="F1166" s="2525"/>
      <c r="G1166" s="2225"/>
      <c r="H1166" s="2225"/>
      <c r="I1166" s="2354"/>
    </row>
    <row r="1167" spans="1:9" s="2070" customFormat="1">
      <c r="A1167" s="2068"/>
      <c r="B1167" s="2704"/>
      <c r="C1167" s="2249"/>
      <c r="D1167" s="2146"/>
      <c r="E1167" s="2249"/>
      <c r="F1167" s="2525"/>
      <c r="G1167" s="2225"/>
      <c r="H1167" s="2225"/>
      <c r="I1167" s="2354"/>
    </row>
    <row r="1168" spans="1:9" s="2070" customFormat="1">
      <c r="A1168" s="2068"/>
      <c r="B1168" s="2704"/>
      <c r="C1168" s="2249"/>
      <c r="D1168" s="2146"/>
      <c r="E1168" s="2249"/>
      <c r="F1168" s="2525"/>
      <c r="G1168" s="2225"/>
      <c r="H1168" s="2225"/>
      <c r="I1168" s="2354"/>
    </row>
    <row r="1169" spans="1:11" s="2070" customFormat="1" ht="13.5" thickBot="1">
      <c r="A1169" s="2261"/>
      <c r="B1169" s="2894"/>
      <c r="C1169" s="2895"/>
      <c r="D1169" s="2894"/>
      <c r="E1169" s="2896"/>
      <c r="F1169" s="2897"/>
      <c r="G1169" s="2225"/>
      <c r="H1169" s="2225"/>
      <c r="I1169" s="2354"/>
    </row>
    <row r="1170" spans="1:11" s="2070" customFormat="1" ht="14.25" thickTop="1" thickBot="1">
      <c r="A1170" s="2879"/>
      <c r="B1170" s="2880"/>
      <c r="C1170" s="2881"/>
      <c r="D1170" s="2882"/>
      <c r="E1170" s="2906"/>
      <c r="F1170" s="2907"/>
      <c r="G1170" s="2225"/>
      <c r="H1170" s="2225"/>
      <c r="I1170" s="2354"/>
    </row>
    <row r="1171" spans="1:11" s="2070" customFormat="1" ht="13.5" thickTop="1">
      <c r="C1171" s="2093"/>
      <c r="D1171" s="2094"/>
      <c r="E1171" s="2093"/>
      <c r="F1171" s="2093"/>
      <c r="G1171" s="2225"/>
      <c r="H1171" s="2225"/>
      <c r="I1171" s="2354"/>
    </row>
    <row r="1172" spans="1:11" s="2070" customFormat="1" ht="13.5" thickBot="1">
      <c r="B1172" s="2147"/>
      <c r="C1172" s="2093"/>
      <c r="D1172" s="2094"/>
      <c r="E1172" s="2093"/>
      <c r="F1172" s="2093"/>
      <c r="G1172" s="2225"/>
      <c r="H1172" s="2225"/>
      <c r="I1172" s="2354"/>
    </row>
    <row r="1173" spans="1:11" s="2070" customFormat="1" ht="13.5" thickTop="1">
      <c r="A1173" s="2246"/>
      <c r="B1173" s="2759"/>
      <c r="C1173" s="2760"/>
      <c r="D1173" s="2145"/>
      <c r="E1173" s="2760"/>
      <c r="F1173" s="2524"/>
      <c r="G1173" s="2225"/>
      <c r="H1173" s="2225"/>
      <c r="I1173" s="2354"/>
    </row>
    <row r="1174" spans="1:11" s="2070" customFormat="1">
      <c r="A1174" s="2068"/>
      <c r="B1174" s="2107"/>
      <c r="C1174" s="2109"/>
      <c r="D1174" s="2146"/>
      <c r="E1174" s="2109"/>
      <c r="F1174" s="2525"/>
      <c r="G1174" s="2225"/>
      <c r="H1174" s="2225"/>
      <c r="I1174" s="2354"/>
    </row>
    <row r="1175" spans="1:11" s="2070" customFormat="1">
      <c r="A1175" s="2068"/>
      <c r="B1175" s="2107"/>
      <c r="C1175" s="2109"/>
      <c r="D1175" s="2146"/>
      <c r="E1175" s="2109"/>
      <c r="F1175" s="2525"/>
      <c r="G1175" s="2225"/>
      <c r="H1175" s="2225"/>
      <c r="I1175" s="2354"/>
    </row>
    <row r="1176" spans="1:11" s="2070" customFormat="1">
      <c r="A1176" s="2068"/>
      <c r="B1176" s="2107"/>
      <c r="C1176" s="2109"/>
      <c r="D1176" s="2146"/>
      <c r="E1176" s="2109"/>
      <c r="F1176" s="2525"/>
      <c r="G1176" s="2225"/>
      <c r="H1176" s="2225"/>
      <c r="I1176" s="2354"/>
      <c r="K1176" s="2225"/>
    </row>
    <row r="1177" spans="1:11" s="2070" customFormat="1" ht="13.5" thickBot="1">
      <c r="A1177" s="2099"/>
      <c r="B1177" s="2114"/>
      <c r="C1177" s="2101"/>
      <c r="D1177" s="2105"/>
      <c r="E1177" s="2707"/>
      <c r="F1177" s="2908"/>
      <c r="G1177" s="2225"/>
      <c r="H1177" s="2225"/>
      <c r="I1177" s="2354"/>
    </row>
    <row r="1178" spans="1:11" s="2070" customFormat="1" ht="14.25" thickTop="1" thickBot="1">
      <c r="A1178" s="2879"/>
      <c r="B1178" s="2909"/>
      <c r="C1178" s="2881"/>
      <c r="D1178" s="2910"/>
      <c r="E1178" s="2883"/>
      <c r="F1178" s="2911"/>
      <c r="G1178" s="2225"/>
      <c r="H1178" s="2225"/>
      <c r="I1178" s="2354"/>
    </row>
    <row r="1179" spans="1:11" s="2070" customFormat="1" ht="13.5" thickTop="1">
      <c r="C1179" s="2093"/>
      <c r="D1179" s="2094"/>
      <c r="E1179" s="2093"/>
      <c r="F1179" s="2093"/>
      <c r="G1179" s="2225"/>
      <c r="H1179" s="2225"/>
      <c r="I1179" s="2354"/>
    </row>
    <row r="1180" spans="1:11" s="2070" customFormat="1">
      <c r="C1180" s="2093"/>
      <c r="D1180" s="2094"/>
      <c r="E1180" s="2093"/>
      <c r="F1180" s="2093"/>
      <c r="G1180" s="2225"/>
      <c r="H1180" s="2225"/>
      <c r="I1180" s="2354"/>
    </row>
    <row r="1181" spans="1:11" s="2070" customFormat="1" ht="13.5" thickBot="1">
      <c r="A1181" s="2117"/>
      <c r="B1181" s="4918"/>
      <c r="C1181" s="4918"/>
      <c r="D1181" s="4918"/>
      <c r="E1181" s="4918"/>
      <c r="F1181" s="4918"/>
      <c r="G1181" s="2225"/>
      <c r="H1181" s="2225"/>
      <c r="I1181" s="2354"/>
    </row>
    <row r="1182" spans="1:11" s="2070" customFormat="1" ht="13.5" thickTop="1">
      <c r="A1182" s="2912"/>
      <c r="B1182" s="2913"/>
      <c r="C1182" s="2914"/>
      <c r="D1182" s="2914"/>
      <c r="E1182" s="2915"/>
      <c r="F1182" s="2916"/>
      <c r="G1182" s="2225"/>
      <c r="H1182" s="2225"/>
      <c r="I1182" s="2354"/>
    </row>
    <row r="1183" spans="1:11" s="2070" customFormat="1">
      <c r="A1183" s="2136"/>
      <c r="B1183" s="2917"/>
      <c r="C1183" s="2918"/>
      <c r="D1183" s="2919"/>
      <c r="E1183" s="2920"/>
      <c r="F1183" s="2921"/>
      <c r="G1183" s="2225"/>
      <c r="H1183" s="2225"/>
      <c r="I1183" s="2354"/>
    </row>
    <row r="1184" spans="1:11" s="2070" customFormat="1">
      <c r="A1184" s="2136"/>
      <c r="B1184" s="2064"/>
      <c r="C1184" s="2918"/>
      <c r="D1184" s="2919"/>
      <c r="E1184" s="2920"/>
      <c r="F1184" s="2921"/>
      <c r="G1184" s="2225"/>
      <c r="H1184" s="2225"/>
      <c r="I1184" s="2354"/>
    </row>
    <row r="1185" spans="1:9" s="2070" customFormat="1">
      <c r="A1185" s="2136"/>
      <c r="B1185" s="2064"/>
      <c r="C1185" s="2918"/>
      <c r="D1185" s="2919"/>
      <c r="E1185" s="2920"/>
      <c r="F1185" s="2921"/>
      <c r="G1185" s="2225"/>
      <c r="H1185" s="2225"/>
      <c r="I1185" s="2354"/>
    </row>
    <row r="1186" spans="1:9" s="2070" customFormat="1">
      <c r="A1186" s="2136"/>
      <c r="B1186" s="2064"/>
      <c r="C1186" s="2918"/>
      <c r="D1186" s="2066"/>
      <c r="E1186" s="2920"/>
      <c r="F1186" s="2921"/>
      <c r="G1186" s="2225"/>
      <c r="H1186" s="2225"/>
      <c r="I1186" s="2354"/>
    </row>
    <row r="1187" spans="1:9" s="2070" customFormat="1">
      <c r="A1187" s="2136"/>
      <c r="B1187" s="2064"/>
      <c r="C1187" s="2918"/>
      <c r="D1187" s="2919"/>
      <c r="E1187" s="2920"/>
      <c r="F1187" s="2922"/>
      <c r="G1187" s="2225"/>
      <c r="H1187" s="2225"/>
      <c r="I1187" s="2354"/>
    </row>
    <row r="1188" spans="1:9" s="2070" customFormat="1">
      <c r="A1188" s="2136"/>
      <c r="B1188" s="2064"/>
      <c r="C1188" s="2918"/>
      <c r="D1188" s="2066"/>
      <c r="E1188" s="2920"/>
      <c r="F1188" s="2922"/>
      <c r="G1188" s="2225"/>
      <c r="H1188" s="2225"/>
      <c r="I1188" s="2354"/>
    </row>
    <row r="1189" spans="1:9" s="2070" customFormat="1">
      <c r="A1189" s="2136"/>
      <c r="B1189" s="2064"/>
      <c r="C1189" s="2064"/>
      <c r="D1189" s="2064"/>
      <c r="E1189" s="2923"/>
      <c r="F1189" s="2924"/>
      <c r="G1189" s="2225"/>
      <c r="H1189" s="2225"/>
      <c r="I1189" s="2354"/>
    </row>
    <row r="1190" spans="1:9" s="2070" customFormat="1">
      <c r="A1190" s="2136"/>
      <c r="B1190" s="2925"/>
      <c r="C1190" s="2926"/>
      <c r="D1190" s="2925"/>
      <c r="E1190" s="2925"/>
      <c r="F1190" s="2927"/>
      <c r="G1190" s="2225"/>
      <c r="H1190" s="2225"/>
      <c r="I1190" s="2354"/>
    </row>
    <row r="1191" spans="1:9" s="2070" customFormat="1">
      <c r="A1191" s="2136"/>
      <c r="B1191" s="2923"/>
      <c r="C1191" s="2918"/>
      <c r="D1191" s="2064"/>
      <c r="E1191" s="2923"/>
      <c r="F1191" s="2924"/>
      <c r="G1191" s="2225"/>
      <c r="H1191" s="2225"/>
      <c r="I1191" s="2354"/>
    </row>
    <row r="1192" spans="1:9" s="2070" customFormat="1">
      <c r="A1192" s="2136"/>
      <c r="B1192" s="2928"/>
      <c r="C1192" s="2926"/>
      <c r="D1192" s="2064"/>
      <c r="E1192" s="2064"/>
      <c r="F1192" s="2929"/>
      <c r="G1192" s="2225"/>
      <c r="H1192" s="2225"/>
      <c r="I1192" s="2354"/>
    </row>
    <row r="1193" spans="1:9" s="2070" customFormat="1">
      <c r="A1193" s="2136"/>
      <c r="B1193" s="2064"/>
      <c r="C1193" s="2064"/>
      <c r="D1193" s="2064"/>
      <c r="E1193" s="2923"/>
      <c r="F1193" s="2924"/>
      <c r="G1193" s="2225"/>
      <c r="H1193" s="2225"/>
      <c r="I1193" s="2354"/>
    </row>
    <row r="1194" spans="1:9" s="2070" customFormat="1">
      <c r="A1194" s="2136"/>
      <c r="B1194" s="2062"/>
      <c r="C1194" s="2064"/>
      <c r="D1194" s="2064"/>
      <c r="E1194" s="2923"/>
      <c r="F1194" s="2924"/>
      <c r="G1194" s="2225"/>
      <c r="H1194" s="2225"/>
      <c r="I1194" s="2354"/>
    </row>
    <row r="1195" spans="1:9" s="2070" customFormat="1">
      <c r="A1195" s="2136"/>
      <c r="B1195" s="2917"/>
      <c r="C1195" s="2918"/>
      <c r="D1195" s="2919"/>
      <c r="E1195" s="2920"/>
      <c r="F1195" s="2929"/>
      <c r="G1195" s="2225"/>
      <c r="H1195" s="2225"/>
      <c r="I1195" s="2354"/>
    </row>
    <row r="1196" spans="1:9" s="2070" customFormat="1">
      <c r="A1196" s="2136"/>
      <c r="B1196" s="2923"/>
      <c r="C1196" s="2064"/>
      <c r="D1196" s="2066"/>
      <c r="E1196" s="2923"/>
      <c r="F1196" s="2924"/>
      <c r="G1196" s="2225"/>
      <c r="H1196" s="2225"/>
      <c r="I1196" s="2354"/>
    </row>
    <row r="1197" spans="1:9" s="2070" customFormat="1" ht="13.5" thickBot="1">
      <c r="A1197" s="2139"/>
      <c r="B1197" s="2930"/>
      <c r="C1197" s="2931"/>
      <c r="D1197" s="2932"/>
      <c r="E1197" s="2933"/>
      <c r="F1197" s="2934"/>
      <c r="G1197" s="2225"/>
      <c r="H1197" s="2225"/>
      <c r="I1197" s="2354"/>
    </row>
    <row r="1198" spans="1:9" s="2070" customFormat="1" ht="13.5" thickTop="1">
      <c r="A1198" s="2117"/>
      <c r="B1198" s="2117"/>
      <c r="C1198" s="2935"/>
      <c r="D1198" s="2936"/>
      <c r="E1198" s="2935"/>
      <c r="F1198" s="2935"/>
      <c r="G1198" s="2225"/>
      <c r="H1198" s="2225"/>
      <c r="I1198" s="2354"/>
    </row>
    <row r="1199" spans="1:9" s="2070" customFormat="1">
      <c r="C1199" s="2093"/>
      <c r="D1199" s="2094"/>
      <c r="E1199" s="2093"/>
      <c r="F1199" s="2093"/>
      <c r="G1199" s="2225"/>
      <c r="H1199" s="2225"/>
      <c r="I1199" s="2354"/>
    </row>
    <row r="1200" spans="1:9" s="2070" customFormat="1" ht="13.5" thickBot="1">
      <c r="B1200" s="2147"/>
      <c r="C1200" s="2093"/>
      <c r="D1200" s="2094"/>
      <c r="E1200" s="2093"/>
      <c r="F1200" s="2093"/>
      <c r="G1200" s="2225"/>
      <c r="H1200" s="2225"/>
      <c r="I1200" s="2354"/>
    </row>
    <row r="1201" spans="1:9" s="2070" customFormat="1" ht="13.5" thickTop="1">
      <c r="A1201" s="2246"/>
      <c r="B1201" s="2422"/>
      <c r="C1201" s="2048"/>
      <c r="D1201" s="2145"/>
      <c r="E1201" s="2048"/>
      <c r="F1201" s="2524"/>
      <c r="G1201" s="2937"/>
      <c r="H1201" s="2225"/>
      <c r="I1201" s="2354"/>
    </row>
    <row r="1202" spans="1:9" s="2070" customFormat="1">
      <c r="A1202" s="2068"/>
      <c r="B1202" s="2107"/>
      <c r="C1202" s="2052"/>
      <c r="D1202" s="2146"/>
      <c r="E1202" s="2052"/>
      <c r="F1202" s="2525"/>
      <c r="G1202" s="2225"/>
      <c r="H1202" s="2225"/>
      <c r="I1202" s="2354"/>
    </row>
    <row r="1203" spans="1:9" s="2070" customFormat="1" ht="13.5" thickBot="1">
      <c r="A1203" s="2099"/>
      <c r="B1203" s="2114"/>
      <c r="C1203" s="2101"/>
      <c r="D1203" s="2105"/>
      <c r="E1203" s="2707"/>
      <c r="F1203" s="2908"/>
      <c r="G1203" s="2225"/>
      <c r="H1203" s="2225"/>
      <c r="I1203" s="2354"/>
    </row>
    <row r="1204" spans="1:9" s="2070" customFormat="1" ht="14.25" thickTop="1" thickBot="1">
      <c r="A1204" s="2879"/>
      <c r="B1204" s="2909"/>
      <c r="C1204" s="2881"/>
      <c r="D1204" s="2910"/>
      <c r="E1204" s="2883"/>
      <c r="F1204" s="2911"/>
      <c r="G1204" s="2225"/>
      <c r="H1204" s="2225"/>
      <c r="I1204" s="2354"/>
    </row>
    <row r="1205" spans="1:9" s="2070" customFormat="1" ht="13.5" thickTop="1">
      <c r="C1205" s="2093"/>
      <c r="D1205" s="2094"/>
      <c r="E1205" s="2093"/>
      <c r="F1205" s="2093"/>
      <c r="G1205" s="2225"/>
      <c r="H1205" s="2225"/>
      <c r="I1205" s="2354"/>
    </row>
    <row r="1206" spans="1:9" s="2070" customFormat="1" ht="13.5" thickBot="1">
      <c r="B1206" s="2147"/>
      <c r="C1206" s="2093"/>
      <c r="D1206" s="2094"/>
      <c r="E1206" s="2093"/>
      <c r="F1206" s="2093"/>
      <c r="G1206" s="2225"/>
      <c r="H1206" s="2225"/>
      <c r="I1206" s="2354"/>
    </row>
    <row r="1207" spans="1:9" s="2070" customFormat="1" ht="13.5" thickTop="1">
      <c r="A1207" s="2246"/>
      <c r="B1207" s="2422"/>
      <c r="C1207" s="2760"/>
      <c r="D1207" s="2145"/>
      <c r="E1207" s="2760"/>
      <c r="F1207" s="2524"/>
      <c r="G1207" s="2225"/>
      <c r="H1207" s="2225"/>
      <c r="I1207" s="2354"/>
    </row>
    <row r="1208" spans="1:9" s="2070" customFormat="1">
      <c r="A1208" s="2863"/>
      <c r="B1208" s="2445"/>
      <c r="C1208" s="2152"/>
      <c r="D1208" s="2865"/>
      <c r="E1208" s="2152"/>
      <c r="F1208" s="2938"/>
      <c r="G1208" s="2225"/>
      <c r="H1208" s="2225"/>
      <c r="I1208" s="2354"/>
    </row>
    <row r="1209" spans="1:9" s="2070" customFormat="1">
      <c r="A1209" s="2068"/>
      <c r="B1209" s="2107"/>
      <c r="C1209" s="2052"/>
      <c r="D1209" s="2146"/>
      <c r="E1209" s="2052"/>
      <c r="F1209" s="2525"/>
      <c r="G1209" s="2225"/>
      <c r="H1209" s="2225"/>
      <c r="I1209" s="2354"/>
    </row>
    <row r="1210" spans="1:9" s="2070" customFormat="1" ht="13.5" thickBot="1">
      <c r="A1210" s="2099"/>
      <c r="B1210" s="2114"/>
      <c r="C1210" s="2101"/>
      <c r="D1210" s="2105"/>
      <c r="E1210" s="2707"/>
      <c r="F1210" s="2908"/>
      <c r="G1210" s="2225"/>
      <c r="H1210" s="2225"/>
      <c r="I1210" s="2354"/>
    </row>
    <row r="1211" spans="1:9" s="2070" customFormat="1" ht="14.25" thickTop="1" thickBot="1">
      <c r="A1211" s="2879"/>
      <c r="B1211" s="2909"/>
      <c r="C1211" s="2881"/>
      <c r="D1211" s="2910"/>
      <c r="E1211" s="2883"/>
      <c r="F1211" s="2911"/>
      <c r="G1211" s="2225"/>
      <c r="H1211" s="2225"/>
      <c r="I1211" s="2354"/>
    </row>
    <row r="1212" spans="1:9" s="2070" customFormat="1" ht="14.25" thickTop="1" thickBot="1">
      <c r="C1212" s="2093"/>
      <c r="D1212" s="2094"/>
      <c r="E1212" s="2093"/>
      <c r="F1212" s="2911"/>
      <c r="G1212" s="2225"/>
      <c r="H1212" s="2225"/>
      <c r="I1212" s="2354"/>
    </row>
    <row r="1213" spans="1:9" s="2070" customFormat="1" ht="13.5" thickTop="1">
      <c r="C1213" s="2093"/>
      <c r="D1213" s="2094"/>
      <c r="E1213" s="2093"/>
      <c r="F1213" s="2093"/>
      <c r="G1213" s="2225"/>
      <c r="H1213" s="2225"/>
      <c r="I1213" s="2354"/>
    </row>
    <row r="1214" spans="1:9" s="2070" customFormat="1" ht="13.5" thickBot="1">
      <c r="C1214" s="2093"/>
      <c r="D1214" s="2094"/>
      <c r="E1214" s="2093"/>
      <c r="F1214" s="2093"/>
      <c r="G1214" s="2225"/>
      <c r="H1214" s="2225"/>
      <c r="I1214" s="2354"/>
    </row>
    <row r="1215" spans="1:9" s="2070" customFormat="1" ht="13.5" thickTop="1">
      <c r="A1215" s="2478"/>
      <c r="B1215" s="2446"/>
      <c r="C1215" s="2423"/>
      <c r="D1215" s="2423"/>
      <c r="E1215" s="2423"/>
      <c r="F1215" s="2424"/>
      <c r="G1215" s="2225"/>
      <c r="H1215" s="2225"/>
      <c r="I1215" s="2354"/>
    </row>
    <row r="1216" spans="1:9" s="2070" customFormat="1">
      <c r="A1216" s="2483"/>
      <c r="B1216" s="2447"/>
      <c r="C1216" s="2448"/>
      <c r="D1216" s="2429"/>
      <c r="E1216" s="2449"/>
      <c r="F1216" s="2430"/>
      <c r="G1216" s="2225"/>
      <c r="H1216" s="2225"/>
      <c r="I1216" s="2354"/>
    </row>
    <row r="1217" spans="1:9" s="2070" customFormat="1">
      <c r="A1217" s="2483"/>
      <c r="B1217" s="2427"/>
      <c r="C1217" s="2428"/>
      <c r="D1217" s="2429"/>
      <c r="E1217" s="2428"/>
      <c r="F1217" s="2430"/>
      <c r="G1217" s="2225"/>
      <c r="H1217" s="2225"/>
      <c r="I1217" s="2354"/>
    </row>
    <row r="1218" spans="1:9" s="2070" customFormat="1">
      <c r="A1218" s="2483"/>
      <c r="B1218" s="2427"/>
      <c r="C1218" s="2428"/>
      <c r="D1218" s="2429"/>
      <c r="E1218" s="2428"/>
      <c r="F1218" s="2430"/>
      <c r="G1218" s="2937"/>
      <c r="H1218" s="2225"/>
      <c r="I1218" s="2354"/>
    </row>
    <row r="1219" spans="1:9" s="2070" customFormat="1">
      <c r="A1219" s="2483"/>
      <c r="B1219" s="2427"/>
      <c r="C1219" s="2428"/>
      <c r="D1219" s="2429"/>
      <c r="E1219" s="2428"/>
      <c r="F1219" s="2430"/>
      <c r="G1219" s="2225"/>
      <c r="H1219" s="2225"/>
      <c r="I1219" s="2354"/>
    </row>
    <row r="1220" spans="1:9" s="2070" customFormat="1">
      <c r="A1220" s="2483"/>
      <c r="B1220" s="2427"/>
      <c r="C1220" s="2450"/>
      <c r="D1220" s="2428"/>
      <c r="E1220" s="2451"/>
      <c r="F1220" s="2436"/>
      <c r="G1220" s="2225"/>
      <c r="H1220" s="2225"/>
      <c r="I1220" s="2354"/>
    </row>
    <row r="1221" spans="1:9" s="2070" customFormat="1">
      <c r="A1221" s="2483"/>
      <c r="B1221" s="2452"/>
      <c r="C1221" s="2453"/>
      <c r="D1221" s="2454"/>
      <c r="E1221" s="2451"/>
      <c r="F1221" s="2455"/>
      <c r="G1221" s="2225"/>
      <c r="H1221" s="2225"/>
      <c r="I1221" s="2354"/>
    </row>
    <row r="1222" spans="1:9" s="2070" customFormat="1" ht="13.5" thickBot="1">
      <c r="A1222" s="2489"/>
      <c r="B1222" s="2456"/>
      <c r="C1222" s="2457"/>
      <c r="D1222" s="2458"/>
      <c r="E1222" s="2459"/>
      <c r="F1222" s="2460"/>
      <c r="G1222" s="2225"/>
      <c r="H1222" s="2225"/>
      <c r="I1222" s="2354"/>
    </row>
    <row r="1223" spans="1:9" s="2070" customFormat="1" ht="13.5" thickTop="1">
      <c r="C1223" s="2093"/>
      <c r="D1223" s="2094"/>
      <c r="E1223" s="2093"/>
      <c r="F1223" s="2093"/>
      <c r="G1223" s="2225"/>
      <c r="H1223" s="2225"/>
      <c r="I1223" s="2354"/>
    </row>
    <row r="1224" spans="1:9" s="2070" customFormat="1">
      <c r="C1224" s="2093"/>
      <c r="D1224" s="2094"/>
      <c r="E1224" s="2093"/>
      <c r="F1224" s="2093"/>
      <c r="G1224" s="2225"/>
      <c r="H1224" s="2225"/>
      <c r="I1224" s="2354"/>
    </row>
    <row r="1225" spans="1:9" s="2070" customFormat="1" ht="13.5" thickBot="1">
      <c r="A1225" s="2117"/>
      <c r="B1225" s="2122"/>
      <c r="C1225" s="2939"/>
      <c r="D1225" s="2936"/>
      <c r="E1225" s="2939"/>
      <c r="F1225" s="2939"/>
      <c r="G1225" s="2225"/>
      <c r="H1225" s="2225"/>
      <c r="I1225" s="2354"/>
    </row>
    <row r="1226" spans="1:9" s="2070" customFormat="1" ht="13.5" thickTop="1">
      <c r="A1226" s="2912"/>
      <c r="B1226" s="2940"/>
      <c r="C1226" s="2941"/>
      <c r="D1226" s="2942"/>
      <c r="E1226" s="2941"/>
      <c r="F1226" s="2943"/>
      <c r="G1226" s="2225"/>
      <c r="H1226" s="2225"/>
      <c r="I1226" s="2354"/>
    </row>
    <row r="1227" spans="1:9" s="2070" customFormat="1">
      <c r="A1227" s="2136"/>
      <c r="B1227" s="2944"/>
      <c r="C1227" s="2945"/>
      <c r="D1227" s="2946"/>
      <c r="E1227" s="2945"/>
      <c r="F1227" s="2921"/>
      <c r="G1227" s="2225"/>
      <c r="H1227" s="2225"/>
      <c r="I1227" s="2354"/>
    </row>
    <row r="1228" spans="1:9" s="2070" customFormat="1">
      <c r="A1228" s="2136"/>
      <c r="B1228" s="2129"/>
      <c r="C1228" s="2945"/>
      <c r="D1228" s="2946"/>
      <c r="E1228" s="2945"/>
      <c r="F1228" s="2921"/>
      <c r="G1228" s="2225"/>
      <c r="H1228" s="2225"/>
      <c r="I1228" s="2354"/>
    </row>
    <row r="1229" spans="1:9" s="2070" customFormat="1">
      <c r="A1229" s="2136"/>
      <c r="B1229" s="2129"/>
      <c r="C1229" s="2945"/>
      <c r="D1229" s="2946"/>
      <c r="E1229" s="2945"/>
      <c r="F1229" s="2921"/>
      <c r="G1229" s="2225"/>
      <c r="H1229" s="2225"/>
      <c r="I1229" s="2354"/>
    </row>
    <row r="1230" spans="1:9" s="2070" customFormat="1">
      <c r="A1230" s="2136"/>
      <c r="B1230" s="2129"/>
      <c r="C1230" s="2945"/>
      <c r="D1230" s="2946"/>
      <c r="E1230" s="2945"/>
      <c r="F1230" s="2921"/>
      <c r="G1230" s="2225"/>
      <c r="H1230" s="2225"/>
      <c r="I1230" s="2354"/>
    </row>
    <row r="1231" spans="1:9" s="2070" customFormat="1">
      <c r="A1231" s="2136"/>
      <c r="B1231" s="2129"/>
      <c r="C1231" s="2945"/>
      <c r="D1231" s="2946"/>
      <c r="E1231" s="2945"/>
      <c r="F1231" s="2921"/>
      <c r="G1231" s="2225"/>
      <c r="H1231" s="2225"/>
      <c r="I1231" s="2354"/>
    </row>
    <row r="1232" spans="1:9" s="2070" customFormat="1">
      <c r="A1232" s="2136"/>
      <c r="B1232" s="2129"/>
      <c r="C1232" s="2945"/>
      <c r="D1232" s="2946"/>
      <c r="E1232" s="2945"/>
      <c r="F1232" s="2921"/>
      <c r="G1232" s="2225"/>
      <c r="H1232" s="2225"/>
      <c r="I1232" s="2354"/>
    </row>
    <row r="1233" spans="1:9" s="2070" customFormat="1">
      <c r="A1233" s="2136"/>
      <c r="B1233" s="2129"/>
      <c r="C1233" s="2945"/>
      <c r="D1233" s="2946"/>
      <c r="E1233" s="2069"/>
      <c r="F1233" s="2947"/>
      <c r="G1233" s="2225"/>
      <c r="H1233" s="2225"/>
      <c r="I1233" s="2354"/>
    </row>
    <row r="1234" spans="1:9" s="2070" customFormat="1">
      <c r="A1234" s="2136"/>
      <c r="B1234" s="2948"/>
      <c r="C1234" s="2945"/>
      <c r="D1234" s="2946"/>
      <c r="E1234" s="2069"/>
      <c r="F1234" s="2949"/>
      <c r="G1234" s="2225"/>
      <c r="H1234" s="2225"/>
      <c r="I1234" s="2354"/>
    </row>
    <row r="1235" spans="1:9" s="2070" customFormat="1">
      <c r="A1235" s="2950"/>
      <c r="B1235" s="2950"/>
      <c r="C1235" s="2951"/>
      <c r="D1235" s="2952"/>
      <c r="E1235" s="2953"/>
      <c r="F1235" s="2951"/>
      <c r="G1235" s="2225"/>
      <c r="H1235" s="2225"/>
      <c r="I1235" s="2354"/>
    </row>
    <row r="1236" spans="1:9" s="2070" customFormat="1">
      <c r="A1236" s="2954"/>
      <c r="B1236" s="2955"/>
      <c r="C1236" s="2956"/>
      <c r="D1236" s="2957"/>
      <c r="E1236" s="2956"/>
      <c r="F1236" s="2956"/>
      <c r="G1236" s="2225"/>
      <c r="H1236" s="2225"/>
      <c r="I1236" s="2354"/>
    </row>
    <row r="1237" spans="1:9" s="2070" customFormat="1">
      <c r="A1237" s="2136"/>
      <c r="B1237" s="2944"/>
      <c r="C1237" s="2945"/>
      <c r="D1237" s="2946"/>
      <c r="E1237" s="2945"/>
      <c r="F1237" s="2958"/>
      <c r="G1237" s="2225"/>
      <c r="H1237" s="2225"/>
      <c r="I1237" s="2354"/>
    </row>
    <row r="1238" spans="1:9" s="2070" customFormat="1">
      <c r="A1238" s="2136"/>
      <c r="B1238" s="2129"/>
      <c r="C1238" s="2945"/>
      <c r="D1238" s="2946"/>
      <c r="E1238" s="2945"/>
      <c r="F1238" s="2921"/>
      <c r="G1238" s="2225"/>
      <c r="H1238" s="2225"/>
      <c r="I1238" s="2354"/>
    </row>
    <row r="1239" spans="1:9" s="2070" customFormat="1">
      <c r="A1239" s="2136"/>
      <c r="B1239" s="2129"/>
      <c r="C1239" s="2945"/>
      <c r="D1239" s="2946"/>
      <c r="E1239" s="2945"/>
      <c r="F1239" s="2921"/>
      <c r="G1239" s="2225"/>
      <c r="H1239" s="2225"/>
      <c r="I1239" s="2354"/>
    </row>
    <row r="1240" spans="1:9" s="2070" customFormat="1">
      <c r="A1240" s="2136"/>
      <c r="B1240" s="2129"/>
      <c r="C1240" s="2945"/>
      <c r="D1240" s="2946"/>
      <c r="E1240" s="2945"/>
      <c r="F1240" s="2921"/>
      <c r="G1240" s="2225"/>
      <c r="H1240" s="2225"/>
      <c r="I1240" s="2354"/>
    </row>
    <row r="1241" spans="1:9" s="2070" customFormat="1">
      <c r="A1241" s="2136"/>
      <c r="B1241" s="2129"/>
      <c r="C1241" s="2945"/>
      <c r="D1241" s="2946"/>
      <c r="E1241" s="2945"/>
      <c r="F1241" s="2921"/>
      <c r="G1241" s="2225"/>
      <c r="H1241" s="2225"/>
      <c r="I1241" s="2354"/>
    </row>
    <row r="1242" spans="1:9" s="2070" customFormat="1">
      <c r="A1242" s="2136"/>
      <c r="B1242" s="2129"/>
      <c r="C1242" s="2945"/>
      <c r="D1242" s="2946"/>
      <c r="E1242" s="2945"/>
      <c r="F1242" s="2921"/>
      <c r="G1242" s="2225"/>
      <c r="H1242" s="2225"/>
      <c r="I1242" s="2354"/>
    </row>
    <row r="1243" spans="1:9" s="2070" customFormat="1">
      <c r="A1243" s="2136"/>
      <c r="B1243" s="2129"/>
      <c r="C1243" s="2945"/>
      <c r="D1243" s="2946"/>
      <c r="E1243" s="2945"/>
      <c r="F1243" s="2947"/>
      <c r="G1243" s="2225"/>
      <c r="H1243" s="2225"/>
      <c r="I1243" s="2354"/>
    </row>
    <row r="1244" spans="1:9" s="2070" customFormat="1">
      <c r="A1244" s="2136"/>
      <c r="B1244" s="2948"/>
      <c r="C1244" s="2945"/>
      <c r="D1244" s="2946"/>
      <c r="E1244" s="2069"/>
      <c r="F1244" s="2949"/>
      <c r="G1244" s="2225"/>
      <c r="H1244" s="2225"/>
      <c r="I1244" s="2354"/>
    </row>
    <row r="1245" spans="1:9" s="2070" customFormat="1">
      <c r="A1245" s="2950"/>
      <c r="B1245" s="2950"/>
      <c r="C1245" s="2951"/>
      <c r="D1245" s="2952"/>
      <c r="E1245" s="2951"/>
      <c r="F1245" s="2951"/>
      <c r="G1245" s="2225"/>
      <c r="H1245" s="2225"/>
      <c r="I1245" s="2354"/>
    </row>
    <row r="1246" spans="1:9" s="2070" customFormat="1">
      <c r="A1246" s="2954"/>
      <c r="B1246" s="2955"/>
      <c r="C1246" s="2956"/>
      <c r="D1246" s="2957"/>
      <c r="E1246" s="2956"/>
      <c r="F1246" s="2956"/>
      <c r="G1246" s="2225"/>
      <c r="H1246" s="2225"/>
      <c r="I1246" s="2354"/>
    </row>
    <row r="1247" spans="1:9" s="2070" customFormat="1">
      <c r="A1247" s="2136"/>
      <c r="B1247" s="2944"/>
      <c r="C1247" s="2945"/>
      <c r="D1247" s="2946"/>
      <c r="E1247" s="2945"/>
      <c r="F1247" s="2958"/>
      <c r="G1247" s="2225"/>
      <c r="H1247" s="2225"/>
      <c r="I1247" s="2354"/>
    </row>
    <row r="1248" spans="1:9" s="2070" customFormat="1">
      <c r="A1248" s="2136"/>
      <c r="B1248" s="2129"/>
      <c r="C1248" s="2959"/>
      <c r="D1248" s="2946"/>
      <c r="E1248" s="2959"/>
      <c r="F1248" s="2960"/>
      <c r="G1248" s="2225"/>
      <c r="H1248" s="2225"/>
      <c r="I1248" s="2354"/>
    </row>
    <row r="1249" spans="1:9" s="2070" customFormat="1">
      <c r="A1249" s="2136"/>
      <c r="B1249" s="2129"/>
      <c r="C1249" s="2959"/>
      <c r="D1249" s="2946"/>
      <c r="E1249" s="2959"/>
      <c r="F1249" s="2960"/>
      <c r="G1249" s="2225"/>
      <c r="H1249" s="2225"/>
      <c r="I1249" s="2354"/>
    </row>
    <row r="1250" spans="1:9" s="2070" customFormat="1">
      <c r="A1250" s="2136"/>
      <c r="B1250" s="2129"/>
      <c r="C1250" s="2959"/>
      <c r="D1250" s="2946"/>
      <c r="E1250" s="2959"/>
      <c r="F1250" s="2960"/>
      <c r="G1250" s="2225"/>
      <c r="H1250" s="2225"/>
      <c r="I1250" s="2354"/>
    </row>
    <row r="1251" spans="1:9" s="2070" customFormat="1">
      <c r="A1251" s="2136"/>
      <c r="B1251" s="2129"/>
      <c r="C1251" s="2959"/>
      <c r="D1251" s="2946"/>
      <c r="E1251" s="2959"/>
      <c r="F1251" s="2960"/>
      <c r="G1251" s="2225"/>
      <c r="H1251" s="2225"/>
      <c r="I1251" s="2354"/>
    </row>
    <row r="1252" spans="1:9" s="2070" customFormat="1">
      <c r="A1252" s="2136"/>
      <c r="B1252" s="2129"/>
      <c r="C1252" s="2945"/>
      <c r="D1252" s="2946"/>
      <c r="E1252" s="2945"/>
      <c r="F1252" s="2949"/>
      <c r="G1252" s="2225"/>
      <c r="H1252" s="2225"/>
      <c r="I1252" s="2354"/>
    </row>
    <row r="1253" spans="1:9" s="2070" customFormat="1">
      <c r="A1253" s="2136"/>
      <c r="B1253" s="2129"/>
      <c r="C1253" s="2945"/>
      <c r="D1253" s="2946"/>
      <c r="E1253" s="2945"/>
      <c r="F1253" s="2958"/>
      <c r="G1253" s="2225"/>
      <c r="H1253" s="2225"/>
      <c r="I1253" s="2354"/>
    </row>
    <row r="1254" spans="1:9" s="2070" customFormat="1">
      <c r="A1254" s="2136"/>
      <c r="B1254" s="2129"/>
      <c r="C1254" s="2961"/>
      <c r="D1254" s="2946"/>
      <c r="E1254" s="2959"/>
      <c r="F1254" s="2960"/>
      <c r="G1254" s="2225"/>
      <c r="H1254" s="2225"/>
      <c r="I1254" s="2354"/>
    </row>
    <row r="1255" spans="1:9" s="2070" customFormat="1">
      <c r="A1255" s="2136"/>
      <c r="B1255" s="2129"/>
      <c r="C1255" s="2961"/>
      <c r="D1255" s="2946"/>
      <c r="E1255" s="2959"/>
      <c r="F1255" s="2960"/>
      <c r="G1255" s="2225"/>
      <c r="H1255" s="2225"/>
      <c r="I1255" s="2354"/>
    </row>
    <row r="1256" spans="1:9" s="2070" customFormat="1">
      <c r="A1256" s="2136"/>
      <c r="B1256" s="2129"/>
      <c r="C1256" s="2959"/>
      <c r="D1256" s="2946"/>
      <c r="E1256" s="2959"/>
      <c r="F1256" s="2949"/>
      <c r="G1256" s="2225"/>
      <c r="H1256" s="2225"/>
      <c r="I1256" s="2354"/>
    </row>
    <row r="1257" spans="1:9" s="2070" customFormat="1">
      <c r="A1257" s="2136"/>
      <c r="B1257" s="2944"/>
      <c r="C1257" s="2945"/>
      <c r="D1257" s="2946"/>
      <c r="E1257" s="2945"/>
      <c r="F1257" s="2958"/>
      <c r="G1257" s="2225"/>
      <c r="H1257" s="2225"/>
      <c r="I1257" s="2354"/>
    </row>
    <row r="1258" spans="1:9" s="2070" customFormat="1">
      <c r="A1258" s="2136"/>
      <c r="B1258" s="2129"/>
      <c r="C1258" s="2945"/>
      <c r="D1258" s="2946"/>
      <c r="E1258" s="2945"/>
      <c r="F1258" s="2960"/>
      <c r="G1258" s="2225"/>
      <c r="H1258" s="2225"/>
      <c r="I1258" s="2354"/>
    </row>
    <row r="1259" spans="1:9" s="2070" customFormat="1">
      <c r="A1259" s="2136"/>
      <c r="B1259" s="2129"/>
      <c r="C1259" s="2945"/>
      <c r="D1259" s="2946"/>
      <c r="E1259" s="2945"/>
      <c r="F1259" s="2960"/>
      <c r="G1259" s="2225"/>
      <c r="H1259" s="2225"/>
      <c r="I1259" s="2354"/>
    </row>
    <row r="1260" spans="1:9" s="2070" customFormat="1">
      <c r="A1260" s="2136"/>
      <c r="B1260" s="2129"/>
      <c r="C1260" s="2945"/>
      <c r="D1260" s="2946"/>
      <c r="E1260" s="2945"/>
      <c r="F1260" s="2960"/>
      <c r="G1260" s="2225"/>
      <c r="H1260" s="2225"/>
      <c r="I1260" s="2354"/>
    </row>
    <row r="1261" spans="1:9" s="2070" customFormat="1">
      <c r="A1261" s="2136"/>
      <c r="B1261" s="2129"/>
      <c r="C1261" s="2945"/>
      <c r="D1261" s="2946"/>
      <c r="E1261" s="2945"/>
      <c r="F1261" s="2960"/>
      <c r="G1261" s="2225"/>
      <c r="H1261" s="2225"/>
      <c r="I1261" s="2354"/>
    </row>
    <row r="1262" spans="1:9" s="2070" customFormat="1">
      <c r="A1262" s="2136"/>
      <c r="B1262" s="2129"/>
      <c r="C1262" s="2945"/>
      <c r="D1262" s="2946"/>
      <c r="E1262" s="2945"/>
      <c r="F1262" s="2960"/>
      <c r="G1262" s="2225"/>
      <c r="H1262" s="2225"/>
      <c r="I1262" s="2354"/>
    </row>
    <row r="1263" spans="1:9" s="2070" customFormat="1">
      <c r="A1263" s="2136"/>
      <c r="B1263" s="2948"/>
      <c r="C1263" s="2945"/>
      <c r="D1263" s="2946"/>
      <c r="E1263" s="2069"/>
      <c r="F1263" s="2947"/>
      <c r="G1263" s="2225"/>
      <c r="H1263" s="2225"/>
      <c r="I1263" s="2354"/>
    </row>
    <row r="1264" spans="1:9" s="2070" customFormat="1">
      <c r="A1264" s="2136"/>
      <c r="B1264" s="2948"/>
      <c r="C1264" s="2945"/>
      <c r="D1264" s="2946"/>
      <c r="E1264" s="2069"/>
      <c r="F1264" s="2947"/>
      <c r="G1264" s="2225"/>
      <c r="H1264" s="2225"/>
      <c r="I1264" s="2354"/>
    </row>
    <row r="1265" spans="1:9" s="2070" customFormat="1">
      <c r="A1265" s="2136"/>
      <c r="B1265" s="2129"/>
      <c r="C1265" s="2945"/>
      <c r="D1265" s="2946"/>
      <c r="E1265" s="2945"/>
      <c r="F1265" s="2947"/>
      <c r="G1265" s="2225"/>
      <c r="H1265" s="2225"/>
      <c r="I1265" s="2354"/>
    </row>
    <row r="1266" spans="1:9" s="2070" customFormat="1" ht="13.5" thickBot="1">
      <c r="A1266" s="2139"/>
      <c r="B1266" s="2140"/>
      <c r="C1266" s="2962"/>
      <c r="D1266" s="2807"/>
      <c r="E1266" s="2933"/>
      <c r="F1266" s="2963"/>
      <c r="G1266" s="2225"/>
      <c r="H1266" s="2225"/>
      <c r="I1266" s="2354"/>
    </row>
    <row r="1267" spans="1:9" s="2070" customFormat="1" ht="13.5" thickTop="1">
      <c r="C1267" s="2093"/>
      <c r="D1267" s="2094"/>
      <c r="E1267" s="2093"/>
      <c r="F1267" s="2093"/>
      <c r="G1267" s="2225"/>
      <c r="H1267" s="2225"/>
      <c r="I1267" s="2354"/>
    </row>
    <row r="1268" spans="1:9" s="2070" customFormat="1" ht="13.5" thickBot="1">
      <c r="A1268" s="2122"/>
      <c r="B1268" s="2122"/>
      <c r="C1268" s="2093"/>
      <c r="D1268" s="2094"/>
      <c r="E1268" s="2093"/>
      <c r="F1268" s="2093"/>
      <c r="G1268" s="2225"/>
      <c r="H1268" s="2225"/>
      <c r="I1268" s="2354"/>
    </row>
    <row r="1269" spans="1:9" s="2070" customFormat="1" ht="13.5" thickTop="1">
      <c r="A1269" s="2912"/>
      <c r="B1269" s="2940"/>
      <c r="C1269" s="2127"/>
      <c r="D1269" s="2942"/>
      <c r="E1269" s="2127"/>
      <c r="F1269" s="2964"/>
      <c r="G1269" s="2225"/>
      <c r="H1269" s="2225"/>
      <c r="I1269" s="2354"/>
    </row>
    <row r="1270" spans="1:9" s="2070" customFormat="1">
      <c r="A1270" s="2136"/>
      <c r="B1270" s="2129"/>
      <c r="C1270" s="2135"/>
      <c r="D1270" s="2946"/>
      <c r="E1270" s="2959"/>
      <c r="F1270" s="2960"/>
      <c r="G1270" s="2225"/>
      <c r="H1270" s="2225"/>
      <c r="I1270" s="2354"/>
    </row>
    <row r="1271" spans="1:9" s="2070" customFormat="1">
      <c r="A1271" s="2136"/>
      <c r="B1271" s="2129"/>
      <c r="C1271" s="2135"/>
      <c r="D1271" s="2946"/>
      <c r="E1271" s="2959"/>
      <c r="F1271" s="2960"/>
      <c r="G1271" s="2225"/>
      <c r="H1271" s="2225"/>
      <c r="I1271" s="2354"/>
    </row>
    <row r="1272" spans="1:9" s="2070" customFormat="1">
      <c r="A1272" s="2136"/>
      <c r="B1272" s="2129"/>
      <c r="C1272" s="2135"/>
      <c r="D1272" s="2946"/>
      <c r="E1272" s="2959"/>
      <c r="F1272" s="2960"/>
      <c r="G1272" s="2225"/>
      <c r="H1272" s="2225"/>
      <c r="I1272" s="2354"/>
    </row>
    <row r="1273" spans="1:9" s="2070" customFormat="1">
      <c r="A1273" s="2136"/>
      <c r="B1273" s="2129"/>
      <c r="C1273" s="2135"/>
      <c r="D1273" s="2946"/>
      <c r="E1273" s="2959"/>
      <c r="F1273" s="2965"/>
      <c r="G1273" s="2225"/>
      <c r="H1273" s="2225"/>
      <c r="I1273" s="2354"/>
    </row>
    <row r="1274" spans="1:9" s="2070" customFormat="1">
      <c r="A1274" s="2136"/>
      <c r="B1274" s="2944"/>
      <c r="C1274" s="2135"/>
      <c r="D1274" s="2946"/>
      <c r="E1274" s="2959"/>
      <c r="F1274" s="2966"/>
      <c r="G1274" s="2225"/>
      <c r="H1274" s="2225"/>
      <c r="I1274" s="2354"/>
    </row>
    <row r="1275" spans="1:9" s="2070" customFormat="1">
      <c r="A1275" s="2136"/>
      <c r="B1275" s="2129"/>
      <c r="C1275" s="2135"/>
      <c r="D1275" s="2946"/>
      <c r="E1275" s="2959"/>
      <c r="F1275" s="2960"/>
      <c r="G1275" s="2225"/>
      <c r="H1275" s="2225"/>
      <c r="I1275" s="2354"/>
    </row>
    <row r="1276" spans="1:9" s="2070" customFormat="1">
      <c r="A1276" s="2136"/>
      <c r="B1276" s="2129"/>
      <c r="C1276" s="2135"/>
      <c r="D1276" s="2946"/>
      <c r="E1276" s="2959"/>
      <c r="F1276" s="2960"/>
      <c r="G1276" s="2225"/>
      <c r="H1276" s="2225"/>
      <c r="I1276" s="2354"/>
    </row>
    <row r="1277" spans="1:9" s="2070" customFormat="1">
      <c r="A1277" s="2136"/>
      <c r="B1277" s="2129"/>
      <c r="C1277" s="2135"/>
      <c r="D1277" s="2946"/>
      <c r="E1277" s="2959"/>
      <c r="F1277" s="2960"/>
      <c r="G1277" s="2225"/>
      <c r="H1277" s="2225"/>
      <c r="I1277" s="2354"/>
    </row>
    <row r="1278" spans="1:9" s="2070" customFormat="1">
      <c r="A1278" s="2136"/>
      <c r="B1278" s="2129"/>
      <c r="C1278" s="2135"/>
      <c r="D1278" s="2946"/>
      <c r="E1278" s="2959"/>
      <c r="F1278" s="2967"/>
      <c r="G1278" s="2225"/>
      <c r="H1278" s="2225"/>
      <c r="I1278" s="2354"/>
    </row>
    <row r="1279" spans="1:9" s="2070" customFormat="1">
      <c r="A1279" s="2136"/>
      <c r="B1279" s="2129"/>
      <c r="C1279" s="2135"/>
      <c r="D1279" s="2946"/>
      <c r="E1279" s="2069"/>
      <c r="F1279" s="2966"/>
      <c r="G1279" s="2225"/>
      <c r="H1279" s="2225"/>
      <c r="I1279" s="2354"/>
    </row>
    <row r="1280" spans="1:9" s="2070" customFormat="1" ht="13.5" thickBot="1">
      <c r="A1280" s="2139"/>
      <c r="B1280" s="2140"/>
      <c r="C1280" s="2968"/>
      <c r="D1280" s="2807"/>
      <c r="E1280" s="2933"/>
      <c r="F1280" s="2969"/>
      <c r="G1280" s="2225"/>
      <c r="H1280" s="2225"/>
      <c r="I1280" s="2354"/>
    </row>
    <row r="1281" spans="1:9" s="2070" customFormat="1" ht="13.5" thickTop="1">
      <c r="C1281" s="2093"/>
      <c r="D1281" s="2094"/>
      <c r="E1281" s="2093"/>
      <c r="F1281" s="2970"/>
      <c r="G1281" s="2225"/>
      <c r="H1281" s="2225"/>
      <c r="I1281" s="2354"/>
    </row>
    <row r="1282" spans="1:9" s="2070" customFormat="1" ht="13.5" thickBot="1">
      <c r="A1282" s="2147"/>
      <c r="B1282" s="2122"/>
      <c r="C1282" s="2935"/>
      <c r="D1282" s="2936"/>
      <c r="E1282" s="2935"/>
      <c r="F1282" s="2935"/>
      <c r="G1282" s="2225"/>
      <c r="H1282" s="2225"/>
      <c r="I1282" s="2354"/>
    </row>
    <row r="1283" spans="1:9" s="2070" customFormat="1" ht="13.5" thickTop="1">
      <c r="A1283" s="2246"/>
      <c r="B1283" s="2940"/>
      <c r="C1283" s="2127"/>
      <c r="D1283" s="2942"/>
      <c r="E1283" s="2127"/>
      <c r="F1283" s="2964"/>
      <c r="G1283" s="2225"/>
      <c r="H1283" s="2225"/>
      <c r="I1283" s="2354"/>
    </row>
    <row r="1284" spans="1:9" s="2070" customFormat="1">
      <c r="A1284" s="2068"/>
      <c r="B1284" s="2129"/>
      <c r="C1284" s="2959"/>
      <c r="D1284" s="2946"/>
      <c r="E1284" s="2959"/>
      <c r="F1284" s="2960"/>
      <c r="G1284" s="2225"/>
      <c r="H1284" s="2225"/>
      <c r="I1284" s="2354"/>
    </row>
    <row r="1285" spans="1:9" s="2070" customFormat="1">
      <c r="A1285" s="2068"/>
      <c r="B1285" s="2129"/>
      <c r="C1285" s="2959"/>
      <c r="D1285" s="2946"/>
      <c r="E1285" s="2959"/>
      <c r="F1285" s="2960"/>
      <c r="G1285" s="2225"/>
      <c r="H1285" s="2225"/>
      <c r="I1285" s="2354"/>
    </row>
    <row r="1286" spans="1:9" s="2070" customFormat="1">
      <c r="A1286" s="2068"/>
      <c r="B1286" s="2129"/>
      <c r="C1286" s="2959"/>
      <c r="D1286" s="2946"/>
      <c r="E1286" s="2959"/>
      <c r="F1286" s="2967"/>
      <c r="G1286" s="2225"/>
      <c r="H1286" s="2225"/>
      <c r="I1286" s="2354"/>
    </row>
    <row r="1287" spans="1:9" s="2070" customFormat="1">
      <c r="A1287" s="2068"/>
      <c r="B1287" s="2944"/>
      <c r="C1287" s="2959"/>
      <c r="D1287" s="2946"/>
      <c r="E1287" s="2959"/>
      <c r="F1287" s="2966"/>
      <c r="G1287" s="2225"/>
      <c r="H1287" s="2225"/>
      <c r="I1287" s="2354"/>
    </row>
    <row r="1288" spans="1:9" s="2070" customFormat="1">
      <c r="A1288" s="2068"/>
      <c r="B1288" s="2129"/>
      <c r="C1288" s="2959"/>
      <c r="D1288" s="2946"/>
      <c r="E1288" s="2959"/>
      <c r="F1288" s="2960"/>
      <c r="G1288" s="2225"/>
      <c r="H1288" s="2225"/>
      <c r="I1288" s="2354"/>
    </row>
    <row r="1289" spans="1:9" s="2070" customFormat="1">
      <c r="A1289" s="2068"/>
      <c r="B1289" s="2129"/>
      <c r="C1289" s="2959"/>
      <c r="D1289" s="2946"/>
      <c r="E1289" s="2959"/>
      <c r="F1289" s="2960"/>
      <c r="G1289" s="2225"/>
      <c r="H1289" s="2225"/>
      <c r="I1289" s="2354"/>
    </row>
    <row r="1290" spans="1:9" s="2070" customFormat="1">
      <c r="A1290" s="2068"/>
      <c r="B1290" s="2129"/>
      <c r="C1290" s="2959"/>
      <c r="D1290" s="2946"/>
      <c r="E1290" s="2959"/>
      <c r="F1290" s="2960"/>
      <c r="G1290" s="2225"/>
      <c r="H1290" s="2225"/>
      <c r="I1290" s="2354"/>
    </row>
    <row r="1291" spans="1:9" s="2070" customFormat="1">
      <c r="A1291" s="2068"/>
      <c r="B1291" s="2129"/>
      <c r="C1291" s="2959"/>
      <c r="D1291" s="2946"/>
      <c r="E1291" s="2959"/>
      <c r="F1291" s="2967"/>
      <c r="G1291" s="2225"/>
      <c r="H1291" s="2225"/>
      <c r="I1291" s="2354"/>
    </row>
    <row r="1292" spans="1:9" s="2070" customFormat="1">
      <c r="A1292" s="2068"/>
      <c r="B1292" s="2129"/>
      <c r="C1292" s="2959"/>
      <c r="D1292" s="2946"/>
      <c r="E1292" s="2971"/>
      <c r="F1292" s="2966"/>
      <c r="G1292" s="2225"/>
      <c r="H1292" s="2225"/>
      <c r="I1292" s="2354"/>
    </row>
    <row r="1293" spans="1:9" s="2070" customFormat="1" ht="13.5" thickBot="1">
      <c r="A1293" s="2099"/>
      <c r="B1293" s="2140"/>
      <c r="C1293" s="2972"/>
      <c r="D1293" s="2807"/>
      <c r="E1293" s="2973"/>
      <c r="F1293" s="2969"/>
      <c r="G1293" s="2225"/>
      <c r="H1293" s="2225"/>
      <c r="I1293" s="2354"/>
    </row>
    <row r="1294" spans="1:9" s="2070" customFormat="1" ht="13.5" thickTop="1">
      <c r="B1294" s="2117"/>
      <c r="C1294" s="2935"/>
      <c r="D1294" s="2936"/>
      <c r="E1294" s="2935"/>
      <c r="F1294" s="2970"/>
      <c r="G1294" s="2225"/>
      <c r="H1294" s="2225"/>
      <c r="I1294" s="2354"/>
    </row>
    <row r="1295" spans="1:9" s="2070" customFormat="1" ht="13.5" thickBot="1">
      <c r="A1295" s="2147"/>
      <c r="B1295" s="2122"/>
      <c r="C1295" s="2935"/>
      <c r="D1295" s="2936"/>
      <c r="E1295" s="2935"/>
      <c r="F1295" s="2935"/>
      <c r="G1295" s="2225"/>
      <c r="H1295" s="2225"/>
      <c r="I1295" s="2354"/>
    </row>
    <row r="1296" spans="1:9" s="2070" customFormat="1" ht="13.5" thickTop="1">
      <c r="A1296" s="2246"/>
      <c r="B1296" s="2940"/>
      <c r="C1296" s="2127"/>
      <c r="D1296" s="2942"/>
      <c r="E1296" s="2127"/>
      <c r="F1296" s="2964"/>
      <c r="G1296" s="2225"/>
      <c r="H1296" s="2225"/>
      <c r="I1296" s="2354"/>
    </row>
    <row r="1297" spans="1:9" s="2070" customFormat="1">
      <c r="A1297" s="2068"/>
      <c r="B1297" s="2129"/>
      <c r="C1297" s="2959"/>
      <c r="D1297" s="2946"/>
      <c r="E1297" s="2959"/>
      <c r="F1297" s="2960"/>
      <c r="G1297" s="2225"/>
      <c r="H1297" s="2225"/>
      <c r="I1297" s="2354"/>
    </row>
    <row r="1298" spans="1:9" s="2070" customFormat="1">
      <c r="A1298" s="2068"/>
      <c r="B1298" s="2129"/>
      <c r="C1298" s="2959"/>
      <c r="D1298" s="2946"/>
      <c r="E1298" s="2959"/>
      <c r="F1298" s="2960"/>
      <c r="G1298" s="2225"/>
      <c r="H1298" s="2225"/>
      <c r="I1298" s="2354"/>
    </row>
    <row r="1299" spans="1:9" s="2070" customFormat="1">
      <c r="A1299" s="2068"/>
      <c r="B1299" s="2129"/>
      <c r="C1299" s="2959"/>
      <c r="D1299" s="2946"/>
      <c r="E1299" s="2959"/>
      <c r="F1299" s="2967"/>
      <c r="G1299" s="2225"/>
      <c r="H1299" s="2225"/>
      <c r="I1299" s="2354"/>
    </row>
    <row r="1300" spans="1:9" s="2070" customFormat="1">
      <c r="A1300" s="2068"/>
      <c r="B1300" s="2944"/>
      <c r="C1300" s="2959"/>
      <c r="D1300" s="2946"/>
      <c r="E1300" s="2959"/>
      <c r="F1300" s="2966"/>
      <c r="G1300" s="2225"/>
      <c r="H1300" s="2225"/>
      <c r="I1300" s="2354"/>
    </row>
    <row r="1301" spans="1:9" s="2070" customFormat="1">
      <c r="A1301" s="2068"/>
      <c r="B1301" s="2129"/>
      <c r="C1301" s="2959"/>
      <c r="D1301" s="2946"/>
      <c r="E1301" s="2959"/>
      <c r="F1301" s="2960"/>
      <c r="G1301" s="2225"/>
      <c r="H1301" s="2225"/>
      <c r="I1301" s="2354"/>
    </row>
    <row r="1302" spans="1:9" s="2070" customFormat="1">
      <c r="A1302" s="2068"/>
      <c r="B1302" s="2129"/>
      <c r="C1302" s="2959"/>
      <c r="D1302" s="2946"/>
      <c r="E1302" s="2959"/>
      <c r="F1302" s="2960"/>
      <c r="G1302" s="2225"/>
      <c r="H1302" s="2225"/>
      <c r="I1302" s="2354"/>
    </row>
    <row r="1303" spans="1:9" s="2070" customFormat="1">
      <c r="A1303" s="2068"/>
      <c r="B1303" s="2129"/>
      <c r="C1303" s="2959"/>
      <c r="D1303" s="2946"/>
      <c r="E1303" s="2959"/>
      <c r="F1303" s="2960"/>
      <c r="G1303" s="2225"/>
      <c r="H1303" s="2225"/>
      <c r="I1303" s="2354"/>
    </row>
    <row r="1304" spans="1:9" s="2070" customFormat="1">
      <c r="A1304" s="2068"/>
      <c r="B1304" s="2129"/>
      <c r="C1304" s="2959"/>
      <c r="D1304" s="2946"/>
      <c r="E1304" s="2959"/>
      <c r="F1304" s="2967"/>
      <c r="G1304" s="2225"/>
      <c r="H1304" s="2225"/>
      <c r="I1304" s="2354"/>
    </row>
    <row r="1305" spans="1:9" s="2070" customFormat="1">
      <c r="A1305" s="2068"/>
      <c r="B1305" s="2129"/>
      <c r="C1305" s="2959"/>
      <c r="D1305" s="2946"/>
      <c r="E1305" s="2971"/>
      <c r="F1305" s="2966"/>
      <c r="G1305" s="2225"/>
      <c r="H1305" s="2225"/>
      <c r="I1305" s="2354"/>
    </row>
    <row r="1306" spans="1:9" s="2070" customFormat="1" ht="13.5" thickBot="1">
      <c r="A1306" s="2099"/>
      <c r="B1306" s="2140"/>
      <c r="C1306" s="2972"/>
      <c r="D1306" s="2807"/>
      <c r="E1306" s="2973"/>
      <c r="F1306" s="2969"/>
      <c r="G1306" s="2225"/>
      <c r="H1306" s="2225"/>
      <c r="I1306" s="2354"/>
    </row>
    <row r="1307" spans="1:9" s="2070" customFormat="1" ht="13.5" thickTop="1">
      <c r="B1307" s="2117"/>
      <c r="C1307" s="2935"/>
      <c r="D1307" s="2936"/>
      <c r="E1307" s="2935"/>
      <c r="F1307" s="2970"/>
      <c r="G1307" s="2225"/>
      <c r="H1307" s="2225"/>
      <c r="I1307" s="2354"/>
    </row>
    <row r="1308" spans="1:9" s="2070" customFormat="1" ht="13.5" thickBot="1">
      <c r="A1308" s="2147"/>
      <c r="B1308" s="2122"/>
      <c r="C1308" s="2935"/>
      <c r="D1308" s="2936"/>
      <c r="E1308" s="2935"/>
      <c r="F1308" s="2935"/>
      <c r="G1308" s="2225"/>
      <c r="H1308" s="2225"/>
      <c r="I1308" s="2354"/>
    </row>
    <row r="1309" spans="1:9" s="2070" customFormat="1" ht="13.5" thickTop="1">
      <c r="A1309" s="2246"/>
      <c r="B1309" s="2940"/>
      <c r="C1309" s="2127"/>
      <c r="D1309" s="2942"/>
      <c r="E1309" s="2127"/>
      <c r="F1309" s="2964"/>
      <c r="G1309" s="2225"/>
      <c r="H1309" s="2225"/>
      <c r="I1309" s="2354"/>
    </row>
    <row r="1310" spans="1:9" s="2070" customFormat="1">
      <c r="A1310" s="2863"/>
      <c r="B1310" s="2129"/>
      <c r="C1310" s="2959"/>
      <c r="D1310" s="2946"/>
      <c r="E1310" s="2959"/>
      <c r="F1310" s="2960"/>
      <c r="G1310" s="2225"/>
      <c r="H1310" s="2225"/>
      <c r="I1310" s="2354"/>
    </row>
    <row r="1311" spans="1:9" s="2070" customFormat="1">
      <c r="A1311" s="2068"/>
      <c r="B1311" s="2129"/>
      <c r="C1311" s="2959"/>
      <c r="D1311" s="2946"/>
      <c r="E1311" s="2959"/>
      <c r="F1311" s="2960"/>
      <c r="G1311" s="2225"/>
      <c r="H1311" s="2225"/>
      <c r="I1311" s="2354"/>
    </row>
    <row r="1312" spans="1:9" s="2070" customFormat="1">
      <c r="A1312" s="2068"/>
      <c r="B1312" s="2129"/>
      <c r="C1312" s="2959"/>
      <c r="D1312" s="2946"/>
      <c r="E1312" s="2959"/>
      <c r="F1312" s="2960"/>
      <c r="G1312" s="2225"/>
      <c r="H1312" s="2225"/>
      <c r="I1312" s="2354"/>
    </row>
    <row r="1313" spans="1:9" s="2070" customFormat="1">
      <c r="A1313" s="2068"/>
      <c r="B1313" s="2129"/>
      <c r="C1313" s="2959"/>
      <c r="D1313" s="2946"/>
      <c r="E1313" s="2959"/>
      <c r="F1313" s="2967"/>
      <c r="G1313" s="2225"/>
      <c r="H1313" s="2225"/>
      <c r="I1313" s="2354"/>
    </row>
    <row r="1314" spans="1:9" s="2070" customFormat="1">
      <c r="A1314" s="2068"/>
      <c r="B1314" s="2944"/>
      <c r="C1314" s="2959"/>
      <c r="D1314" s="2946"/>
      <c r="E1314" s="2959"/>
      <c r="F1314" s="2966"/>
      <c r="G1314" s="2225"/>
      <c r="H1314" s="2225"/>
      <c r="I1314" s="2354"/>
    </row>
    <row r="1315" spans="1:9" s="2070" customFormat="1">
      <c r="A1315" s="2068"/>
      <c r="B1315" s="2129"/>
      <c r="C1315" s="2959"/>
      <c r="D1315" s="2946"/>
      <c r="E1315" s="2959"/>
      <c r="F1315" s="2960"/>
      <c r="G1315" s="2225"/>
      <c r="H1315" s="2225"/>
      <c r="I1315" s="2354"/>
    </row>
    <row r="1316" spans="1:9" s="2070" customFormat="1">
      <c r="A1316" s="2068"/>
      <c r="B1316" s="2129"/>
      <c r="C1316" s="2959"/>
      <c r="D1316" s="2946"/>
      <c r="E1316" s="2959"/>
      <c r="F1316" s="2960"/>
      <c r="G1316" s="2225"/>
      <c r="H1316" s="2225"/>
      <c r="I1316" s="2354"/>
    </row>
    <row r="1317" spans="1:9" s="2070" customFormat="1">
      <c r="A1317" s="2068"/>
      <c r="B1317" s="2129"/>
      <c r="C1317" s="2959"/>
      <c r="D1317" s="2946"/>
      <c r="E1317" s="2959"/>
      <c r="F1317" s="2960"/>
      <c r="G1317" s="2225"/>
      <c r="H1317" s="2225"/>
      <c r="I1317" s="2354"/>
    </row>
    <row r="1318" spans="1:9" s="2070" customFormat="1">
      <c r="A1318" s="2068"/>
      <c r="B1318" s="2129"/>
      <c r="C1318" s="2959"/>
      <c r="D1318" s="2946"/>
      <c r="E1318" s="2959"/>
      <c r="F1318" s="2967"/>
      <c r="G1318" s="2225"/>
      <c r="H1318" s="2225"/>
      <c r="I1318" s="2354"/>
    </row>
    <row r="1319" spans="1:9" s="2070" customFormat="1">
      <c r="A1319" s="2068"/>
      <c r="B1319" s="2129"/>
      <c r="C1319" s="2959"/>
      <c r="D1319" s="2946"/>
      <c r="E1319" s="2971"/>
      <c r="F1319" s="2966"/>
      <c r="G1319" s="2225"/>
      <c r="H1319" s="2225"/>
      <c r="I1319" s="2354"/>
    </row>
    <row r="1320" spans="1:9" s="2070" customFormat="1" ht="13.5" thickBot="1">
      <c r="A1320" s="2099"/>
      <c r="B1320" s="2140"/>
      <c r="C1320" s="2972"/>
      <c r="D1320" s="2807"/>
      <c r="E1320" s="2973"/>
      <c r="F1320" s="2969"/>
      <c r="G1320" s="2225"/>
      <c r="H1320" s="2225"/>
      <c r="I1320" s="2354"/>
    </row>
    <row r="1321" spans="1:9" s="2070" customFormat="1" ht="13.5" thickTop="1">
      <c r="B1321" s="2117"/>
      <c r="C1321" s="2935"/>
      <c r="D1321" s="2936"/>
      <c r="E1321" s="2935"/>
      <c r="F1321" s="2970"/>
      <c r="G1321" s="2225"/>
      <c r="H1321" s="2225"/>
      <c r="I1321" s="2354"/>
    </row>
    <row r="1322" spans="1:9" s="2070" customFormat="1" ht="13.5" thickBot="1">
      <c r="A1322" s="2147"/>
      <c r="B1322" s="2122"/>
      <c r="C1322" s="2935"/>
      <c r="D1322" s="2936"/>
      <c r="E1322" s="2935"/>
      <c r="F1322" s="2935"/>
      <c r="G1322" s="2225"/>
      <c r="H1322" s="2225"/>
      <c r="I1322" s="2354"/>
    </row>
    <row r="1323" spans="1:9" s="2070" customFormat="1" ht="13.5" thickTop="1">
      <c r="A1323" s="2246"/>
      <c r="B1323" s="2940"/>
      <c r="C1323" s="2127"/>
      <c r="D1323" s="2942"/>
      <c r="E1323" s="2127"/>
      <c r="F1323" s="2964"/>
      <c r="G1323" s="2225"/>
      <c r="H1323" s="2225"/>
      <c r="I1323" s="2354"/>
    </row>
    <row r="1324" spans="1:9" s="2070" customFormat="1">
      <c r="A1324" s="2068"/>
      <c r="B1324" s="2129"/>
      <c r="C1324" s="2959"/>
      <c r="D1324" s="2946"/>
      <c r="E1324" s="2959"/>
      <c r="F1324" s="2960"/>
      <c r="G1324" s="2225"/>
      <c r="H1324" s="2225"/>
      <c r="I1324" s="2354"/>
    </row>
    <row r="1325" spans="1:9" s="2070" customFormat="1">
      <c r="A1325" s="2068"/>
      <c r="B1325" s="2129"/>
      <c r="C1325" s="2959"/>
      <c r="D1325" s="2946"/>
      <c r="E1325" s="2959"/>
      <c r="F1325" s="2960"/>
      <c r="G1325" s="2225"/>
      <c r="H1325" s="2225"/>
      <c r="I1325" s="2354"/>
    </row>
    <row r="1326" spans="1:9" s="2070" customFormat="1">
      <c r="A1326" s="2068"/>
      <c r="B1326" s="2129"/>
      <c r="C1326" s="2959"/>
      <c r="D1326" s="2946"/>
      <c r="E1326" s="2959"/>
      <c r="F1326" s="2967"/>
      <c r="G1326" s="2225"/>
      <c r="H1326" s="2225"/>
      <c r="I1326" s="2354"/>
    </row>
    <row r="1327" spans="1:9" s="2070" customFormat="1">
      <c r="A1327" s="2068"/>
      <c r="B1327" s="2944"/>
      <c r="C1327" s="2959"/>
      <c r="D1327" s="2946"/>
      <c r="E1327" s="2959"/>
      <c r="F1327" s="2966"/>
      <c r="G1327" s="2225"/>
      <c r="H1327" s="2225"/>
      <c r="I1327" s="2354"/>
    </row>
    <row r="1328" spans="1:9" s="2070" customFormat="1">
      <c r="A1328" s="2068"/>
      <c r="B1328" s="2129"/>
      <c r="C1328" s="2959"/>
      <c r="D1328" s="2946"/>
      <c r="E1328" s="2959"/>
      <c r="F1328" s="2960"/>
      <c r="G1328" s="2225"/>
      <c r="H1328" s="2225"/>
      <c r="I1328" s="2354"/>
    </row>
    <row r="1329" spans="1:9" s="2070" customFormat="1">
      <c r="A1329" s="2068"/>
      <c r="B1329" s="2129"/>
      <c r="C1329" s="2959"/>
      <c r="D1329" s="2946"/>
      <c r="E1329" s="2959"/>
      <c r="F1329" s="2960"/>
      <c r="G1329" s="2225"/>
      <c r="H1329" s="2225"/>
      <c r="I1329" s="2354"/>
    </row>
    <row r="1330" spans="1:9" s="2070" customFormat="1">
      <c r="A1330" s="2068"/>
      <c r="B1330" s="2129"/>
      <c r="C1330" s="2959"/>
      <c r="D1330" s="2946"/>
      <c r="E1330" s="2959"/>
      <c r="F1330" s="2960"/>
      <c r="G1330" s="2225"/>
      <c r="H1330" s="2225"/>
      <c r="I1330" s="2354"/>
    </row>
    <row r="1331" spans="1:9" s="2070" customFormat="1">
      <c r="A1331" s="2068"/>
      <c r="B1331" s="2129"/>
      <c r="C1331" s="2959"/>
      <c r="D1331" s="2946"/>
      <c r="E1331" s="2959"/>
      <c r="F1331" s="2967"/>
      <c r="G1331" s="2225"/>
      <c r="H1331" s="2225"/>
      <c r="I1331" s="2354"/>
    </row>
    <row r="1332" spans="1:9" s="2070" customFormat="1">
      <c r="A1332" s="2068"/>
      <c r="B1332" s="2129"/>
      <c r="C1332" s="2959"/>
      <c r="D1332" s="2946"/>
      <c r="E1332" s="2971"/>
      <c r="F1332" s="2966"/>
      <c r="G1332" s="2225"/>
      <c r="H1332" s="2225"/>
      <c r="I1332" s="2354"/>
    </row>
    <row r="1333" spans="1:9" s="2070" customFormat="1" ht="13.5" thickBot="1">
      <c r="A1333" s="2099"/>
      <c r="B1333" s="2140"/>
      <c r="C1333" s="2972"/>
      <c r="D1333" s="2807"/>
      <c r="E1333" s="2973"/>
      <c r="F1333" s="2969"/>
      <c r="G1333" s="2225"/>
      <c r="H1333" s="2225"/>
      <c r="I1333" s="2354"/>
    </row>
    <row r="1334" spans="1:9" s="2070" customFormat="1" ht="13.5" thickTop="1">
      <c r="B1334" s="2117"/>
      <c r="C1334" s="2935"/>
      <c r="D1334" s="2936"/>
      <c r="E1334" s="2935"/>
      <c r="F1334" s="2970"/>
      <c r="G1334" s="2225"/>
      <c r="H1334" s="2225"/>
      <c r="I1334" s="2354"/>
    </row>
    <row r="1335" spans="1:9" s="2070" customFormat="1" ht="13.5" thickBot="1">
      <c r="A1335" s="2147"/>
      <c r="B1335" s="2122"/>
      <c r="C1335" s="2935"/>
      <c r="D1335" s="2936"/>
      <c r="E1335" s="2935"/>
      <c r="F1335" s="2935"/>
      <c r="G1335" s="2225"/>
      <c r="H1335" s="2225"/>
      <c r="I1335" s="2354"/>
    </row>
    <row r="1336" spans="1:9" s="2070" customFormat="1" ht="13.5" thickTop="1">
      <c r="A1336" s="2246"/>
      <c r="B1336" s="2940"/>
      <c r="C1336" s="2127"/>
      <c r="D1336" s="2942"/>
      <c r="E1336" s="2127"/>
      <c r="F1336" s="2964"/>
      <c r="G1336" s="2225"/>
      <c r="H1336" s="2225"/>
      <c r="I1336" s="2354"/>
    </row>
    <row r="1337" spans="1:9" s="2070" customFormat="1">
      <c r="A1337" s="2068"/>
      <c r="B1337" s="2129"/>
      <c r="C1337" s="2959"/>
      <c r="D1337" s="2946"/>
      <c r="E1337" s="2959"/>
      <c r="F1337" s="2960"/>
      <c r="G1337" s="2225"/>
      <c r="H1337" s="2225"/>
      <c r="I1337" s="2354"/>
    </row>
    <row r="1338" spans="1:9" s="2070" customFormat="1">
      <c r="A1338" s="2068"/>
      <c r="B1338" s="2129"/>
      <c r="C1338" s="2959"/>
      <c r="D1338" s="2946"/>
      <c r="E1338" s="2959"/>
      <c r="F1338" s="2960"/>
      <c r="G1338" s="2225"/>
      <c r="H1338" s="2225"/>
      <c r="I1338" s="2354"/>
    </row>
    <row r="1339" spans="1:9" s="2070" customFormat="1">
      <c r="A1339" s="2068"/>
      <c r="B1339" s="2129"/>
      <c r="C1339" s="2959"/>
      <c r="D1339" s="2946"/>
      <c r="E1339" s="2959"/>
      <c r="F1339" s="2967"/>
      <c r="G1339" s="2225"/>
      <c r="H1339" s="2225"/>
      <c r="I1339" s="2354"/>
    </row>
    <row r="1340" spans="1:9" s="2070" customFormat="1">
      <c r="A1340" s="2068"/>
      <c r="B1340" s="2944"/>
      <c r="C1340" s="2959"/>
      <c r="D1340" s="2946"/>
      <c r="E1340" s="2959"/>
      <c r="F1340" s="2966"/>
      <c r="G1340" s="2225"/>
      <c r="H1340" s="2225"/>
      <c r="I1340" s="2354"/>
    </row>
    <row r="1341" spans="1:9" s="2070" customFormat="1">
      <c r="A1341" s="2068"/>
      <c r="B1341" s="2129"/>
      <c r="C1341" s="2959"/>
      <c r="D1341" s="2946"/>
      <c r="E1341" s="2959"/>
      <c r="F1341" s="2960"/>
      <c r="G1341" s="2225"/>
      <c r="H1341" s="2225"/>
      <c r="I1341" s="2354"/>
    </row>
    <row r="1342" spans="1:9" s="2070" customFormat="1">
      <c r="A1342" s="2068"/>
      <c r="B1342" s="2129"/>
      <c r="C1342" s="2959"/>
      <c r="D1342" s="2946"/>
      <c r="E1342" s="2959"/>
      <c r="F1342" s="2960"/>
      <c r="G1342" s="2225"/>
      <c r="H1342" s="2225"/>
      <c r="I1342" s="2354"/>
    </row>
    <row r="1343" spans="1:9" s="2070" customFormat="1">
      <c r="A1343" s="2068"/>
      <c r="B1343" s="2129"/>
      <c r="C1343" s="2959"/>
      <c r="D1343" s="2946"/>
      <c r="E1343" s="2959"/>
      <c r="F1343" s="2960"/>
      <c r="G1343" s="2225"/>
      <c r="H1343" s="2225"/>
      <c r="I1343" s="2354"/>
    </row>
    <row r="1344" spans="1:9" s="2070" customFormat="1">
      <c r="A1344" s="2068"/>
      <c r="B1344" s="2129"/>
      <c r="C1344" s="2959"/>
      <c r="D1344" s="2946"/>
      <c r="E1344" s="2959"/>
      <c r="F1344" s="2967"/>
      <c r="G1344" s="2225"/>
      <c r="H1344" s="2225"/>
      <c r="I1344" s="2354"/>
    </row>
    <row r="1345" spans="1:9" s="2070" customFormat="1">
      <c r="A1345" s="2068"/>
      <c r="B1345" s="2129"/>
      <c r="C1345" s="2959"/>
      <c r="D1345" s="2946"/>
      <c r="E1345" s="2971"/>
      <c r="F1345" s="2966"/>
      <c r="G1345" s="2225"/>
      <c r="H1345" s="2225"/>
      <c r="I1345" s="2354"/>
    </row>
    <row r="1346" spans="1:9" s="2070" customFormat="1" ht="13.5" thickBot="1">
      <c r="A1346" s="2099"/>
      <c r="B1346" s="2140"/>
      <c r="C1346" s="2972"/>
      <c r="D1346" s="2807"/>
      <c r="E1346" s="2973"/>
      <c r="F1346" s="2969"/>
      <c r="G1346" s="2225"/>
      <c r="H1346" s="2225"/>
      <c r="I1346" s="2354"/>
    </row>
    <row r="1347" spans="1:9" s="2070" customFormat="1" ht="13.5" thickTop="1">
      <c r="B1347" s="2117"/>
      <c r="C1347" s="2935"/>
      <c r="D1347" s="2936"/>
      <c r="E1347" s="2935"/>
      <c r="F1347" s="2970"/>
      <c r="G1347" s="2225"/>
      <c r="H1347" s="2225"/>
      <c r="I1347" s="2354"/>
    </row>
    <row r="1348" spans="1:9" s="2070" customFormat="1" ht="13.5" thickBot="1">
      <c r="A1348" s="2147"/>
      <c r="B1348" s="2122"/>
      <c r="C1348" s="2935"/>
      <c r="D1348" s="2936"/>
      <c r="E1348" s="2935"/>
      <c r="F1348" s="2935"/>
      <c r="G1348" s="2225"/>
      <c r="H1348" s="2225"/>
      <c r="I1348" s="2354"/>
    </row>
    <row r="1349" spans="1:9" s="2070" customFormat="1" ht="13.5" thickTop="1">
      <c r="A1349" s="2246"/>
      <c r="B1349" s="2940"/>
      <c r="C1349" s="2127"/>
      <c r="D1349" s="2942"/>
      <c r="E1349" s="2127"/>
      <c r="F1349" s="2964"/>
      <c r="G1349" s="2225"/>
      <c r="H1349" s="2225"/>
      <c r="I1349" s="2354"/>
    </row>
    <row r="1350" spans="1:9" s="2070" customFormat="1">
      <c r="A1350" s="2068"/>
      <c r="B1350" s="2129"/>
      <c r="C1350" s="2959"/>
      <c r="D1350" s="2946"/>
      <c r="E1350" s="2959"/>
      <c r="F1350" s="2960"/>
      <c r="G1350" s="2225"/>
      <c r="H1350" s="2225"/>
      <c r="I1350" s="2354"/>
    </row>
    <row r="1351" spans="1:9" s="2070" customFormat="1">
      <c r="A1351" s="2068"/>
      <c r="B1351" s="2129"/>
      <c r="C1351" s="2959"/>
      <c r="D1351" s="2946"/>
      <c r="E1351" s="2959"/>
      <c r="F1351" s="2960"/>
      <c r="G1351" s="2225"/>
      <c r="H1351" s="2225"/>
      <c r="I1351" s="2354"/>
    </row>
    <row r="1352" spans="1:9" s="2070" customFormat="1">
      <c r="A1352" s="2068"/>
      <c r="B1352" s="2129"/>
      <c r="C1352" s="2959"/>
      <c r="D1352" s="2946"/>
      <c r="E1352" s="2959"/>
      <c r="F1352" s="2967"/>
      <c r="G1352" s="2225"/>
      <c r="H1352" s="2225"/>
      <c r="I1352" s="2354"/>
    </row>
    <row r="1353" spans="1:9" s="2070" customFormat="1">
      <c r="A1353" s="2068"/>
      <c r="B1353" s="2944"/>
      <c r="C1353" s="2959"/>
      <c r="D1353" s="2946"/>
      <c r="E1353" s="2959"/>
      <c r="F1353" s="2966"/>
      <c r="G1353" s="2225"/>
      <c r="H1353" s="2225"/>
      <c r="I1353" s="2354"/>
    </row>
    <row r="1354" spans="1:9" s="2070" customFormat="1">
      <c r="A1354" s="2068"/>
      <c r="B1354" s="2129"/>
      <c r="C1354" s="2959"/>
      <c r="D1354" s="2946"/>
      <c r="E1354" s="2959"/>
      <c r="F1354" s="2960"/>
      <c r="G1354" s="2225"/>
      <c r="H1354" s="2225"/>
      <c r="I1354" s="2354"/>
    </row>
    <row r="1355" spans="1:9" s="2070" customFormat="1">
      <c r="A1355" s="2068"/>
      <c r="B1355" s="2129"/>
      <c r="C1355" s="2959"/>
      <c r="D1355" s="2946"/>
      <c r="E1355" s="2959"/>
      <c r="F1355" s="2960"/>
      <c r="G1355" s="2225"/>
      <c r="H1355" s="2225"/>
      <c r="I1355" s="2354"/>
    </row>
    <row r="1356" spans="1:9" s="2070" customFormat="1">
      <c r="A1356" s="2068"/>
      <c r="B1356" s="2129"/>
      <c r="C1356" s="2959"/>
      <c r="D1356" s="2946"/>
      <c r="E1356" s="2959"/>
      <c r="F1356" s="2960"/>
      <c r="G1356" s="2225"/>
      <c r="H1356" s="2225"/>
      <c r="I1356" s="2354"/>
    </row>
    <row r="1357" spans="1:9" s="2070" customFormat="1">
      <c r="A1357" s="2068"/>
      <c r="B1357" s="2129"/>
      <c r="C1357" s="2959"/>
      <c r="D1357" s="2946"/>
      <c r="E1357" s="2959"/>
      <c r="F1357" s="2967"/>
      <c r="G1357" s="2225"/>
      <c r="H1357" s="2225"/>
      <c r="I1357" s="2354"/>
    </row>
    <row r="1358" spans="1:9" s="2070" customFormat="1">
      <c r="A1358" s="2068"/>
      <c r="B1358" s="2129"/>
      <c r="C1358" s="2959"/>
      <c r="D1358" s="2946"/>
      <c r="E1358" s="2971"/>
      <c r="F1358" s="2966"/>
      <c r="G1358" s="2225"/>
      <c r="H1358" s="2225"/>
      <c r="I1358" s="2354"/>
    </row>
    <row r="1359" spans="1:9" s="2070" customFormat="1" ht="13.5" thickBot="1">
      <c r="A1359" s="2099"/>
      <c r="B1359" s="2140"/>
      <c r="C1359" s="2972"/>
      <c r="D1359" s="2807"/>
      <c r="E1359" s="2973"/>
      <c r="F1359" s="2969"/>
      <c r="G1359" s="2225"/>
      <c r="H1359" s="2225"/>
      <c r="I1359" s="2354"/>
    </row>
    <row r="1360" spans="1:9" s="2070" customFormat="1" ht="13.5" thickTop="1">
      <c r="B1360" s="2117"/>
      <c r="C1360" s="2935"/>
      <c r="D1360" s="2936"/>
      <c r="E1360" s="2935"/>
      <c r="F1360" s="2970"/>
      <c r="G1360" s="2225"/>
      <c r="H1360" s="2225"/>
      <c r="I1360" s="2354"/>
    </row>
    <row r="1361" spans="1:9" s="2070" customFormat="1" ht="13.5" thickBot="1">
      <c r="A1361" s="2147"/>
      <c r="B1361" s="2122"/>
      <c r="C1361" s="2935"/>
      <c r="D1361" s="2936"/>
      <c r="E1361" s="2935"/>
      <c r="F1361" s="2935"/>
      <c r="G1361" s="2225"/>
      <c r="H1361" s="2225"/>
      <c r="I1361" s="2354"/>
    </row>
    <row r="1362" spans="1:9" s="2070" customFormat="1" ht="13.5" thickTop="1">
      <c r="A1362" s="2246"/>
      <c r="B1362" s="2940"/>
      <c r="C1362" s="2127"/>
      <c r="D1362" s="2942"/>
      <c r="E1362" s="2127"/>
      <c r="F1362" s="2964"/>
      <c r="G1362" s="2225"/>
      <c r="H1362" s="2225"/>
      <c r="I1362" s="2354"/>
    </row>
    <row r="1363" spans="1:9" s="2070" customFormat="1">
      <c r="A1363" s="2068"/>
      <c r="B1363" s="2129"/>
      <c r="C1363" s="2959"/>
      <c r="D1363" s="2946"/>
      <c r="E1363" s="2959"/>
      <c r="F1363" s="2960"/>
      <c r="G1363" s="2225"/>
      <c r="H1363" s="2225"/>
      <c r="I1363" s="2354"/>
    </row>
    <row r="1364" spans="1:9" s="2070" customFormat="1">
      <c r="A1364" s="2068"/>
      <c r="B1364" s="2129"/>
      <c r="C1364" s="2959"/>
      <c r="D1364" s="2946"/>
      <c r="E1364" s="2959"/>
      <c r="F1364" s="2960"/>
      <c r="G1364" s="2225"/>
      <c r="H1364" s="2225"/>
      <c r="I1364" s="2354"/>
    </row>
    <row r="1365" spans="1:9" s="2070" customFormat="1">
      <c r="A1365" s="2068"/>
      <c r="B1365" s="2129"/>
      <c r="C1365" s="2959"/>
      <c r="D1365" s="2946"/>
      <c r="E1365" s="2959"/>
      <c r="F1365" s="2967"/>
      <c r="G1365" s="2225"/>
      <c r="H1365" s="2225"/>
      <c r="I1365" s="2354"/>
    </row>
    <row r="1366" spans="1:9" s="2070" customFormat="1">
      <c r="A1366" s="2068"/>
      <c r="B1366" s="2944"/>
      <c r="C1366" s="2959"/>
      <c r="D1366" s="2946"/>
      <c r="E1366" s="2959"/>
      <c r="F1366" s="2966"/>
      <c r="G1366" s="2225"/>
      <c r="H1366" s="2225"/>
      <c r="I1366" s="2354"/>
    </row>
    <row r="1367" spans="1:9" s="2070" customFormat="1">
      <c r="A1367" s="2068"/>
      <c r="B1367" s="2129"/>
      <c r="C1367" s="2959"/>
      <c r="D1367" s="2946"/>
      <c r="E1367" s="2959"/>
      <c r="F1367" s="2960"/>
      <c r="G1367" s="2225"/>
      <c r="H1367" s="2225"/>
      <c r="I1367" s="2354"/>
    </row>
    <row r="1368" spans="1:9" s="2070" customFormat="1">
      <c r="A1368" s="2068"/>
      <c r="B1368" s="2129"/>
      <c r="C1368" s="2959"/>
      <c r="D1368" s="2946"/>
      <c r="E1368" s="2959"/>
      <c r="F1368" s="2960"/>
      <c r="G1368" s="2225"/>
      <c r="H1368" s="2225"/>
      <c r="I1368" s="2354"/>
    </row>
    <row r="1369" spans="1:9" s="2070" customFormat="1">
      <c r="A1369" s="2068"/>
      <c r="B1369" s="2129"/>
      <c r="C1369" s="2959"/>
      <c r="D1369" s="2946"/>
      <c r="E1369" s="2959"/>
      <c r="F1369" s="2960"/>
      <c r="G1369" s="2225"/>
      <c r="H1369" s="2225"/>
      <c r="I1369" s="2354"/>
    </row>
    <row r="1370" spans="1:9" s="2070" customFormat="1">
      <c r="A1370" s="2068"/>
      <c r="B1370" s="2129"/>
      <c r="C1370" s="2959"/>
      <c r="D1370" s="2946"/>
      <c r="E1370" s="2959"/>
      <c r="F1370" s="2967"/>
      <c r="G1370" s="2225"/>
      <c r="H1370" s="2225"/>
      <c r="I1370" s="2354"/>
    </row>
    <row r="1371" spans="1:9" s="2070" customFormat="1">
      <c r="A1371" s="2068"/>
      <c r="B1371" s="2129"/>
      <c r="C1371" s="2959"/>
      <c r="D1371" s="2946"/>
      <c r="E1371" s="2971"/>
      <c r="F1371" s="2966"/>
      <c r="G1371" s="2225"/>
      <c r="H1371" s="2225"/>
      <c r="I1371" s="2354"/>
    </row>
    <row r="1372" spans="1:9" s="2070" customFormat="1" ht="13.5" thickBot="1">
      <c r="A1372" s="2099"/>
      <c r="B1372" s="2140"/>
      <c r="C1372" s="2972"/>
      <c r="D1372" s="2807"/>
      <c r="E1372" s="2973"/>
      <c r="F1372" s="2969"/>
      <c r="G1372" s="2225"/>
      <c r="H1372" s="2225"/>
      <c r="I1372" s="2354"/>
    </row>
    <row r="1373" spans="1:9" s="2070" customFormat="1" ht="13.5" thickTop="1">
      <c r="C1373" s="2093"/>
      <c r="D1373" s="2094"/>
      <c r="E1373" s="2093"/>
      <c r="F1373" s="2970"/>
      <c r="G1373" s="2225"/>
      <c r="H1373" s="2225"/>
      <c r="I1373" s="2354"/>
    </row>
    <row r="1374" spans="1:9" s="2070" customFormat="1" ht="13.5" thickBot="1">
      <c r="B1374" s="2147"/>
      <c r="C1374" s="2093"/>
      <c r="D1374" s="2094"/>
      <c r="E1374" s="2093"/>
      <c r="F1374" s="2970"/>
      <c r="G1374" s="2225"/>
      <c r="H1374" s="2225"/>
      <c r="I1374" s="2354"/>
    </row>
    <row r="1375" spans="1:9" s="2070" customFormat="1" ht="13.5" thickTop="1">
      <c r="A1375" s="2974"/>
      <c r="B1375" s="2080"/>
      <c r="C1375" s="2048"/>
      <c r="D1375" s="2145"/>
      <c r="E1375" s="2048"/>
      <c r="F1375" s="199"/>
      <c r="G1375" s="2225"/>
      <c r="H1375" s="2225"/>
      <c r="I1375" s="2354"/>
    </row>
    <row r="1376" spans="1:9" s="2070" customFormat="1">
      <c r="A1376" s="2975"/>
      <c r="B1376" s="2082"/>
      <c r="C1376" s="2052"/>
      <c r="D1376" s="2146"/>
      <c r="E1376" s="2052"/>
      <c r="F1376" s="204"/>
      <c r="G1376" s="2225"/>
      <c r="H1376" s="2225"/>
      <c r="I1376" s="2354"/>
    </row>
    <row r="1377" spans="1:16" s="2070" customFormat="1">
      <c r="A1377" s="2976"/>
      <c r="B1377" s="2977"/>
      <c r="C1377" s="2057"/>
      <c r="D1377" s="2264"/>
      <c r="E1377" s="2057"/>
      <c r="F1377" s="204"/>
      <c r="G1377" s="2225"/>
      <c r="H1377" s="2225"/>
      <c r="I1377" s="2354"/>
    </row>
    <row r="1378" spans="1:16" s="2070" customFormat="1" ht="13.5" thickBot="1">
      <c r="A1378" s="2978"/>
      <c r="B1378" s="2100"/>
      <c r="C1378" s="2101"/>
      <c r="D1378" s="2105"/>
      <c r="E1378" s="2143"/>
      <c r="F1378" s="2533"/>
      <c r="G1378" s="2225"/>
      <c r="H1378" s="2225"/>
      <c r="I1378" s="2354"/>
    </row>
    <row r="1379" spans="1:16" s="2070" customFormat="1" ht="13.5" thickTop="1">
      <c r="A1379" s="2979"/>
      <c r="C1379" s="2072"/>
      <c r="D1379" s="2148"/>
      <c r="E1379" s="2149"/>
      <c r="F1379" s="2521"/>
      <c r="G1379" s="2225"/>
      <c r="H1379" s="2225"/>
      <c r="I1379" s="2354"/>
    </row>
    <row r="1380" spans="1:16" s="2070" customFormat="1">
      <c r="A1380" s="2117"/>
      <c r="B1380" s="2117"/>
      <c r="C1380" s="2935"/>
      <c r="D1380" s="2936"/>
      <c r="E1380" s="2935"/>
      <c r="F1380" s="2935"/>
      <c r="G1380" s="2225"/>
      <c r="H1380" s="2225"/>
      <c r="I1380" s="2354"/>
    </row>
    <row r="1381" spans="1:16" s="2070" customFormat="1">
      <c r="B1381" s="2827"/>
      <c r="C1381" s="2827"/>
      <c r="D1381" s="2827"/>
      <c r="E1381" s="2352"/>
      <c r="F1381" s="2352"/>
      <c r="G1381" s="2225"/>
      <c r="H1381" s="2225"/>
      <c r="I1381" s="2354"/>
    </row>
    <row r="1382" spans="1:16" s="2070" customFormat="1">
      <c r="B1382" s="2980"/>
      <c r="C1382" s="2412"/>
      <c r="D1382" s="2413"/>
      <c r="E1382" s="2413"/>
      <c r="F1382" s="2413"/>
      <c r="G1382" s="2225"/>
      <c r="H1382" s="2225"/>
      <c r="I1382" s="2354"/>
    </row>
    <row r="1383" spans="1:16" s="2070" customFormat="1">
      <c r="B1383" s="2661"/>
      <c r="C1383" s="2414"/>
      <c r="D1383" s="2415"/>
      <c r="E1383" s="2414"/>
      <c r="F1383" s="2414"/>
      <c r="G1383" s="2225"/>
      <c r="H1383" s="2225"/>
      <c r="I1383" s="2354"/>
    </row>
    <row r="1384" spans="1:16" s="2070" customFormat="1">
      <c r="B1384" s="2661"/>
      <c r="C1384" s="2414"/>
      <c r="D1384" s="2415"/>
      <c r="E1384" s="2414"/>
      <c r="F1384" s="2414"/>
      <c r="G1384" s="2225"/>
      <c r="H1384" s="2225"/>
      <c r="I1384" s="2354"/>
    </row>
    <row r="1385" spans="1:16" s="2070" customFormat="1">
      <c r="B1385" s="2661"/>
      <c r="C1385" s="2662"/>
      <c r="D1385" s="2415"/>
      <c r="E1385" s="2416"/>
      <c r="F1385" s="2414"/>
      <c r="G1385" s="2225"/>
      <c r="H1385" s="2225"/>
      <c r="I1385" s="2354"/>
    </row>
    <row r="1386" spans="1:16" s="2070" customFormat="1">
      <c r="B1386" s="2663"/>
      <c r="C1386" s="2661"/>
      <c r="D1386" s="2664"/>
      <c r="E1386" s="2259"/>
      <c r="F1386" s="2981"/>
      <c r="G1386" s="2225"/>
      <c r="H1386" s="2225"/>
      <c r="I1386" s="2354"/>
    </row>
    <row r="1387" spans="1:16" s="2070" customFormat="1">
      <c r="B1387" s="2661"/>
      <c r="C1387" s="2661"/>
      <c r="D1387" s="2661"/>
      <c r="E1387" s="2982"/>
      <c r="F1387" s="2893"/>
      <c r="G1387" s="2225"/>
      <c r="H1387" s="2225"/>
      <c r="I1387" s="2354"/>
    </row>
    <row r="1388" spans="1:16" s="2070" customFormat="1">
      <c r="C1388" s="2093"/>
      <c r="D1388" s="2094"/>
      <c r="E1388" s="2093"/>
      <c r="F1388" s="2093"/>
      <c r="G1388" s="2225"/>
      <c r="H1388" s="2225"/>
      <c r="I1388" s="2354"/>
    </row>
    <row r="1389" spans="1:16" s="2070" customFormat="1">
      <c r="B1389" s="2661"/>
      <c r="C1389" s="2661"/>
      <c r="D1389" s="2661"/>
      <c r="E1389" s="2982"/>
      <c r="F1389" s="2983"/>
      <c r="G1389" s="2225"/>
    </row>
    <row r="1390" spans="1:16" s="2070" customFormat="1">
      <c r="C1390" s="2093"/>
      <c r="D1390" s="2094"/>
      <c r="E1390" s="2093"/>
      <c r="F1390" s="2093"/>
      <c r="G1390" s="2225"/>
    </row>
    <row r="1391" spans="1:16" s="2070" customFormat="1">
      <c r="C1391" s="2093"/>
      <c r="D1391" s="2094"/>
      <c r="E1391" s="2093"/>
      <c r="F1391" s="2093"/>
      <c r="G1391" s="2225"/>
      <c r="H1391" s="2225"/>
      <c r="I1391" s="2354"/>
    </row>
    <row r="1392" spans="1:16" s="2989" customFormat="1" ht="13.5" thickBot="1">
      <c r="A1392" s="2984"/>
      <c r="B1392" s="2985"/>
      <c r="C1392" s="2986"/>
      <c r="D1392" s="2987"/>
      <c r="E1392" s="2988"/>
      <c r="F1392" s="2988"/>
      <c r="G1392" s="2984"/>
      <c r="K1392" s="2352"/>
      <c r="L1392" s="2352"/>
      <c r="M1392" s="2352"/>
      <c r="N1392" s="2352"/>
      <c r="O1392" s="2352"/>
      <c r="P1392" s="2352"/>
    </row>
    <row r="1393" spans="1:16" s="2989" customFormat="1" ht="13.5" thickTop="1">
      <c r="A1393" s="2984"/>
      <c r="B1393" s="2246"/>
      <c r="C1393" s="2990"/>
      <c r="D1393" s="2145"/>
      <c r="E1393" s="2990"/>
      <c r="F1393" s="2991"/>
      <c r="G1393" s="2352"/>
      <c r="K1393" s="2352"/>
      <c r="L1393" s="2352"/>
      <c r="M1393" s="2352"/>
      <c r="N1393" s="2352"/>
      <c r="O1393" s="2352"/>
      <c r="P1393" s="2352"/>
    </row>
    <row r="1394" spans="1:16" s="2989" customFormat="1">
      <c r="A1394" s="2984"/>
      <c r="B1394" s="2068"/>
      <c r="C1394" s="2831"/>
      <c r="D1394" s="2146"/>
      <c r="E1394" s="2831"/>
      <c r="F1394" s="2992"/>
      <c r="G1394" s="2352"/>
      <c r="K1394" s="2352"/>
      <c r="L1394" s="2352"/>
      <c r="M1394" s="2352"/>
      <c r="N1394" s="2352"/>
      <c r="O1394" s="2352"/>
      <c r="P1394" s="2352"/>
    </row>
    <row r="1395" spans="1:16" s="2989" customFormat="1">
      <c r="A1395" s="2984"/>
      <c r="B1395" s="2068"/>
      <c r="C1395" s="2831"/>
      <c r="D1395" s="2146"/>
      <c r="E1395" s="2831"/>
      <c r="F1395" s="2992"/>
      <c r="G1395" s="2352"/>
      <c r="K1395" s="2352"/>
      <c r="L1395" s="2352"/>
      <c r="M1395" s="2352"/>
      <c r="N1395" s="2352"/>
      <c r="O1395" s="2352"/>
      <c r="P1395" s="2352"/>
    </row>
    <row r="1396" spans="1:16" s="2989" customFormat="1" ht="13.5" thickBot="1">
      <c r="A1396" s="2984"/>
      <c r="B1396" s="2099"/>
      <c r="C1396" s="2993"/>
      <c r="D1396" s="2114"/>
      <c r="E1396" s="2994"/>
      <c r="F1396" s="2995"/>
      <c r="G1396" s="2352"/>
      <c r="K1396" s="2352"/>
      <c r="L1396" s="2352"/>
      <c r="M1396" s="2352"/>
      <c r="N1396" s="2352"/>
      <c r="O1396" s="2352"/>
      <c r="P1396" s="2352"/>
    </row>
    <row r="1397" spans="1:16" s="2989" customFormat="1" ht="13.5" thickTop="1">
      <c r="A1397" s="2984"/>
      <c r="B1397" s="2246"/>
      <c r="C1397" s="2990"/>
      <c r="D1397" s="2759"/>
      <c r="E1397" s="2996"/>
      <c r="F1397" s="2997"/>
      <c r="G1397" s="2352"/>
      <c r="K1397" s="2352"/>
      <c r="L1397" s="2352"/>
      <c r="M1397" s="2352"/>
      <c r="N1397" s="2352"/>
      <c r="O1397" s="2352"/>
      <c r="P1397" s="2352"/>
    </row>
    <row r="1398" spans="1:16" s="2989" customFormat="1" ht="13.5" thickBot="1">
      <c r="A1398" s="2984"/>
      <c r="B1398" s="2099"/>
      <c r="C1398" s="2993"/>
      <c r="D1398" s="2114"/>
      <c r="E1398" s="2994"/>
      <c r="F1398" s="2893"/>
      <c r="G1398" s="2352"/>
      <c r="K1398" s="2352"/>
      <c r="L1398" s="2352"/>
      <c r="M1398" s="2352"/>
      <c r="N1398" s="2352"/>
      <c r="O1398" s="2352"/>
      <c r="P1398" s="2352"/>
    </row>
    <row r="1399" spans="1:16" s="2989" customFormat="1" ht="13.5" thickTop="1">
      <c r="A1399" s="2984"/>
      <c r="B1399" s="2352"/>
      <c r="C1399" s="2244"/>
      <c r="D1399" s="2352"/>
      <c r="E1399" s="2244"/>
      <c r="F1399" s="2244"/>
      <c r="G1399" s="2352"/>
      <c r="K1399" s="2352"/>
      <c r="L1399" s="2352"/>
      <c r="M1399" s="2352"/>
      <c r="N1399" s="2352"/>
      <c r="O1399" s="2352"/>
      <c r="P1399" s="2352"/>
    </row>
    <row r="1400" spans="1:16" s="2070" customFormat="1">
      <c r="C1400" s="2093"/>
      <c r="D1400" s="2094"/>
      <c r="E1400" s="2093"/>
      <c r="F1400" s="2093"/>
      <c r="G1400" s="2225"/>
      <c r="H1400" s="2225"/>
      <c r="I1400" s="2354"/>
    </row>
    <row r="1401" spans="1:16" s="2070" customFormat="1">
      <c r="C1401" s="2093"/>
      <c r="D1401" s="2094"/>
      <c r="E1401" s="2093"/>
      <c r="F1401" s="2093"/>
      <c r="G1401" s="2225"/>
      <c r="H1401" s="2225"/>
      <c r="I1401" s="2354"/>
    </row>
    <row r="1402" spans="1:16" s="2070" customFormat="1">
      <c r="C1402" s="2093"/>
      <c r="D1402" s="2094"/>
      <c r="E1402" s="2093"/>
      <c r="F1402" s="2093"/>
      <c r="G1402" s="2225"/>
      <c r="H1402" s="2225"/>
      <c r="I1402" s="2354"/>
    </row>
    <row r="1403" spans="1:16" s="2352" customFormat="1" ht="13.5" thickBot="1">
      <c r="A1403" s="2984"/>
      <c r="B1403" s="2147"/>
      <c r="C1403" s="2093"/>
      <c r="D1403" s="2094"/>
      <c r="E1403" s="2093"/>
      <c r="F1403" s="2093"/>
      <c r="G1403" s="2984"/>
      <c r="H1403" s="2989"/>
      <c r="I1403" s="2989"/>
      <c r="J1403" s="2989"/>
    </row>
    <row r="1404" spans="1:16" s="2352" customFormat="1">
      <c r="A1404" s="2984"/>
      <c r="B1404" s="2461"/>
      <c r="C1404" s="2462"/>
      <c r="D1404" s="2463"/>
      <c r="E1404" s="2462"/>
      <c r="F1404" s="2464"/>
      <c r="G1404" s="2984"/>
      <c r="H1404" s="2989"/>
      <c r="I1404" s="2989"/>
      <c r="J1404" s="2989"/>
    </row>
    <row r="1405" spans="1:16" s="2352" customFormat="1">
      <c r="A1405" s="2984"/>
      <c r="B1405" s="2998"/>
      <c r="C1405" s="201"/>
      <c r="D1405" s="202"/>
      <c r="E1405" s="2465"/>
      <c r="F1405" s="2466"/>
      <c r="G1405" s="2984"/>
      <c r="H1405" s="2989"/>
      <c r="I1405" s="2989"/>
      <c r="J1405" s="2989"/>
    </row>
    <row r="1406" spans="1:16" s="2352" customFormat="1">
      <c r="A1406" s="2984"/>
      <c r="B1406" s="2998"/>
      <c r="C1406" s="201"/>
      <c r="D1406" s="202"/>
      <c r="E1406" s="2465"/>
      <c r="F1406" s="2466"/>
      <c r="G1406" s="2984"/>
      <c r="H1406" s="2989"/>
      <c r="I1406" s="2989"/>
      <c r="J1406" s="2989"/>
    </row>
    <row r="1407" spans="1:16" s="2352" customFormat="1">
      <c r="A1407" s="2984"/>
      <c r="B1407" s="2998"/>
      <c r="C1407" s="201"/>
      <c r="D1407" s="202"/>
      <c r="E1407" s="203"/>
      <c r="F1407" s="2466"/>
      <c r="G1407" s="2984"/>
      <c r="H1407" s="2989"/>
      <c r="I1407" s="2989"/>
      <c r="J1407" s="2989"/>
    </row>
    <row r="1408" spans="1:16" s="2352" customFormat="1" ht="13.5" thickBot="1">
      <c r="A1408" s="2984"/>
      <c r="B1408" s="2467"/>
      <c r="C1408" s="2468"/>
      <c r="D1408" s="2469"/>
      <c r="E1408" s="2470"/>
      <c r="F1408" s="2999"/>
      <c r="G1408" s="2984"/>
      <c r="H1408" s="2989"/>
      <c r="I1408" s="2989"/>
      <c r="J1408" s="2989"/>
    </row>
    <row r="1409" spans="1:12" s="2070" customFormat="1">
      <c r="C1409" s="2093"/>
      <c r="D1409" s="2094"/>
      <c r="E1409" s="2093"/>
      <c r="F1409" s="2093"/>
      <c r="G1409" s="2225"/>
      <c r="H1409" s="2225"/>
      <c r="I1409" s="2354"/>
    </row>
    <row r="1410" spans="1:12" s="2352" customFormat="1">
      <c r="A1410" s="2070"/>
      <c r="B1410" s="2070"/>
      <c r="C1410" s="2093"/>
      <c r="D1410" s="2094"/>
      <c r="E1410" s="2093"/>
      <c r="F1410" s="2093"/>
      <c r="G1410" s="2225"/>
      <c r="H1410" s="2225"/>
      <c r="I1410" s="2354"/>
      <c r="J1410" s="2070"/>
      <c r="K1410" s="2070"/>
      <c r="L1410" s="2070"/>
    </row>
    <row r="1411" spans="1:12" s="2352" customFormat="1">
      <c r="A1411" s="2070"/>
      <c r="B1411" s="2070"/>
      <c r="C1411" s="2093"/>
      <c r="D1411" s="2094"/>
      <c r="E1411" s="2093"/>
      <c r="F1411" s="2093"/>
      <c r="G1411" s="2225"/>
      <c r="H1411" s="2225"/>
      <c r="I1411" s="2354"/>
      <c r="J1411" s="2070"/>
      <c r="K1411" s="2070"/>
      <c r="L1411" s="2070"/>
    </row>
    <row r="1412" spans="1:12" s="2070" customFormat="1" ht="13.5" thickBot="1">
      <c r="B1412" s="1738"/>
      <c r="C1412" s="2700"/>
      <c r="D1412" s="2648"/>
      <c r="E1412" s="2701"/>
      <c r="F1412" s="2686"/>
      <c r="G1412" s="2225"/>
      <c r="H1412" s="2225"/>
      <c r="I1412" s="2354"/>
    </row>
    <row r="1413" spans="1:12" s="2070" customFormat="1" ht="13.5" thickTop="1">
      <c r="A1413" s="2246"/>
      <c r="B1413" s="2702"/>
      <c r="C1413" s="2703"/>
      <c r="D1413" s="2145"/>
      <c r="E1413" s="2703"/>
      <c r="F1413" s="2524"/>
      <c r="G1413" s="2225"/>
      <c r="H1413" s="2225"/>
      <c r="I1413" s="2354"/>
    </row>
    <row r="1414" spans="1:12" s="2070" customFormat="1">
      <c r="A1414" s="2068"/>
      <c r="B1414" s="2704"/>
      <c r="C1414" s="2249"/>
      <c r="D1414" s="2146"/>
      <c r="E1414" s="2249"/>
      <c r="F1414" s="2525"/>
      <c r="G1414" s="2225"/>
      <c r="H1414" s="2225"/>
      <c r="I1414" s="2354"/>
    </row>
    <row r="1415" spans="1:12" s="2070" customFormat="1">
      <c r="A1415" s="2068"/>
      <c r="B1415" s="2704"/>
      <c r="C1415" s="2249"/>
      <c r="D1415" s="2146"/>
      <c r="E1415" s="2249"/>
      <c r="F1415" s="2525"/>
      <c r="G1415" s="2225"/>
      <c r="H1415" s="2225"/>
      <c r="I1415" s="2354"/>
    </row>
    <row r="1416" spans="1:12" s="2070" customFormat="1">
      <c r="A1416" s="2068"/>
      <c r="B1416" s="2704"/>
      <c r="C1416" s="2249"/>
      <c r="D1416" s="2146"/>
      <c r="E1416" s="2249"/>
      <c r="F1416" s="2525"/>
      <c r="G1416" s="2225"/>
      <c r="H1416" s="2225"/>
      <c r="I1416" s="2354"/>
    </row>
    <row r="1417" spans="1:12" s="2070" customFormat="1" ht="13.5" thickBot="1">
      <c r="A1417" s="2099"/>
      <c r="B1417" s="2705"/>
      <c r="C1417" s="2706"/>
      <c r="D1417" s="2705"/>
      <c r="E1417" s="2707"/>
      <c r="F1417" s="2708"/>
      <c r="G1417" s="2225"/>
      <c r="H1417" s="2225"/>
      <c r="I1417" s="2354"/>
    </row>
    <row r="1418" spans="1:12" s="2070" customFormat="1" ht="13.5" thickTop="1">
      <c r="A1418" s="3000"/>
      <c r="B1418" s="2709"/>
      <c r="C1418" s="2710"/>
      <c r="D1418" s="2145"/>
      <c r="E1418" s="2711"/>
      <c r="F1418" s="3001"/>
      <c r="G1418" s="2225"/>
      <c r="H1418" s="2225"/>
      <c r="I1418" s="2354"/>
    </row>
    <row r="1419" spans="1:12" s="2352" customFormat="1" ht="11.85" customHeight="1">
      <c r="A1419" s="2070"/>
      <c r="B1419" s="2070"/>
      <c r="C1419" s="2093"/>
      <c r="D1419" s="2094"/>
      <c r="E1419" s="2093"/>
      <c r="F1419" s="2093"/>
      <c r="G1419" s="2225"/>
      <c r="H1419" s="2225"/>
      <c r="I1419" s="2354"/>
      <c r="J1419" s="2070"/>
      <c r="K1419" s="2070"/>
      <c r="L1419" s="2070"/>
    </row>
    <row r="1420" spans="1:12" s="2352" customFormat="1" ht="11.85" customHeight="1">
      <c r="A1420" s="2070"/>
      <c r="B1420" s="2070"/>
      <c r="C1420" s="2093"/>
      <c r="D1420" s="2094"/>
      <c r="E1420" s="2093"/>
      <c r="F1420" s="2093"/>
      <c r="G1420" s="2225"/>
      <c r="H1420" s="2225"/>
      <c r="I1420" s="2354"/>
      <c r="J1420" s="2070"/>
    </row>
    <row r="1421" spans="1:12" s="2352" customFormat="1" ht="11.85" hidden="1" customHeight="1">
      <c r="A1421" s="2070"/>
      <c r="B1421" s="3002"/>
      <c r="C1421" s="3003"/>
      <c r="D1421" s="3003"/>
      <c r="E1421" s="3003"/>
      <c r="F1421" s="3003"/>
      <c r="G1421" s="2225"/>
      <c r="H1421" s="2225"/>
      <c r="I1421" s="2354"/>
      <c r="J1421" s="2070"/>
    </row>
    <row r="1422" spans="1:12" s="2352" customFormat="1" ht="11.85" hidden="1" customHeight="1" thickBot="1">
      <c r="A1422" s="2070"/>
      <c r="B1422" s="3004"/>
      <c r="C1422" s="3005"/>
      <c r="D1422" s="3005"/>
      <c r="E1422" s="3005"/>
      <c r="F1422" s="3006"/>
      <c r="G1422" s="2225"/>
      <c r="H1422" s="2225"/>
      <c r="I1422" s="2354"/>
      <c r="J1422" s="2070"/>
    </row>
    <row r="1423" spans="1:12" s="2352" customFormat="1" ht="11.85" hidden="1" customHeight="1" thickTop="1">
      <c r="A1423" s="2070"/>
      <c r="B1423" s="3007"/>
      <c r="C1423" s="3008"/>
      <c r="D1423" s="3009"/>
      <c r="E1423" s="3010"/>
      <c r="F1423" s="3011"/>
      <c r="G1423" s="2225"/>
      <c r="H1423" s="2225"/>
      <c r="I1423" s="2354"/>
      <c r="J1423" s="2070"/>
    </row>
    <row r="1424" spans="1:12" s="2352" customFormat="1" ht="11.85" hidden="1" customHeight="1">
      <c r="A1424" s="2070"/>
      <c r="B1424" s="3012"/>
      <c r="C1424" s="3013"/>
      <c r="D1424" s="3014"/>
      <c r="E1424" s="3015"/>
      <c r="F1424" s="2992"/>
      <c r="G1424" s="2225"/>
      <c r="H1424" s="2225"/>
      <c r="I1424" s="2354"/>
      <c r="J1424" s="2070"/>
    </row>
    <row r="1425" spans="1:10" s="2352" customFormat="1" ht="11.85" hidden="1" customHeight="1">
      <c r="A1425" s="2070"/>
      <c r="B1425" s="3016"/>
      <c r="C1425" s="3017"/>
      <c r="D1425" s="3018"/>
      <c r="E1425" s="3019"/>
      <c r="F1425" s="2992"/>
      <c r="G1425" s="2225"/>
      <c r="H1425" s="2225"/>
      <c r="I1425" s="2354"/>
      <c r="J1425" s="2070"/>
    </row>
    <row r="1426" spans="1:10" s="2352" customFormat="1" ht="11.85" hidden="1" customHeight="1" thickBot="1">
      <c r="A1426" s="2070"/>
      <c r="B1426" s="3020"/>
      <c r="C1426" s="3021"/>
      <c r="D1426" s="3021"/>
      <c r="E1426" s="3022"/>
      <c r="F1426" s="3023"/>
      <c r="G1426" s="2225"/>
      <c r="H1426" s="2225"/>
      <c r="I1426" s="2354"/>
      <c r="J1426" s="2070"/>
    </row>
    <row r="1427" spans="1:10" s="2352" customFormat="1" ht="11.85" hidden="1" customHeight="1" thickTop="1" thickBot="1">
      <c r="A1427" s="2070"/>
      <c r="B1427" s="3024"/>
      <c r="C1427" s="3024"/>
      <c r="D1427" s="3024"/>
      <c r="E1427" s="3024"/>
      <c r="F1427" s="3025"/>
      <c r="G1427" s="2225"/>
      <c r="H1427" s="2225"/>
      <c r="I1427" s="2354"/>
      <c r="J1427" s="2070"/>
    </row>
    <row r="1428" spans="1:10" s="2352" customFormat="1" ht="11.85" hidden="1" customHeight="1" thickTop="1">
      <c r="A1428" s="2070"/>
      <c r="B1428" s="3026"/>
      <c r="C1428" s="3027"/>
      <c r="D1428" s="2231"/>
      <c r="E1428" s="3028"/>
      <c r="F1428" s="3011"/>
      <c r="G1428" s="2225"/>
      <c r="H1428" s="2225"/>
      <c r="I1428" s="2354"/>
      <c r="J1428" s="2070"/>
    </row>
    <row r="1429" spans="1:10" s="2352" customFormat="1" ht="11.85" hidden="1" customHeight="1">
      <c r="A1429" s="2070"/>
      <c r="B1429" s="3029"/>
      <c r="C1429" s="3030"/>
      <c r="D1429" s="3031"/>
      <c r="E1429" s="3032"/>
      <c r="F1429" s="2992"/>
      <c r="G1429" s="2225"/>
      <c r="H1429" s="2225"/>
      <c r="I1429" s="2354"/>
      <c r="J1429" s="2070"/>
    </row>
    <row r="1430" spans="1:10" s="2352" customFormat="1" ht="11.85" hidden="1" customHeight="1">
      <c r="A1430" s="2070"/>
      <c r="B1430" s="3033"/>
      <c r="C1430" s="3034"/>
      <c r="D1430" s="3031"/>
      <c r="E1430" s="3032"/>
      <c r="F1430" s="2992"/>
      <c r="G1430" s="2225"/>
      <c r="H1430" s="2225"/>
      <c r="I1430" s="2354"/>
      <c r="J1430" s="2070"/>
    </row>
    <row r="1431" spans="1:10" s="2352" customFormat="1" ht="11.85" hidden="1" customHeight="1">
      <c r="A1431" s="2070"/>
      <c r="B1431" s="3033"/>
      <c r="C1431" s="3035"/>
      <c r="D1431" s="3031"/>
      <c r="E1431" s="3032"/>
      <c r="F1431" s="2992"/>
      <c r="G1431" s="2225"/>
      <c r="H1431" s="2225"/>
      <c r="I1431" s="2354"/>
      <c r="J1431" s="2070"/>
    </row>
    <row r="1432" spans="1:10" s="2352" customFormat="1" ht="11.85" hidden="1" customHeight="1">
      <c r="A1432" s="2070"/>
      <c r="B1432" s="3033"/>
      <c r="C1432" s="3034"/>
      <c r="D1432" s="3031"/>
      <c r="E1432" s="3036"/>
      <c r="F1432" s="2992"/>
      <c r="G1432" s="2225"/>
      <c r="H1432" s="2225"/>
      <c r="I1432" s="2354"/>
      <c r="J1432" s="2070"/>
    </row>
    <row r="1433" spans="1:10" s="2352" customFormat="1" ht="11.85" hidden="1" customHeight="1">
      <c r="A1433" s="2070"/>
      <c r="B1433" s="3033"/>
      <c r="C1433" s="3030"/>
      <c r="D1433" s="3031"/>
      <c r="E1433" s="3037"/>
      <c r="F1433" s="2992"/>
      <c r="G1433" s="2225"/>
      <c r="H1433" s="2225"/>
      <c r="I1433" s="2354"/>
      <c r="J1433" s="2070"/>
    </row>
    <row r="1434" spans="1:10" s="2352" customFormat="1" ht="11.85" hidden="1" customHeight="1">
      <c r="A1434" s="2070"/>
      <c r="B1434" s="3033"/>
      <c r="C1434" s="3030"/>
      <c r="D1434" s="3031"/>
      <c r="E1434" s="3037"/>
      <c r="F1434" s="2992"/>
      <c r="G1434" s="2225"/>
      <c r="H1434" s="2225"/>
      <c r="I1434" s="2354"/>
      <c r="J1434" s="2070"/>
    </row>
    <row r="1435" spans="1:10" s="2352" customFormat="1" ht="11.85" hidden="1" customHeight="1">
      <c r="A1435" s="2070"/>
      <c r="B1435" s="3029"/>
      <c r="C1435" s="3030"/>
      <c r="D1435" s="3031"/>
      <c r="E1435" s="3037"/>
      <c r="F1435" s="2992"/>
      <c r="G1435" s="2225"/>
      <c r="H1435" s="2225"/>
      <c r="I1435" s="2354"/>
      <c r="J1435" s="2070"/>
    </row>
    <row r="1436" spans="1:10" s="2352" customFormat="1" ht="11.85" hidden="1" customHeight="1">
      <c r="A1436" s="2070"/>
      <c r="B1436" s="3033"/>
      <c r="C1436" s="3030"/>
      <c r="D1436" s="3031"/>
      <c r="E1436" s="3037"/>
      <c r="F1436" s="2992"/>
      <c r="G1436" s="2225"/>
      <c r="H1436" s="2225"/>
      <c r="I1436" s="2354"/>
      <c r="J1436" s="2070"/>
    </row>
    <row r="1437" spans="1:10" s="2352" customFormat="1" ht="11.85" hidden="1" customHeight="1">
      <c r="A1437" s="2070"/>
      <c r="B1437" s="3029"/>
      <c r="C1437" s="3030"/>
      <c r="D1437" s="3031"/>
      <c r="E1437" s="3037"/>
      <c r="F1437" s="2992"/>
      <c r="G1437" s="2225"/>
      <c r="H1437" s="2225"/>
      <c r="I1437" s="2354"/>
      <c r="J1437" s="2070"/>
    </row>
    <row r="1438" spans="1:10" s="2352" customFormat="1" ht="11.85" hidden="1" customHeight="1">
      <c r="A1438" s="2070"/>
      <c r="B1438" s="3033"/>
      <c r="C1438" s="3030"/>
      <c r="D1438" s="3031"/>
      <c r="E1438" s="3037"/>
      <c r="F1438" s="2992"/>
      <c r="G1438" s="2225"/>
      <c r="H1438" s="2225"/>
      <c r="I1438" s="2354"/>
      <c r="J1438" s="2070"/>
    </row>
    <row r="1439" spans="1:10" s="2352" customFormat="1" ht="11.85" hidden="1" customHeight="1">
      <c r="A1439" s="2070"/>
      <c r="B1439" s="3033"/>
      <c r="C1439" s="3030"/>
      <c r="D1439" s="3031"/>
      <c r="E1439" s="3037"/>
      <c r="F1439" s="2992"/>
      <c r="G1439" s="2225"/>
      <c r="H1439" s="2225"/>
      <c r="I1439" s="2354"/>
      <c r="J1439" s="2070"/>
    </row>
    <row r="1440" spans="1:10" s="2352" customFormat="1" ht="11.85" hidden="1" customHeight="1">
      <c r="A1440" s="2070"/>
      <c r="B1440" s="3029"/>
      <c r="C1440" s="3030"/>
      <c r="D1440" s="3031"/>
      <c r="E1440" s="3037"/>
      <c r="F1440" s="2992"/>
      <c r="G1440" s="2225"/>
      <c r="H1440" s="2225"/>
      <c r="I1440" s="2354"/>
      <c r="J1440" s="2070"/>
    </row>
    <row r="1441" spans="1:10" s="2352" customFormat="1" ht="11.85" hidden="1" customHeight="1">
      <c r="A1441" s="2070"/>
      <c r="B1441" s="3033"/>
      <c r="C1441" s="3030"/>
      <c r="D1441" s="3031"/>
      <c r="E1441" s="3032"/>
      <c r="F1441" s="2992"/>
      <c r="G1441" s="2225"/>
      <c r="H1441" s="2225"/>
      <c r="I1441" s="2354"/>
      <c r="J1441" s="2070"/>
    </row>
    <row r="1442" spans="1:10" s="2352" customFormat="1" ht="11.85" hidden="1" customHeight="1">
      <c r="A1442" s="2070"/>
      <c r="B1442" s="3029"/>
      <c r="C1442" s="3030"/>
      <c r="D1442" s="3031"/>
      <c r="E1442" s="3037"/>
      <c r="F1442" s="2992"/>
      <c r="G1442" s="2225"/>
      <c r="H1442" s="2225"/>
      <c r="I1442" s="2354"/>
      <c r="J1442" s="2070"/>
    </row>
    <row r="1443" spans="1:10" s="2352" customFormat="1" ht="11.85" hidden="1" customHeight="1">
      <c r="A1443" s="2070"/>
      <c r="B1443" s="3033"/>
      <c r="C1443" s="3030"/>
      <c r="D1443" s="3031"/>
      <c r="E1443" s="3037"/>
      <c r="F1443" s="2992"/>
      <c r="G1443" s="2225"/>
      <c r="H1443" s="2225"/>
      <c r="I1443" s="2354"/>
      <c r="J1443" s="2070"/>
    </row>
    <row r="1444" spans="1:10" s="2352" customFormat="1" ht="11.85" hidden="1" customHeight="1">
      <c r="A1444" s="2070"/>
      <c r="B1444" s="3033"/>
      <c r="C1444" s="3030"/>
      <c r="D1444" s="3031"/>
      <c r="E1444" s="3037"/>
      <c r="F1444" s="2992"/>
      <c r="G1444" s="2225"/>
      <c r="H1444" s="2225"/>
      <c r="I1444" s="2354"/>
      <c r="J1444" s="2070"/>
    </row>
    <row r="1445" spans="1:10" s="2352" customFormat="1" ht="11.85" hidden="1" customHeight="1">
      <c r="A1445" s="2070"/>
      <c r="B1445" s="3033"/>
      <c r="C1445" s="3030"/>
      <c r="D1445" s="3031"/>
      <c r="E1445" s="3037"/>
      <c r="F1445" s="2992"/>
      <c r="G1445" s="2225"/>
      <c r="H1445" s="2225"/>
      <c r="I1445" s="2354"/>
      <c r="J1445" s="2070"/>
    </row>
    <row r="1446" spans="1:10" s="2352" customFormat="1" ht="11.85" hidden="1" customHeight="1">
      <c r="A1446" s="2070"/>
      <c r="B1446" s="3033"/>
      <c r="C1446" s="3030"/>
      <c r="D1446" s="3031"/>
      <c r="E1446" s="3037"/>
      <c r="F1446" s="2992"/>
      <c r="G1446" s="2225"/>
      <c r="H1446" s="2225"/>
      <c r="I1446" s="2354"/>
      <c r="J1446" s="2070"/>
    </row>
    <row r="1447" spans="1:10" s="2352" customFormat="1" ht="11.85" hidden="1" customHeight="1">
      <c r="A1447" s="2070"/>
      <c r="B1447" s="3033"/>
      <c r="C1447" s="3030"/>
      <c r="D1447" s="3031"/>
      <c r="E1447" s="3037"/>
      <c r="F1447" s="2992"/>
      <c r="G1447" s="2225"/>
      <c r="H1447" s="2225"/>
      <c r="I1447" s="2354"/>
      <c r="J1447" s="2070"/>
    </row>
    <row r="1448" spans="1:10" s="2352" customFormat="1" ht="11.85" hidden="1" customHeight="1">
      <c r="A1448" s="2070"/>
      <c r="B1448" s="3033"/>
      <c r="C1448" s="3030"/>
      <c r="D1448" s="3031"/>
      <c r="E1448" s="3037"/>
      <c r="F1448" s="2992"/>
      <c r="G1448" s="2225"/>
      <c r="H1448" s="2225"/>
      <c r="I1448" s="2354"/>
      <c r="J1448" s="2070"/>
    </row>
    <row r="1449" spans="1:10" s="2352" customFormat="1" ht="11.85" hidden="1" customHeight="1">
      <c r="A1449" s="2070"/>
      <c r="B1449" s="3038"/>
      <c r="C1449" s="3039"/>
      <c r="D1449" s="3039"/>
      <c r="E1449" s="3040"/>
      <c r="F1449" s="3041"/>
      <c r="G1449" s="2225"/>
      <c r="H1449" s="2225"/>
      <c r="I1449" s="2354"/>
      <c r="J1449" s="2070"/>
    </row>
    <row r="1450" spans="1:10" s="2352" customFormat="1" ht="11.85" hidden="1" customHeight="1" thickBot="1">
      <c r="A1450" s="2070"/>
      <c r="B1450" s="3042"/>
      <c r="C1450" s="3043"/>
      <c r="D1450" s="3044"/>
      <c r="E1450" s="2994"/>
      <c r="F1450" s="3045"/>
      <c r="G1450" s="2225"/>
      <c r="H1450" s="2225"/>
      <c r="I1450" s="2354"/>
      <c r="J1450" s="2070"/>
    </row>
    <row r="1451" spans="1:10" s="2352" customFormat="1" ht="11.85" hidden="1" customHeight="1" thickTop="1">
      <c r="A1451" s="2070"/>
      <c r="B1451" s="2246"/>
      <c r="C1451" s="2990"/>
      <c r="D1451" s="2145"/>
      <c r="E1451" s="2990"/>
      <c r="F1451" s="2992"/>
      <c r="G1451" s="2225"/>
      <c r="H1451" s="2225"/>
      <c r="I1451" s="2354"/>
      <c r="J1451" s="2070"/>
    </row>
    <row r="1452" spans="1:10" s="2352" customFormat="1" ht="11.85" hidden="1" customHeight="1">
      <c r="A1452" s="2070"/>
      <c r="B1452" s="3038"/>
      <c r="C1452" s="2831"/>
      <c r="D1452" s="2107"/>
      <c r="E1452" s="2831"/>
      <c r="F1452" s="3046"/>
      <c r="G1452" s="2225"/>
      <c r="H1452" s="2225"/>
      <c r="I1452" s="2354"/>
      <c r="J1452" s="2070"/>
    </row>
    <row r="1453" spans="1:10" s="2352" customFormat="1" ht="14.25" hidden="1" customHeight="1" thickBot="1">
      <c r="A1453" s="2070"/>
      <c r="B1453" s="3042"/>
      <c r="C1453" s="2993"/>
      <c r="D1453" s="2114"/>
      <c r="E1453" s="2993"/>
      <c r="F1453" s="3045"/>
      <c r="G1453" s="2225"/>
      <c r="H1453" s="2225"/>
      <c r="I1453" s="2354"/>
      <c r="J1453" s="2070"/>
    </row>
    <row r="1454" spans="1:10" s="2352" customFormat="1" ht="11.85" hidden="1" customHeight="1" thickTop="1">
      <c r="A1454" s="2070"/>
      <c r="C1454" s="2244"/>
      <c r="E1454" s="2244"/>
      <c r="F1454" s="2244"/>
      <c r="G1454" s="2225"/>
      <c r="H1454" s="2225"/>
      <c r="I1454" s="2354"/>
      <c r="J1454" s="2070"/>
    </row>
    <row r="1455" spans="1:10" s="2352" customFormat="1" ht="11.85" hidden="1" customHeight="1" thickBot="1">
      <c r="A1455" s="2070"/>
      <c r="B1455" s="2985"/>
      <c r="C1455" s="2244"/>
      <c r="E1455" s="2244"/>
      <c r="F1455" s="2244"/>
      <c r="G1455" s="2225"/>
      <c r="H1455" s="2225"/>
      <c r="I1455" s="2354"/>
      <c r="J1455" s="2070"/>
    </row>
    <row r="1456" spans="1:10" s="2352" customFormat="1" ht="11.85" hidden="1" customHeight="1" thickTop="1">
      <c r="A1456" s="2070"/>
      <c r="B1456" s="3007"/>
      <c r="C1456" s="3008"/>
      <c r="D1456" s="3009"/>
      <c r="E1456" s="3010"/>
      <c r="F1456" s="3011"/>
      <c r="G1456" s="2225"/>
      <c r="H1456" s="2225"/>
      <c r="I1456" s="2354"/>
      <c r="J1456" s="2070"/>
    </row>
    <row r="1457" spans="1:10" s="2352" customFormat="1" ht="11.85" hidden="1" customHeight="1">
      <c r="A1457" s="2070"/>
      <c r="B1457" s="3012"/>
      <c r="C1457" s="3013"/>
      <c r="D1457" s="3014"/>
      <c r="E1457" s="3015"/>
      <c r="F1457" s="2992"/>
      <c r="G1457" s="2225"/>
      <c r="H1457" s="2225"/>
      <c r="I1457" s="2354"/>
      <c r="J1457" s="2070"/>
    </row>
    <row r="1458" spans="1:10" s="2352" customFormat="1" ht="11.85" hidden="1" customHeight="1" thickBot="1">
      <c r="A1458" s="2070"/>
      <c r="B1458" s="3020"/>
      <c r="C1458" s="3021"/>
      <c r="D1458" s="3021"/>
      <c r="E1458" s="2994"/>
      <c r="F1458" s="3023"/>
      <c r="G1458" s="2225"/>
      <c r="H1458" s="2225"/>
      <c r="I1458" s="2354"/>
      <c r="J1458" s="2070"/>
    </row>
    <row r="1459" spans="1:10" s="2352" customFormat="1" ht="11.85" hidden="1" customHeight="1" thickTop="1">
      <c r="A1459" s="2070"/>
      <c r="C1459" s="2244"/>
      <c r="E1459" s="2244"/>
      <c r="F1459" s="2244"/>
      <c r="G1459" s="2225"/>
      <c r="H1459" s="2225"/>
      <c r="I1459" s="2354"/>
      <c r="J1459" s="2070"/>
    </row>
    <row r="1460" spans="1:10" s="2352" customFormat="1" ht="11.85" hidden="1" customHeight="1" thickBot="1">
      <c r="A1460" s="2070"/>
      <c r="B1460" s="3004"/>
      <c r="C1460" s="3005"/>
      <c r="D1460" s="3005"/>
      <c r="E1460" s="3005"/>
      <c r="F1460" s="3006"/>
      <c r="G1460" s="2225"/>
      <c r="H1460" s="2225"/>
      <c r="I1460" s="2354"/>
      <c r="J1460" s="2070"/>
    </row>
    <row r="1461" spans="1:10" s="2352" customFormat="1" ht="11.85" hidden="1" customHeight="1" thickTop="1">
      <c r="A1461" s="2070"/>
      <c r="B1461" s="3007"/>
      <c r="C1461" s="3008"/>
      <c r="D1461" s="3009"/>
      <c r="E1461" s="3010"/>
      <c r="F1461" s="3011"/>
      <c r="G1461" s="2225"/>
      <c r="H1461" s="2225"/>
      <c r="I1461" s="2354"/>
      <c r="J1461" s="2070"/>
    </row>
    <row r="1462" spans="1:10" s="2352" customFormat="1" ht="11.85" hidden="1" customHeight="1">
      <c r="A1462" s="2070"/>
      <c r="B1462" s="3012"/>
      <c r="C1462" s="3013"/>
      <c r="D1462" s="3014"/>
      <c r="E1462" s="3015"/>
      <c r="F1462" s="2992"/>
      <c r="G1462" s="2225"/>
      <c r="H1462" s="2225"/>
      <c r="I1462" s="2354"/>
      <c r="J1462" s="2070"/>
    </row>
    <row r="1463" spans="1:10" s="2352" customFormat="1" ht="11.85" hidden="1" customHeight="1">
      <c r="A1463" s="2070"/>
      <c r="B1463" s="3016"/>
      <c r="C1463" s="3017"/>
      <c r="D1463" s="3018"/>
      <c r="E1463" s="3019"/>
      <c r="F1463" s="2992"/>
      <c r="G1463" s="2225"/>
      <c r="H1463" s="2225"/>
      <c r="I1463" s="2354"/>
      <c r="J1463" s="2070"/>
    </row>
    <row r="1464" spans="1:10" s="2352" customFormat="1" ht="11.85" hidden="1" customHeight="1" thickBot="1">
      <c r="A1464" s="2070"/>
      <c r="B1464" s="3020"/>
      <c r="C1464" s="3021"/>
      <c r="D1464" s="3021"/>
      <c r="E1464" s="2994"/>
      <c r="F1464" s="3023"/>
      <c r="G1464" s="2225"/>
      <c r="H1464" s="2225"/>
      <c r="I1464" s="2354"/>
      <c r="J1464" s="2070"/>
    </row>
    <row r="1465" spans="1:10" s="2352" customFormat="1" ht="11.85" hidden="1" customHeight="1" thickTop="1">
      <c r="A1465" s="2070"/>
      <c r="B1465" s="2079"/>
      <c r="C1465" s="2990"/>
      <c r="D1465" s="2145"/>
      <c r="E1465" s="2990"/>
      <c r="F1465" s="2869"/>
      <c r="G1465" s="2225"/>
      <c r="H1465" s="2225"/>
      <c r="I1465" s="2354"/>
      <c r="J1465" s="2070"/>
    </row>
    <row r="1466" spans="1:10" s="2352" customFormat="1" ht="11.85" hidden="1" customHeight="1">
      <c r="A1466" s="2070"/>
      <c r="B1466" s="2050"/>
      <c r="C1466" s="2831"/>
      <c r="D1466" s="2146"/>
      <c r="E1466" s="2831"/>
      <c r="F1466" s="2992"/>
      <c r="G1466" s="2225"/>
      <c r="H1466" s="2225"/>
      <c r="I1466" s="2354"/>
      <c r="J1466" s="2070"/>
    </row>
    <row r="1467" spans="1:10" s="2352" customFormat="1" ht="11.85" hidden="1" customHeight="1">
      <c r="A1467" s="2070"/>
      <c r="B1467" s="2050"/>
      <c r="C1467" s="2831"/>
      <c r="D1467" s="2146"/>
      <c r="E1467" s="2831"/>
      <c r="F1467" s="2992"/>
      <c r="G1467" s="2225"/>
      <c r="H1467" s="2225"/>
      <c r="I1467" s="2354"/>
      <c r="J1467" s="2070"/>
    </row>
    <row r="1468" spans="1:10" s="2352" customFormat="1" ht="11.85" hidden="1" customHeight="1">
      <c r="A1468" s="2070"/>
      <c r="B1468" s="2050"/>
      <c r="C1468" s="2831"/>
      <c r="D1468" s="2146"/>
      <c r="E1468" s="2831"/>
      <c r="F1468" s="2992"/>
      <c r="G1468" s="2225"/>
      <c r="H1468" s="2225"/>
      <c r="I1468" s="2354"/>
      <c r="J1468" s="2070"/>
    </row>
    <row r="1469" spans="1:10" s="2352" customFormat="1" ht="11.85" hidden="1" customHeight="1">
      <c r="A1469" s="2070"/>
      <c r="B1469" s="2128"/>
      <c r="C1469" s="2831"/>
      <c r="D1469" s="2946"/>
      <c r="E1469" s="2831"/>
      <c r="F1469" s="2992"/>
      <c r="G1469" s="2225"/>
      <c r="H1469" s="2225"/>
      <c r="I1469" s="2354"/>
      <c r="J1469" s="2070"/>
    </row>
    <row r="1470" spans="1:10" s="2352" customFormat="1" ht="11.85" hidden="1" customHeight="1" thickBot="1">
      <c r="A1470" s="2070"/>
      <c r="B1470" s="2099"/>
      <c r="C1470" s="2993"/>
      <c r="D1470" s="2114"/>
      <c r="E1470" s="3047"/>
      <c r="F1470" s="2995"/>
      <c r="G1470" s="2225"/>
      <c r="H1470" s="2225"/>
      <c r="I1470" s="2354"/>
      <c r="J1470" s="2070"/>
    </row>
    <row r="1471" spans="1:10" s="2352" customFormat="1" ht="11.85" hidden="1" customHeight="1" thickTop="1">
      <c r="A1471" s="2070"/>
      <c r="C1471" s="2244"/>
      <c r="E1471" s="2244"/>
      <c r="F1471" s="2244"/>
      <c r="G1471" s="2225"/>
      <c r="H1471" s="2225"/>
      <c r="I1471" s="2354"/>
      <c r="J1471" s="2070"/>
    </row>
    <row r="1472" spans="1:10" s="2352" customFormat="1" ht="11.85" hidden="1" customHeight="1" thickBot="1">
      <c r="A1472" s="2070"/>
      <c r="B1472" s="2147"/>
      <c r="C1472" s="2161"/>
      <c r="D1472" s="2162"/>
      <c r="E1472" s="2161"/>
      <c r="F1472" s="2161"/>
      <c r="G1472" s="2225"/>
      <c r="H1472" s="2225"/>
      <c r="I1472" s="2354"/>
      <c r="J1472" s="2070"/>
    </row>
    <row r="1473" spans="1:10" s="2352" customFormat="1" ht="11.85" hidden="1" customHeight="1" thickTop="1">
      <c r="A1473" s="2070"/>
      <c r="B1473" s="2246"/>
      <c r="C1473" s="2760"/>
      <c r="D1473" s="2145"/>
      <c r="E1473" s="2760"/>
      <c r="F1473" s="3011"/>
      <c r="G1473" s="2225"/>
      <c r="H1473" s="2225"/>
      <c r="I1473" s="2354"/>
      <c r="J1473" s="2070"/>
    </row>
    <row r="1474" spans="1:10" s="2352" customFormat="1" ht="11.85" hidden="1" customHeight="1">
      <c r="A1474" s="2070"/>
      <c r="B1474" s="2068"/>
      <c r="C1474" s="2109"/>
      <c r="D1474" s="2146"/>
      <c r="E1474" s="2109"/>
      <c r="F1474" s="2992"/>
      <c r="G1474" s="2225"/>
      <c r="H1474" s="2225"/>
      <c r="I1474" s="2354"/>
      <c r="J1474" s="2070"/>
    </row>
    <row r="1475" spans="1:10" s="2352" customFormat="1" ht="11.85" hidden="1" customHeight="1">
      <c r="A1475" s="2070"/>
      <c r="B1475" s="2068"/>
      <c r="C1475" s="2109"/>
      <c r="D1475" s="2146"/>
      <c r="E1475" s="2109"/>
      <c r="F1475" s="2992"/>
      <c r="G1475" s="2225"/>
      <c r="H1475" s="2225"/>
      <c r="I1475" s="2354"/>
      <c r="J1475" s="2070"/>
    </row>
    <row r="1476" spans="1:10" s="2352" customFormat="1" ht="11.85" hidden="1" customHeight="1" thickBot="1">
      <c r="A1476" s="2070"/>
      <c r="B1476" s="2099"/>
      <c r="C1476" s="2101"/>
      <c r="D1476" s="2105"/>
      <c r="E1476" s="2143"/>
      <c r="F1476" s="3048"/>
      <c r="G1476" s="2225"/>
      <c r="H1476" s="2225"/>
      <c r="I1476" s="2354"/>
      <c r="J1476" s="2070"/>
    </row>
    <row r="1477" spans="1:10" s="2352" customFormat="1" ht="11.85" hidden="1" customHeight="1" thickTop="1">
      <c r="A1477" s="2070"/>
      <c r="B1477" s="3049"/>
      <c r="C1477" s="3050"/>
      <c r="D1477" s="2148"/>
      <c r="E1477" s="2072"/>
      <c r="F1477" s="2812"/>
      <c r="G1477" s="2225"/>
      <c r="H1477" s="2225"/>
      <c r="I1477" s="2354"/>
      <c r="J1477" s="2070"/>
    </row>
    <row r="1478" spans="1:10" s="2352" customFormat="1" ht="11.85" hidden="1" customHeight="1">
      <c r="A1478" s="2070"/>
      <c r="B1478" s="2070"/>
      <c r="C1478" s="2093"/>
      <c r="D1478" s="2094"/>
      <c r="E1478" s="2093"/>
      <c r="F1478" s="2093"/>
      <c r="G1478" s="2225"/>
      <c r="H1478" s="2225"/>
      <c r="I1478" s="2354"/>
      <c r="J1478" s="2070"/>
    </row>
    <row r="1479" spans="1:10" s="2352" customFormat="1" ht="11.85" hidden="1" customHeight="1">
      <c r="A1479" s="2070"/>
      <c r="B1479" s="2070"/>
      <c r="C1479" s="2093"/>
      <c r="D1479" s="2094"/>
      <c r="E1479" s="2093"/>
      <c r="F1479" s="2093"/>
      <c r="G1479" s="2225"/>
      <c r="H1479" s="2225"/>
      <c r="I1479" s="2354"/>
      <c r="J1479" s="2070"/>
    </row>
    <row r="1480" spans="1:10" s="2352" customFormat="1" ht="21" hidden="1" customHeight="1">
      <c r="A1480" s="2070"/>
      <c r="B1480" s="4919"/>
      <c r="C1480" s="4919"/>
      <c r="D1480" s="4919"/>
      <c r="E1480" s="4919"/>
      <c r="F1480" s="4919"/>
      <c r="G1480" s="2225"/>
      <c r="H1480" s="2225"/>
      <c r="I1480" s="2354"/>
      <c r="J1480" s="2070"/>
    </row>
    <row r="1481" spans="1:10" s="2352" customFormat="1" ht="15.75" hidden="1" customHeight="1">
      <c r="A1481" s="2070"/>
      <c r="B1481" s="3051"/>
      <c r="C1481" s="3051"/>
      <c r="D1481" s="3051"/>
      <c r="E1481" s="3051"/>
      <c r="F1481" s="3051"/>
      <c r="G1481" s="2225"/>
      <c r="H1481" s="2225"/>
      <c r="I1481" s="2354"/>
      <c r="J1481" s="2070"/>
    </row>
    <row r="1482" spans="1:10" s="2352" customFormat="1" ht="17.25" hidden="1" customHeight="1">
      <c r="A1482" s="2070"/>
      <c r="B1482" s="4925"/>
      <c r="C1482" s="4925"/>
      <c r="D1482" s="4925"/>
      <c r="E1482" s="4925"/>
      <c r="F1482" s="4925"/>
      <c r="G1482" s="2225"/>
      <c r="H1482" s="2225"/>
      <c r="I1482" s="2354"/>
    </row>
    <row r="1483" spans="1:10" s="2352" customFormat="1" ht="11.85" hidden="1" customHeight="1">
      <c r="A1483" s="2070"/>
      <c r="B1483" s="2660"/>
      <c r="C1483" s="2660"/>
      <c r="D1483" s="2660"/>
      <c r="E1483" s="2660"/>
      <c r="F1483" s="2660"/>
      <c r="G1483" s="2225"/>
      <c r="H1483" s="2225"/>
      <c r="I1483" s="2354"/>
    </row>
    <row r="1484" spans="1:10" s="2352" customFormat="1" ht="11.85" hidden="1" customHeight="1">
      <c r="A1484" s="2070"/>
      <c r="B1484" s="2243"/>
      <c r="C1484" s="2234"/>
      <c r="D1484" s="2235"/>
      <c r="E1484" s="2652"/>
      <c r="F1484" s="2653"/>
      <c r="G1484" s="2225"/>
      <c r="H1484" s="2225"/>
      <c r="I1484" s="2354"/>
    </row>
    <row r="1485" spans="1:10" s="2352" customFormat="1" ht="11.85" hidden="1" customHeight="1">
      <c r="A1485" s="2070"/>
      <c r="B1485" s="2243"/>
      <c r="C1485" s="2234"/>
      <c r="D1485" s="2235"/>
      <c r="E1485" s="2653"/>
      <c r="F1485" s="2653"/>
      <c r="G1485" s="2225"/>
      <c r="H1485" s="2225"/>
      <c r="I1485" s="2354"/>
    </row>
    <row r="1486" spans="1:10" s="2352" customFormat="1" ht="11.85" hidden="1" customHeight="1">
      <c r="A1486" s="2070"/>
      <c r="B1486" s="2243"/>
      <c r="C1486" s="2234"/>
      <c r="D1486" s="2235"/>
      <c r="E1486" s="2653"/>
      <c r="F1486" s="2653"/>
      <c r="G1486" s="2225"/>
      <c r="H1486" s="2225"/>
      <c r="I1486" s="2354"/>
    </row>
    <row r="1487" spans="1:10" s="2352" customFormat="1" ht="11.85" hidden="1" customHeight="1">
      <c r="A1487" s="2070"/>
      <c r="B1487" s="2243"/>
      <c r="C1487" s="2234"/>
      <c r="D1487" s="2235"/>
      <c r="E1487" s="2653"/>
      <c r="F1487" s="2653"/>
      <c r="G1487" s="2225"/>
      <c r="H1487" s="2225"/>
      <c r="I1487" s="2354"/>
    </row>
    <row r="1488" spans="1:10" s="2352" customFormat="1" ht="11.85" hidden="1" customHeight="1">
      <c r="A1488" s="2070"/>
      <c r="B1488" s="2243"/>
      <c r="C1488" s="2234"/>
      <c r="D1488" s="2235"/>
      <c r="E1488" s="2653"/>
      <c r="F1488" s="2653"/>
      <c r="G1488" s="2225"/>
      <c r="H1488" s="2225"/>
      <c r="I1488" s="2354"/>
    </row>
    <row r="1489" spans="1:9" s="2352" customFormat="1" ht="11.85" hidden="1" customHeight="1">
      <c r="A1489" s="2070"/>
      <c r="B1489" s="2243"/>
      <c r="C1489" s="2234"/>
      <c r="D1489" s="2235"/>
      <c r="E1489" s="2653"/>
      <c r="F1489" s="2653"/>
      <c r="G1489" s="2225"/>
      <c r="H1489" s="2225"/>
      <c r="I1489" s="2354"/>
    </row>
    <row r="1490" spans="1:9" s="2352" customFormat="1" ht="11.85" hidden="1" customHeight="1">
      <c r="A1490" s="2070"/>
      <c r="B1490" s="2243"/>
      <c r="C1490" s="2234"/>
      <c r="D1490" s="2235"/>
      <c r="E1490" s="2653"/>
      <c r="F1490" s="2653"/>
      <c r="G1490" s="2225"/>
      <c r="H1490" s="2225"/>
      <c r="I1490" s="2354"/>
    </row>
    <row r="1491" spans="1:9" s="2352" customFormat="1" ht="11.85" hidden="1" customHeight="1">
      <c r="A1491" s="2070"/>
      <c r="B1491" s="2243"/>
      <c r="C1491" s="2234"/>
      <c r="D1491" s="2235"/>
      <c r="E1491" s="2653"/>
      <c r="F1491" s="2653"/>
      <c r="G1491" s="2225"/>
      <c r="H1491" s="2225"/>
      <c r="I1491" s="2354"/>
    </row>
    <row r="1492" spans="1:9" s="2352" customFormat="1" ht="11.85" hidden="1" customHeight="1">
      <c r="A1492" s="2070"/>
      <c r="B1492" s="2243"/>
      <c r="C1492" s="2234"/>
      <c r="D1492" s="2235"/>
      <c r="E1492" s="2653"/>
      <c r="F1492" s="2653"/>
      <c r="G1492" s="2225"/>
      <c r="H1492" s="2225"/>
      <c r="I1492" s="2354"/>
    </row>
    <row r="1493" spans="1:9" s="2352" customFormat="1" ht="11.85" hidden="1" customHeight="1">
      <c r="A1493" s="2070"/>
      <c r="B1493" s="2243"/>
      <c r="C1493" s="2234"/>
      <c r="D1493" s="2235"/>
      <c r="E1493" s="2653"/>
      <c r="F1493" s="2653"/>
      <c r="G1493" s="2225"/>
      <c r="H1493" s="2225"/>
      <c r="I1493" s="2354"/>
    </row>
    <row r="1494" spans="1:9" s="2352" customFormat="1" ht="11.85" hidden="1" customHeight="1">
      <c r="A1494" s="2070"/>
      <c r="B1494" s="2842"/>
      <c r="C1494" s="2234"/>
      <c r="D1494" s="2235"/>
      <c r="E1494" s="2652"/>
      <c r="F1494" s="2653"/>
      <c r="G1494" s="2225"/>
      <c r="H1494" s="2225"/>
      <c r="I1494" s="2354"/>
    </row>
    <row r="1495" spans="1:9" s="2352" customFormat="1" ht="11.85" hidden="1" customHeight="1">
      <c r="A1495" s="2070"/>
      <c r="B1495" s="2243"/>
      <c r="C1495" s="2234"/>
      <c r="D1495" s="2235"/>
      <c r="E1495" s="2652"/>
      <c r="F1495" s="2653"/>
      <c r="G1495" s="2225"/>
      <c r="H1495" s="2225"/>
      <c r="I1495" s="2354"/>
    </row>
    <row r="1496" spans="1:9" s="2352" customFormat="1" ht="11.85" hidden="1" customHeight="1">
      <c r="A1496" s="2070"/>
      <c r="B1496" s="2243"/>
      <c r="C1496" s="2234"/>
      <c r="D1496" s="2235"/>
      <c r="E1496" s="2652"/>
      <c r="F1496" s="2653"/>
      <c r="G1496" s="2225"/>
      <c r="H1496" s="2225"/>
      <c r="I1496" s="2354"/>
    </row>
    <row r="1497" spans="1:9" s="2352" customFormat="1" ht="11.85" hidden="1" customHeight="1">
      <c r="A1497" s="2070"/>
      <c r="B1497" s="2243"/>
      <c r="C1497" s="2234"/>
      <c r="D1497" s="2235"/>
      <c r="E1497" s="2652"/>
      <c r="F1497" s="2653"/>
      <c r="G1497" s="2225"/>
      <c r="H1497" s="2225"/>
      <c r="I1497" s="2354"/>
    </row>
    <row r="1498" spans="1:9" s="2352" customFormat="1" ht="11.85" hidden="1" customHeight="1">
      <c r="A1498" s="2070"/>
      <c r="B1498" s="2243"/>
      <c r="C1498" s="2234"/>
      <c r="D1498" s="2235"/>
      <c r="E1498" s="2652"/>
      <c r="F1498" s="2653"/>
      <c r="G1498" s="2225"/>
      <c r="H1498" s="2225"/>
      <c r="I1498" s="2354"/>
    </row>
    <row r="1499" spans="1:9" s="2352" customFormat="1" ht="11.85" hidden="1" customHeight="1">
      <c r="A1499" s="2070"/>
      <c r="B1499" s="2243"/>
      <c r="C1499" s="2234"/>
      <c r="D1499" s="2235"/>
      <c r="E1499" s="2652"/>
      <c r="F1499" s="2653"/>
      <c r="G1499" s="2225"/>
      <c r="H1499" s="2225"/>
      <c r="I1499" s="2354"/>
    </row>
    <row r="1500" spans="1:9" s="2352" customFormat="1" ht="11.85" hidden="1" customHeight="1">
      <c r="A1500" s="2070"/>
      <c r="B1500" s="2243"/>
      <c r="C1500" s="2234"/>
      <c r="D1500" s="2235"/>
      <c r="E1500" s="2652"/>
      <c r="F1500" s="2653"/>
      <c r="G1500" s="2225"/>
      <c r="H1500" s="2225"/>
      <c r="I1500" s="2354"/>
    </row>
    <row r="1501" spans="1:9" s="2352" customFormat="1" ht="11.85" hidden="1" customHeight="1">
      <c r="A1501" s="2070"/>
      <c r="B1501" s="2243"/>
      <c r="C1501" s="2234"/>
      <c r="D1501" s="2235"/>
      <c r="E1501" s="2652"/>
      <c r="F1501" s="2653"/>
      <c r="G1501" s="2225"/>
      <c r="H1501" s="2225"/>
      <c r="I1501" s="2354"/>
    </row>
    <row r="1502" spans="1:9" s="2352" customFormat="1" ht="11.85" hidden="1" customHeight="1">
      <c r="A1502" s="2070"/>
      <c r="B1502" s="2243"/>
      <c r="C1502" s="2234"/>
      <c r="D1502" s="2235"/>
      <c r="E1502" s="2652"/>
      <c r="F1502" s="2653"/>
      <c r="G1502" s="2225"/>
      <c r="H1502" s="2225"/>
      <c r="I1502" s="2354"/>
    </row>
    <row r="1503" spans="1:9" s="2352" customFormat="1" ht="11.85" hidden="1" customHeight="1">
      <c r="A1503" s="2070"/>
      <c r="B1503" s="2243"/>
      <c r="C1503" s="2234"/>
      <c r="D1503" s="2235"/>
      <c r="E1503" s="2652"/>
      <c r="F1503" s="2653"/>
      <c r="G1503" s="2225"/>
      <c r="H1503" s="2225"/>
      <c r="I1503" s="2354"/>
    </row>
    <row r="1504" spans="1:9" s="2352" customFormat="1" ht="11.85" hidden="1" customHeight="1">
      <c r="A1504" s="2070"/>
      <c r="B1504" s="2243"/>
      <c r="C1504" s="2653"/>
      <c r="D1504" s="2235"/>
      <c r="E1504" s="2653"/>
      <c r="F1504" s="2653"/>
      <c r="G1504" s="2225"/>
      <c r="H1504" s="2225"/>
      <c r="I1504" s="2354"/>
    </row>
    <row r="1505" spans="1:9" s="2352" customFormat="1" ht="11.85" hidden="1" customHeight="1">
      <c r="A1505" s="2070"/>
      <c r="B1505" s="2243"/>
      <c r="C1505" s="2653"/>
      <c r="D1505" s="2235"/>
      <c r="E1505" s="2653"/>
      <c r="F1505" s="2653"/>
      <c r="G1505" s="2225"/>
      <c r="H1505" s="2225"/>
      <c r="I1505" s="2354"/>
    </row>
    <row r="1506" spans="1:9" s="2352" customFormat="1" ht="11.85" hidden="1" customHeight="1">
      <c r="A1506" s="2070"/>
      <c r="B1506" s="2842"/>
      <c r="C1506" s="2658"/>
      <c r="D1506" s="2658"/>
      <c r="E1506" s="2658"/>
      <c r="F1506" s="2300"/>
      <c r="G1506" s="2244"/>
      <c r="H1506" s="2244"/>
      <c r="I1506" s="2357"/>
    </row>
    <row r="1507" spans="1:9" s="2352" customFormat="1" ht="11.85" hidden="1" customHeight="1">
      <c r="A1507" s="2070"/>
      <c r="B1507" s="2070"/>
      <c r="C1507" s="2093"/>
      <c r="D1507" s="2094"/>
      <c r="E1507" s="2093"/>
      <c r="F1507" s="2093"/>
      <c r="G1507" s="2244"/>
      <c r="H1507" s="2244"/>
      <c r="I1507" s="2357"/>
    </row>
    <row r="1508" spans="1:9" s="2352" customFormat="1" ht="11.85" hidden="1" customHeight="1">
      <c r="A1508" s="2070"/>
      <c r="B1508" s="2070"/>
      <c r="C1508" s="2093"/>
      <c r="D1508" s="2094"/>
      <c r="E1508" s="2093"/>
      <c r="F1508" s="2093"/>
      <c r="G1508" s="2244"/>
      <c r="H1508" s="2244"/>
      <c r="I1508" s="2357"/>
    </row>
    <row r="1509" spans="1:9" s="2352" customFormat="1" ht="11.85" customHeight="1">
      <c r="A1509" s="2070"/>
      <c r="B1509" s="2070"/>
      <c r="C1509" s="2093"/>
      <c r="D1509" s="2094"/>
      <c r="E1509" s="2093"/>
      <c r="F1509" s="2093"/>
      <c r="G1509" s="2244"/>
      <c r="H1509" s="2244"/>
      <c r="I1509" s="2357"/>
    </row>
    <row r="1510" spans="1:9" s="2352" customFormat="1" ht="11.85" customHeight="1">
      <c r="A1510" s="2070"/>
      <c r="B1510" s="2070"/>
      <c r="C1510" s="2093"/>
      <c r="D1510" s="2094"/>
      <c r="E1510" s="2093"/>
      <c r="F1510" s="2093"/>
      <c r="G1510" s="2244"/>
      <c r="H1510" s="2244"/>
      <c r="I1510" s="2357"/>
    </row>
    <row r="1511" spans="1:9" s="2352" customFormat="1" ht="11.85" customHeight="1">
      <c r="A1511" s="2070"/>
      <c r="B1511" s="2070"/>
      <c r="C1511" s="2093"/>
      <c r="D1511" s="2094"/>
      <c r="E1511" s="2093"/>
      <c r="F1511" s="2093"/>
      <c r="G1511" s="2244"/>
      <c r="H1511" s="2244"/>
      <c r="I1511" s="2357"/>
    </row>
    <row r="1512" spans="1:9" s="2352" customFormat="1" ht="11.85" customHeight="1">
      <c r="A1512" s="2070"/>
      <c r="B1512" s="2070"/>
      <c r="C1512" s="2093"/>
      <c r="D1512" s="2094"/>
      <c r="E1512" s="2093"/>
      <c r="F1512" s="2093"/>
      <c r="G1512" s="2244"/>
      <c r="H1512" s="2244"/>
      <c r="I1512" s="2357"/>
    </row>
    <row r="1513" spans="1:9" s="2352" customFormat="1" ht="11.85" customHeight="1">
      <c r="A1513" s="2070"/>
      <c r="B1513" s="2070"/>
      <c r="C1513" s="2093"/>
      <c r="D1513" s="2094"/>
      <c r="E1513" s="2093"/>
      <c r="F1513" s="2093"/>
      <c r="G1513" s="2244"/>
      <c r="H1513" s="2244"/>
      <c r="I1513" s="2357"/>
    </row>
    <row r="1514" spans="1:9" s="2352" customFormat="1" ht="11.85" customHeight="1">
      <c r="A1514" s="2070"/>
      <c r="B1514" s="2070"/>
      <c r="C1514" s="2093"/>
      <c r="D1514" s="2094"/>
      <c r="E1514" s="2093"/>
      <c r="F1514" s="2093"/>
      <c r="G1514" s="2244"/>
      <c r="H1514" s="2244"/>
      <c r="I1514" s="2357"/>
    </row>
    <row r="1515" spans="1:9" s="2352" customFormat="1" ht="11.85" customHeight="1">
      <c r="A1515" s="2070"/>
      <c r="B1515" s="2070"/>
      <c r="C1515" s="2093"/>
      <c r="D1515" s="2094"/>
      <c r="E1515" s="2093"/>
      <c r="F1515" s="2093"/>
      <c r="G1515" s="2244"/>
      <c r="H1515" s="2244"/>
      <c r="I1515" s="2357"/>
    </row>
    <row r="1516" spans="1:9" s="2352" customFormat="1" ht="11.85" customHeight="1">
      <c r="A1516" s="2070"/>
      <c r="B1516" s="2070"/>
      <c r="C1516" s="2093"/>
      <c r="D1516" s="2094"/>
      <c r="E1516" s="2093"/>
      <c r="F1516" s="2093"/>
      <c r="G1516" s="2244"/>
      <c r="H1516" s="2244"/>
      <c r="I1516" s="2357"/>
    </row>
    <row r="1517" spans="1:9" s="2352" customFormat="1" ht="11.85" customHeight="1">
      <c r="A1517" s="2070"/>
      <c r="B1517" s="2070"/>
      <c r="C1517" s="2093"/>
      <c r="D1517" s="2094"/>
      <c r="E1517" s="2093"/>
      <c r="F1517" s="2093"/>
      <c r="G1517" s="2244"/>
      <c r="H1517" s="2244"/>
      <c r="I1517" s="2357"/>
    </row>
    <row r="1518" spans="1:9" s="2352" customFormat="1" ht="11.85" customHeight="1">
      <c r="A1518" s="2070"/>
      <c r="B1518" s="2070"/>
      <c r="C1518" s="2093"/>
      <c r="D1518" s="2094"/>
      <c r="E1518" s="2093"/>
      <c r="F1518" s="2093"/>
      <c r="G1518" s="2244"/>
      <c r="H1518" s="2244"/>
      <c r="I1518" s="2357"/>
    </row>
    <row r="1519" spans="1:9" s="2352" customFormat="1" ht="11.85" customHeight="1">
      <c r="A1519" s="2070"/>
      <c r="B1519" s="2070"/>
      <c r="C1519" s="2093"/>
      <c r="D1519" s="2094"/>
      <c r="E1519" s="2093"/>
      <c r="F1519" s="2093"/>
      <c r="G1519" s="2244"/>
      <c r="H1519" s="2244"/>
      <c r="I1519" s="2357"/>
    </row>
    <row r="1520" spans="1:9" s="2352" customFormat="1" ht="11.85" customHeight="1">
      <c r="A1520" s="2070"/>
      <c r="B1520" s="2070"/>
      <c r="C1520" s="2093"/>
      <c r="D1520" s="2094"/>
      <c r="E1520" s="2093"/>
      <c r="F1520" s="2093"/>
      <c r="G1520" s="2244"/>
      <c r="H1520" s="2244"/>
      <c r="I1520" s="2357"/>
    </row>
    <row r="1521" spans="1:9" s="2352" customFormat="1" ht="11.85" customHeight="1">
      <c r="A1521" s="2070"/>
      <c r="B1521" s="2070"/>
      <c r="C1521" s="2093"/>
      <c r="D1521" s="2094"/>
      <c r="E1521" s="2093"/>
      <c r="F1521" s="2093"/>
      <c r="G1521" s="2244"/>
      <c r="H1521" s="2244"/>
      <c r="I1521" s="2357"/>
    </row>
    <row r="1522" spans="1:9" s="2352" customFormat="1" ht="11.85" customHeight="1">
      <c r="A1522" s="2070"/>
      <c r="B1522" s="2070"/>
      <c r="C1522" s="2093"/>
      <c r="D1522" s="2094"/>
      <c r="E1522" s="2093"/>
      <c r="F1522" s="2093"/>
      <c r="G1522" s="2244"/>
      <c r="H1522" s="2244"/>
      <c r="I1522" s="2357"/>
    </row>
    <row r="1523" spans="1:9" s="2352" customFormat="1" ht="11.85" customHeight="1">
      <c r="A1523" s="2070"/>
      <c r="B1523" s="2070"/>
      <c r="C1523" s="2093"/>
      <c r="D1523" s="2094"/>
      <c r="E1523" s="2093"/>
      <c r="F1523" s="2093"/>
      <c r="G1523" s="2244"/>
      <c r="H1523" s="2244"/>
      <c r="I1523" s="2357"/>
    </row>
    <row r="1524" spans="1:9" s="2352" customFormat="1" ht="11.85" customHeight="1">
      <c r="A1524" s="2070"/>
      <c r="B1524" s="2070"/>
      <c r="C1524" s="2093"/>
      <c r="D1524" s="2094"/>
      <c r="E1524" s="2093"/>
      <c r="F1524" s="2093"/>
      <c r="G1524" s="2244"/>
      <c r="H1524" s="2244"/>
      <c r="I1524" s="2357"/>
    </row>
    <row r="1525" spans="1:9" s="2352" customFormat="1" ht="11.85" customHeight="1">
      <c r="A1525" s="2070"/>
      <c r="B1525" s="2070"/>
      <c r="C1525" s="2093"/>
      <c r="D1525" s="2094"/>
      <c r="E1525" s="2093"/>
      <c r="F1525" s="2093"/>
      <c r="G1525" s="2244"/>
      <c r="H1525" s="2244"/>
      <c r="I1525" s="2357"/>
    </row>
    <row r="1526" spans="1:9" s="2352" customFormat="1" ht="11.85" customHeight="1">
      <c r="A1526" s="2070"/>
      <c r="B1526" s="2070"/>
      <c r="C1526" s="2093"/>
      <c r="D1526" s="2094"/>
      <c r="E1526" s="2093"/>
      <c r="F1526" s="2093"/>
      <c r="G1526" s="2244"/>
      <c r="H1526" s="2244"/>
      <c r="I1526" s="2357"/>
    </row>
    <row r="1527" spans="1:9" s="2352" customFormat="1" ht="11.85" customHeight="1">
      <c r="A1527" s="2070"/>
      <c r="B1527" s="2070"/>
      <c r="C1527" s="2093"/>
      <c r="D1527" s="2094"/>
      <c r="E1527" s="2093"/>
      <c r="F1527" s="2093"/>
      <c r="G1527" s="2244"/>
      <c r="H1527" s="2244"/>
      <c r="I1527" s="2357"/>
    </row>
    <row r="1528" spans="1:9" s="2352" customFormat="1" ht="11.85" customHeight="1">
      <c r="A1528" s="2070"/>
      <c r="B1528" s="2070"/>
      <c r="C1528" s="2093"/>
      <c r="D1528" s="2094"/>
      <c r="E1528" s="2093"/>
      <c r="F1528" s="2093"/>
      <c r="G1528" s="2244"/>
      <c r="H1528" s="2244"/>
      <c r="I1528" s="2357"/>
    </row>
    <row r="1529" spans="1:9" s="2352" customFormat="1" ht="11.85" customHeight="1">
      <c r="A1529" s="2070"/>
      <c r="B1529" s="2070"/>
      <c r="C1529" s="2093"/>
      <c r="D1529" s="2094"/>
      <c r="E1529" s="2093"/>
      <c r="F1529" s="2093"/>
      <c r="G1529" s="2244"/>
      <c r="H1529" s="2244"/>
      <c r="I1529" s="2357"/>
    </row>
    <row r="1530" spans="1:9" s="2352" customFormat="1" ht="11.85" customHeight="1">
      <c r="A1530" s="2070"/>
      <c r="B1530" s="2070"/>
      <c r="C1530" s="2093"/>
      <c r="D1530" s="2094"/>
      <c r="E1530" s="2093"/>
      <c r="F1530" s="2093"/>
      <c r="G1530" s="2244"/>
      <c r="H1530" s="2244"/>
      <c r="I1530" s="2357"/>
    </row>
    <row r="1531" spans="1:9" s="2352" customFormat="1" ht="11.85" customHeight="1">
      <c r="A1531" s="2070"/>
      <c r="B1531" s="2070"/>
      <c r="C1531" s="2093"/>
      <c r="D1531" s="2094"/>
      <c r="E1531" s="2093"/>
      <c r="F1531" s="2093"/>
      <c r="G1531" s="2244"/>
      <c r="H1531" s="2244"/>
      <c r="I1531" s="2357"/>
    </row>
    <row r="1532" spans="1:9" s="2352" customFormat="1" ht="11.85" customHeight="1">
      <c r="A1532" s="2070"/>
      <c r="B1532" s="2070"/>
      <c r="C1532" s="2093"/>
      <c r="D1532" s="2094"/>
      <c r="E1532" s="2093"/>
      <c r="F1532" s="2093"/>
      <c r="G1532" s="2244"/>
      <c r="H1532" s="2244"/>
      <c r="I1532" s="2357"/>
    </row>
    <row r="1533" spans="1:9" s="2352" customFormat="1" ht="11.85" customHeight="1">
      <c r="A1533" s="2070"/>
      <c r="B1533" s="2070"/>
      <c r="C1533" s="2093"/>
      <c r="D1533" s="2094"/>
      <c r="E1533" s="2093"/>
      <c r="F1533" s="2093"/>
      <c r="G1533" s="2244"/>
      <c r="H1533" s="2244"/>
      <c r="I1533" s="2357"/>
    </row>
    <row r="1534" spans="1:9" s="2352" customFormat="1" ht="11.85" customHeight="1">
      <c r="A1534" s="2070"/>
      <c r="B1534" s="2070"/>
      <c r="C1534" s="2093"/>
      <c r="D1534" s="2094"/>
      <c r="E1534" s="2093"/>
      <c r="F1534" s="2093"/>
      <c r="G1534" s="2244"/>
      <c r="H1534" s="2244"/>
      <c r="I1534" s="2357"/>
    </row>
    <row r="1535" spans="1:9" s="2352" customFormat="1" ht="11.85" customHeight="1">
      <c r="A1535" s="2070"/>
      <c r="B1535" s="2070"/>
      <c r="C1535" s="2093"/>
      <c r="D1535" s="2094"/>
      <c r="E1535" s="2093"/>
      <c r="F1535" s="2093"/>
      <c r="G1535" s="2244"/>
      <c r="H1535" s="2244"/>
      <c r="I1535" s="2357"/>
    </row>
    <row r="1536" spans="1:9" s="2352" customFormat="1" ht="11.85" customHeight="1">
      <c r="A1536" s="2070"/>
      <c r="B1536" s="2070"/>
      <c r="C1536" s="2093"/>
      <c r="D1536" s="2094"/>
      <c r="E1536" s="2093"/>
      <c r="F1536" s="2093"/>
      <c r="G1536" s="2244"/>
      <c r="H1536" s="2244"/>
      <c r="I1536" s="2357"/>
    </row>
    <row r="1537" spans="1:9" s="2352" customFormat="1" ht="11.85" customHeight="1">
      <c r="A1537" s="2070"/>
      <c r="B1537" s="2070"/>
      <c r="C1537" s="2093"/>
      <c r="D1537" s="2094"/>
      <c r="E1537" s="2093"/>
      <c r="F1537" s="2093"/>
      <c r="G1537" s="2244"/>
      <c r="H1537" s="2244"/>
      <c r="I1537" s="2357"/>
    </row>
    <row r="1538" spans="1:9" s="2352" customFormat="1" ht="11.85" customHeight="1">
      <c r="A1538" s="2070"/>
      <c r="B1538" s="2070"/>
      <c r="C1538" s="2093"/>
      <c r="D1538" s="2094"/>
      <c r="E1538" s="2093"/>
      <c r="F1538" s="2093"/>
      <c r="G1538" s="2244"/>
      <c r="H1538" s="2244"/>
      <c r="I1538" s="2357"/>
    </row>
    <row r="1539" spans="1:9" s="2352" customFormat="1" ht="11.85" customHeight="1">
      <c r="A1539" s="2070"/>
      <c r="B1539" s="2070"/>
      <c r="C1539" s="2093"/>
      <c r="D1539" s="2094"/>
      <c r="E1539" s="2093"/>
      <c r="F1539" s="2093"/>
      <c r="G1539" s="2244"/>
      <c r="H1539" s="2244"/>
      <c r="I1539" s="2357"/>
    </row>
    <row r="1540" spans="1:9" s="2352" customFormat="1" ht="11.85" customHeight="1">
      <c r="A1540" s="2070"/>
      <c r="B1540" s="2070"/>
      <c r="C1540" s="2093"/>
      <c r="D1540" s="2094"/>
      <c r="E1540" s="2093"/>
      <c r="F1540" s="2093"/>
      <c r="G1540" s="2244"/>
      <c r="H1540" s="2244"/>
      <c r="I1540" s="2357"/>
    </row>
    <row r="1541" spans="1:9" s="2352" customFormat="1" ht="11.85" customHeight="1">
      <c r="A1541" s="2070"/>
      <c r="B1541" s="2070"/>
      <c r="C1541" s="2093"/>
      <c r="D1541" s="2094"/>
      <c r="E1541" s="2093"/>
      <c r="F1541" s="2093"/>
      <c r="G1541" s="2244"/>
      <c r="H1541" s="2244"/>
      <c r="I1541" s="2357"/>
    </row>
    <row r="1542" spans="1:9" s="2352" customFormat="1" ht="11.85" customHeight="1">
      <c r="A1542" s="2070"/>
      <c r="B1542" s="2070"/>
      <c r="C1542" s="2093"/>
      <c r="D1542" s="2094"/>
      <c r="E1542" s="2093"/>
      <c r="F1542" s="2093"/>
      <c r="G1542" s="2244"/>
      <c r="H1542" s="2244"/>
      <c r="I1542" s="2357"/>
    </row>
    <row r="1543" spans="1:9" s="2352" customFormat="1" ht="11.85" customHeight="1">
      <c r="A1543" s="2070"/>
      <c r="B1543" s="2070"/>
      <c r="C1543" s="2093"/>
      <c r="D1543" s="2094"/>
      <c r="E1543" s="2093"/>
      <c r="F1543" s="2093"/>
      <c r="G1543" s="2244"/>
      <c r="H1543" s="2244"/>
      <c r="I1543" s="2357"/>
    </row>
    <row r="1544" spans="1:9" s="2352" customFormat="1" ht="11.85" customHeight="1">
      <c r="A1544" s="2070"/>
      <c r="B1544" s="2070"/>
      <c r="C1544" s="2093"/>
      <c r="D1544" s="2094"/>
      <c r="E1544" s="2093"/>
      <c r="F1544" s="2093"/>
      <c r="G1544" s="2244"/>
      <c r="H1544" s="2244"/>
      <c r="I1544" s="2357"/>
    </row>
    <row r="1545" spans="1:9" s="2352" customFormat="1" ht="11.85" customHeight="1">
      <c r="A1545" s="2070"/>
      <c r="B1545" s="2070"/>
      <c r="C1545" s="2093"/>
      <c r="D1545" s="2094"/>
      <c r="E1545" s="2093"/>
      <c r="F1545" s="2093"/>
      <c r="G1545" s="2244"/>
      <c r="H1545" s="2244"/>
      <c r="I1545" s="2357"/>
    </row>
    <row r="1546" spans="1:9" s="2352" customFormat="1" ht="11.85" customHeight="1">
      <c r="A1546" s="2070"/>
      <c r="B1546" s="2070"/>
      <c r="C1546" s="2093"/>
      <c r="D1546" s="2094"/>
      <c r="E1546" s="2093"/>
      <c r="F1546" s="2093"/>
      <c r="G1546" s="2244"/>
      <c r="H1546" s="2244"/>
      <c r="I1546" s="2357"/>
    </row>
    <row r="1547" spans="1:9" s="2352" customFormat="1" ht="11.85" customHeight="1">
      <c r="A1547" s="2070"/>
      <c r="B1547" s="2070"/>
      <c r="C1547" s="2093"/>
      <c r="D1547" s="2094"/>
      <c r="E1547" s="2093"/>
      <c r="F1547" s="2093"/>
      <c r="G1547" s="2244"/>
      <c r="H1547" s="2244"/>
      <c r="I1547" s="2357"/>
    </row>
    <row r="1548" spans="1:9" s="2352" customFormat="1" ht="11.85" customHeight="1">
      <c r="A1548" s="2070"/>
      <c r="B1548" s="2070"/>
      <c r="C1548" s="2093"/>
      <c r="D1548" s="2094"/>
      <c r="E1548" s="2093"/>
      <c r="F1548" s="2093"/>
      <c r="G1548" s="2244"/>
      <c r="H1548" s="2244"/>
      <c r="I1548" s="2357"/>
    </row>
    <row r="1549" spans="1:9" s="2352" customFormat="1" ht="11.85" customHeight="1">
      <c r="A1549" s="2070"/>
      <c r="B1549" s="2070"/>
      <c r="C1549" s="2093"/>
      <c r="D1549" s="2094"/>
      <c r="E1549" s="2093"/>
      <c r="F1549" s="2093"/>
      <c r="G1549" s="2244"/>
      <c r="H1549" s="2244"/>
      <c r="I1549" s="2357"/>
    </row>
    <row r="1550" spans="1:9" s="2352" customFormat="1" ht="11.85" customHeight="1">
      <c r="A1550" s="2070"/>
      <c r="B1550" s="2070"/>
      <c r="C1550" s="2093"/>
      <c r="D1550" s="2094"/>
      <c r="E1550" s="2093"/>
      <c r="F1550" s="2093"/>
      <c r="G1550" s="2244"/>
      <c r="H1550" s="2244"/>
      <c r="I1550" s="2357"/>
    </row>
    <row r="1551" spans="1:9" s="2352" customFormat="1" ht="11.85" customHeight="1">
      <c r="A1551" s="2070"/>
      <c r="B1551" s="2070"/>
      <c r="C1551" s="2093"/>
      <c r="D1551" s="2094"/>
      <c r="E1551" s="2093"/>
      <c r="F1551" s="2093"/>
      <c r="G1551" s="2244"/>
      <c r="H1551" s="2244"/>
      <c r="I1551" s="2357"/>
    </row>
    <row r="1552" spans="1:9" s="2352" customFormat="1" ht="11.85" customHeight="1">
      <c r="A1552" s="2070"/>
      <c r="B1552" s="2070"/>
      <c r="C1552" s="2093"/>
      <c r="D1552" s="2094"/>
      <c r="E1552" s="2093"/>
      <c r="F1552" s="2093"/>
      <c r="G1552" s="2244"/>
      <c r="H1552" s="2244"/>
      <c r="I1552" s="2357"/>
    </row>
    <row r="1553" spans="1:9" s="2352" customFormat="1" ht="11.85" customHeight="1">
      <c r="A1553" s="2070"/>
      <c r="B1553" s="2070"/>
      <c r="C1553" s="2093"/>
      <c r="D1553" s="2094"/>
      <c r="E1553" s="2093"/>
      <c r="F1553" s="2093"/>
      <c r="G1553" s="2244"/>
      <c r="H1553" s="2244"/>
      <c r="I1553" s="2357"/>
    </row>
    <row r="1554" spans="1:9" s="2352" customFormat="1" ht="11.85" customHeight="1">
      <c r="A1554" s="2070"/>
      <c r="B1554" s="2070"/>
      <c r="C1554" s="2093"/>
      <c r="D1554" s="2094"/>
      <c r="E1554" s="2093"/>
      <c r="F1554" s="2093"/>
      <c r="G1554" s="2244"/>
      <c r="H1554" s="2244"/>
      <c r="I1554" s="2357"/>
    </row>
    <row r="1555" spans="1:9" s="2352" customFormat="1" ht="11.85" customHeight="1">
      <c r="A1555" s="2070"/>
      <c r="B1555" s="2070"/>
      <c r="C1555" s="2093"/>
      <c r="D1555" s="2094"/>
      <c r="E1555" s="2093"/>
      <c r="F1555" s="2093"/>
      <c r="G1555" s="2244"/>
      <c r="H1555" s="2244"/>
      <c r="I1555" s="2357"/>
    </row>
    <row r="1556" spans="1:9" s="2352" customFormat="1" ht="11.85" customHeight="1">
      <c r="A1556" s="2070"/>
      <c r="B1556" s="2070"/>
      <c r="C1556" s="2093"/>
      <c r="D1556" s="2094"/>
      <c r="E1556" s="2093"/>
      <c r="F1556" s="2093"/>
      <c r="G1556" s="2244"/>
      <c r="H1556" s="2244"/>
      <c r="I1556" s="2357"/>
    </row>
    <row r="1557" spans="1:9" s="2352" customFormat="1" ht="11.85" customHeight="1">
      <c r="A1557" s="2070"/>
      <c r="B1557" s="2070"/>
      <c r="C1557" s="2093"/>
      <c r="D1557" s="2094"/>
      <c r="E1557" s="2093"/>
      <c r="F1557" s="2093"/>
      <c r="G1557" s="2244"/>
      <c r="H1557" s="2244"/>
      <c r="I1557" s="2357"/>
    </row>
    <row r="1558" spans="1:9" s="2352" customFormat="1" ht="11.85" customHeight="1">
      <c r="A1558" s="2070"/>
      <c r="B1558" s="2070"/>
      <c r="C1558" s="2093"/>
      <c r="D1558" s="2094"/>
      <c r="E1558" s="2093"/>
      <c r="F1558" s="2093"/>
      <c r="G1558" s="2244"/>
      <c r="H1558" s="2244"/>
      <c r="I1558" s="2357"/>
    </row>
    <row r="1559" spans="1:9" s="2352" customFormat="1" ht="11.85" customHeight="1">
      <c r="A1559" s="2070"/>
      <c r="B1559" s="2070"/>
      <c r="C1559" s="2093"/>
      <c r="D1559" s="2094"/>
      <c r="E1559" s="2093"/>
      <c r="F1559" s="2093"/>
      <c r="G1559" s="2244"/>
      <c r="H1559" s="2244"/>
      <c r="I1559" s="2357"/>
    </row>
    <row r="1560" spans="1:9" s="2352" customFormat="1" ht="11.85" customHeight="1">
      <c r="A1560" s="2070"/>
      <c r="B1560" s="2070"/>
      <c r="C1560" s="2093"/>
      <c r="D1560" s="2094"/>
      <c r="E1560" s="2093"/>
      <c r="F1560" s="2093"/>
      <c r="G1560" s="2244"/>
      <c r="H1560" s="2244"/>
      <c r="I1560" s="2357"/>
    </row>
    <row r="1561" spans="1:9" s="2352" customFormat="1" ht="11.85" customHeight="1">
      <c r="A1561" s="2070"/>
      <c r="B1561" s="2070"/>
      <c r="C1561" s="2093"/>
      <c r="D1561" s="2094"/>
      <c r="E1561" s="2093"/>
      <c r="F1561" s="2093"/>
      <c r="G1561" s="2244"/>
      <c r="H1561" s="2244"/>
      <c r="I1561" s="2357"/>
    </row>
    <row r="1562" spans="1:9" s="2352" customFormat="1" ht="11.85" customHeight="1">
      <c r="A1562" s="2070"/>
      <c r="B1562" s="2070"/>
      <c r="C1562" s="2093"/>
      <c r="D1562" s="2094"/>
      <c r="E1562" s="2093"/>
      <c r="F1562" s="2093"/>
      <c r="G1562" s="2244"/>
      <c r="H1562" s="2244"/>
      <c r="I1562" s="2357"/>
    </row>
    <row r="1563" spans="1:9" s="2352" customFormat="1" ht="11.85" customHeight="1">
      <c r="A1563" s="2070"/>
      <c r="B1563" s="2070"/>
      <c r="C1563" s="2093"/>
      <c r="D1563" s="2094"/>
      <c r="E1563" s="2093"/>
      <c r="F1563" s="2093"/>
      <c r="G1563" s="2244"/>
      <c r="H1563" s="2244"/>
      <c r="I1563" s="2357"/>
    </row>
    <row r="1564" spans="1:9" s="2352" customFormat="1" ht="11.85" customHeight="1">
      <c r="A1564" s="2070"/>
      <c r="B1564" s="2070"/>
      <c r="C1564" s="2093"/>
      <c r="D1564" s="2094"/>
      <c r="E1564" s="2093"/>
      <c r="F1564" s="2093"/>
      <c r="G1564" s="2244"/>
      <c r="H1564" s="2244"/>
      <c r="I1564" s="2357"/>
    </row>
    <row r="1565" spans="1:9" s="2352" customFormat="1" ht="11.85" customHeight="1">
      <c r="A1565" s="2070"/>
      <c r="B1565" s="2070"/>
      <c r="C1565" s="2093"/>
      <c r="D1565" s="2094"/>
      <c r="E1565" s="2093"/>
      <c r="F1565" s="2093"/>
      <c r="G1565" s="2244"/>
      <c r="H1565" s="2244"/>
      <c r="I1565" s="2357"/>
    </row>
    <row r="1566" spans="1:9" s="2352" customFormat="1" ht="11.85" customHeight="1">
      <c r="A1566" s="2070"/>
      <c r="B1566" s="2070"/>
      <c r="C1566" s="2093"/>
      <c r="D1566" s="2094"/>
      <c r="E1566" s="2093"/>
      <c r="F1566" s="2093"/>
      <c r="G1566" s="2244"/>
      <c r="H1566" s="2244"/>
      <c r="I1566" s="2357"/>
    </row>
    <row r="1567" spans="1:9" s="2352" customFormat="1" ht="11.85" customHeight="1">
      <c r="A1567" s="2070"/>
      <c r="B1567" s="2070"/>
      <c r="C1567" s="2093"/>
      <c r="D1567" s="2094"/>
      <c r="E1567" s="2093"/>
      <c r="F1567" s="2093"/>
      <c r="G1567" s="2244"/>
      <c r="H1567" s="2244"/>
      <c r="I1567" s="2357"/>
    </row>
    <row r="1568" spans="1:9" s="2352" customFormat="1" ht="11.85" customHeight="1">
      <c r="A1568" s="2070"/>
      <c r="B1568" s="2070"/>
      <c r="C1568" s="2093"/>
      <c r="D1568" s="2094"/>
      <c r="E1568" s="2093"/>
      <c r="F1568" s="2093"/>
      <c r="G1568" s="2244"/>
      <c r="H1568" s="2244"/>
      <c r="I1568" s="2357"/>
    </row>
    <row r="1569" spans="1:9" s="2352" customFormat="1" ht="11.85" customHeight="1">
      <c r="A1569" s="2070"/>
      <c r="B1569" s="2070"/>
      <c r="C1569" s="2093"/>
      <c r="D1569" s="2094"/>
      <c r="E1569" s="2093"/>
      <c r="F1569" s="2093"/>
      <c r="G1569" s="2244"/>
      <c r="H1569" s="2244"/>
      <c r="I1569" s="2357"/>
    </row>
    <row r="1570" spans="1:9" s="2352" customFormat="1" ht="11.85" customHeight="1">
      <c r="A1570" s="2070"/>
      <c r="B1570" s="2070"/>
      <c r="C1570" s="2093"/>
      <c r="D1570" s="2094"/>
      <c r="E1570" s="2093"/>
      <c r="F1570" s="2093"/>
      <c r="G1570" s="2244"/>
      <c r="H1570" s="2244"/>
      <c r="I1570" s="2357"/>
    </row>
    <row r="1571" spans="1:9" s="2352" customFormat="1" ht="11.85" customHeight="1">
      <c r="A1571" s="2070"/>
      <c r="B1571" s="2070"/>
      <c r="C1571" s="2093"/>
      <c r="D1571" s="2094"/>
      <c r="E1571" s="2093"/>
      <c r="F1571" s="2093"/>
      <c r="G1571" s="2244"/>
      <c r="H1571" s="2244"/>
      <c r="I1571" s="2357"/>
    </row>
    <row r="1572" spans="1:9" s="2352" customFormat="1" ht="11.85" customHeight="1">
      <c r="A1572" s="2070"/>
      <c r="B1572" s="2070"/>
      <c r="C1572" s="2093"/>
      <c r="D1572" s="2094"/>
      <c r="E1572" s="2093"/>
      <c r="F1572" s="2093"/>
      <c r="G1572" s="2244"/>
      <c r="H1572" s="2244"/>
      <c r="I1572" s="2357"/>
    </row>
    <row r="1573" spans="1:9" s="2352" customFormat="1" ht="11.85" customHeight="1">
      <c r="A1573" s="2070"/>
      <c r="B1573" s="2070"/>
      <c r="C1573" s="2093"/>
      <c r="D1573" s="2094"/>
      <c r="E1573" s="2093"/>
      <c r="F1573" s="2093"/>
      <c r="G1573" s="2244"/>
      <c r="H1573" s="2244"/>
      <c r="I1573" s="2357"/>
    </row>
    <row r="1574" spans="1:9" s="2352" customFormat="1" ht="11.85" customHeight="1">
      <c r="A1574" s="2070"/>
      <c r="B1574" s="2070"/>
      <c r="C1574" s="2093"/>
      <c r="D1574" s="2094"/>
      <c r="E1574" s="2093"/>
      <c r="F1574" s="2093"/>
      <c r="G1574" s="2244"/>
      <c r="H1574" s="2244"/>
      <c r="I1574" s="2357"/>
    </row>
    <row r="1575" spans="1:9" s="2352" customFormat="1" ht="11.85" customHeight="1">
      <c r="A1575" s="2070"/>
      <c r="B1575" s="2070"/>
      <c r="C1575" s="2093"/>
      <c r="D1575" s="2094"/>
      <c r="E1575" s="2093"/>
      <c r="F1575" s="2093"/>
      <c r="G1575" s="2244"/>
      <c r="H1575" s="2244"/>
      <c r="I1575" s="2357"/>
    </row>
    <row r="1576" spans="1:9" s="2352" customFormat="1" ht="11.85" customHeight="1">
      <c r="A1576" s="2070"/>
      <c r="B1576" s="2070"/>
      <c r="C1576" s="2093"/>
      <c r="D1576" s="2094"/>
      <c r="E1576" s="2093"/>
      <c r="F1576" s="2093"/>
      <c r="G1576" s="2244"/>
      <c r="H1576" s="2244"/>
      <c r="I1576" s="2357"/>
    </row>
    <row r="1577" spans="1:9" s="2352" customFormat="1" ht="11.85" customHeight="1">
      <c r="A1577" s="2070"/>
      <c r="B1577" s="2070"/>
      <c r="C1577" s="2093"/>
      <c r="D1577" s="2094"/>
      <c r="E1577" s="2093"/>
      <c r="F1577" s="2093"/>
      <c r="G1577" s="2244"/>
      <c r="H1577" s="2244"/>
      <c r="I1577" s="2357"/>
    </row>
    <row r="1578" spans="1:9" s="2352" customFormat="1" ht="11.85" customHeight="1">
      <c r="A1578" s="2070"/>
      <c r="B1578" s="2070"/>
      <c r="C1578" s="2093"/>
      <c r="D1578" s="2094"/>
      <c r="E1578" s="2093"/>
      <c r="F1578" s="2093"/>
      <c r="G1578" s="2244"/>
      <c r="H1578" s="2244"/>
      <c r="I1578" s="2357"/>
    </row>
    <row r="1579" spans="1:9" s="2352" customFormat="1" ht="11.85" customHeight="1">
      <c r="A1579" s="2070"/>
      <c r="B1579" s="2070"/>
      <c r="C1579" s="2093"/>
      <c r="D1579" s="2094"/>
      <c r="E1579" s="2093"/>
      <c r="F1579" s="2093"/>
      <c r="G1579" s="2244"/>
      <c r="H1579" s="2244"/>
      <c r="I1579" s="2357"/>
    </row>
    <row r="1580" spans="1:9" s="2352" customFormat="1" ht="11.85" customHeight="1">
      <c r="A1580" s="2070"/>
      <c r="B1580" s="2070"/>
      <c r="C1580" s="2093"/>
      <c r="D1580" s="2094"/>
      <c r="E1580" s="2093"/>
      <c r="F1580" s="2093"/>
      <c r="G1580" s="2244"/>
      <c r="H1580" s="2244"/>
      <c r="I1580" s="2357"/>
    </row>
    <row r="1581" spans="1:9" s="2352" customFormat="1" ht="11.85" customHeight="1">
      <c r="A1581" s="2070"/>
      <c r="B1581" s="2070"/>
      <c r="C1581" s="2093"/>
      <c r="D1581" s="2094"/>
      <c r="E1581" s="2093"/>
      <c r="F1581" s="2093"/>
      <c r="G1581" s="2244"/>
      <c r="H1581" s="2244"/>
      <c r="I1581" s="2357"/>
    </row>
    <row r="1582" spans="1:9" s="2352" customFormat="1" ht="11.85" customHeight="1">
      <c r="A1582" s="2070"/>
      <c r="B1582" s="2070"/>
      <c r="C1582" s="2093"/>
      <c r="D1582" s="2094"/>
      <c r="E1582" s="2093"/>
      <c r="F1582" s="2093"/>
      <c r="G1582" s="2244"/>
      <c r="H1582" s="2244"/>
      <c r="I1582" s="2357"/>
    </row>
    <row r="1583" spans="1:9" s="2352" customFormat="1" ht="11.85" customHeight="1">
      <c r="A1583" s="2070"/>
      <c r="B1583" s="2070"/>
      <c r="C1583" s="2093"/>
      <c r="D1583" s="2094"/>
      <c r="E1583" s="2093"/>
      <c r="F1583" s="2093"/>
      <c r="G1583" s="2244"/>
      <c r="H1583" s="2244"/>
      <c r="I1583" s="2357"/>
    </row>
    <row r="1584" spans="1:9" s="2352" customFormat="1" ht="11.85" customHeight="1">
      <c r="A1584" s="2070"/>
      <c r="B1584" s="2070"/>
      <c r="C1584" s="2093"/>
      <c r="D1584" s="2094"/>
      <c r="E1584" s="2093"/>
      <c r="F1584" s="2093"/>
      <c r="G1584" s="2244"/>
      <c r="H1584" s="2244"/>
      <c r="I1584" s="2357"/>
    </row>
    <row r="1585" spans="1:9" s="2352" customFormat="1" ht="11.85" customHeight="1">
      <c r="A1585" s="2070"/>
      <c r="B1585" s="2070"/>
      <c r="C1585" s="2093"/>
      <c r="D1585" s="2094"/>
      <c r="E1585" s="2093"/>
      <c r="F1585" s="2093"/>
      <c r="G1585" s="2244"/>
      <c r="H1585" s="2244"/>
      <c r="I1585" s="2357"/>
    </row>
    <row r="1586" spans="1:9" s="2352" customFormat="1" ht="11.85" customHeight="1">
      <c r="A1586" s="2070"/>
      <c r="B1586" s="2070"/>
      <c r="C1586" s="2093"/>
      <c r="D1586" s="2094"/>
      <c r="E1586" s="2093"/>
      <c r="F1586" s="2093"/>
      <c r="G1586" s="2244"/>
      <c r="H1586" s="2244"/>
      <c r="I1586" s="2357"/>
    </row>
    <row r="1587" spans="1:9" s="2352" customFormat="1" ht="11.85" customHeight="1">
      <c r="A1587" s="2070"/>
      <c r="B1587" s="2070"/>
      <c r="C1587" s="2093"/>
      <c r="D1587" s="2094"/>
      <c r="E1587" s="2093"/>
      <c r="F1587" s="2093"/>
      <c r="G1587" s="2244"/>
      <c r="H1587" s="2244"/>
      <c r="I1587" s="2357"/>
    </row>
    <row r="1588" spans="1:9" s="2352" customFormat="1" ht="11.85" customHeight="1">
      <c r="A1588" s="2070"/>
      <c r="B1588" s="2070"/>
      <c r="C1588" s="2093"/>
      <c r="D1588" s="2094"/>
      <c r="E1588" s="2093"/>
      <c r="F1588" s="2093"/>
      <c r="G1588" s="2244"/>
      <c r="H1588" s="2244"/>
      <c r="I1588" s="2357"/>
    </row>
    <row r="1589" spans="1:9" s="2352" customFormat="1" ht="11.85" customHeight="1">
      <c r="A1589" s="2070"/>
      <c r="B1589" s="2070"/>
      <c r="C1589" s="2093"/>
      <c r="D1589" s="2094"/>
      <c r="E1589" s="2093"/>
      <c r="F1589" s="2093"/>
      <c r="G1589" s="2244"/>
      <c r="H1589" s="2244"/>
      <c r="I1589" s="2357"/>
    </row>
    <row r="1590" spans="1:9" s="2352" customFormat="1" ht="11.85" customHeight="1">
      <c r="A1590" s="2070"/>
      <c r="B1590" s="2070"/>
      <c r="C1590" s="2093"/>
      <c r="D1590" s="2094"/>
      <c r="E1590" s="2093"/>
      <c r="F1590" s="2093"/>
      <c r="G1590" s="2244"/>
      <c r="H1590" s="2244"/>
      <c r="I1590" s="2357"/>
    </row>
    <row r="1591" spans="1:9" s="2352" customFormat="1" ht="11.85" customHeight="1">
      <c r="A1591" s="2070"/>
      <c r="B1591" s="2070"/>
      <c r="C1591" s="2093"/>
      <c r="D1591" s="2094"/>
      <c r="E1591" s="2093"/>
      <c r="F1591" s="2093"/>
      <c r="G1591" s="2244"/>
      <c r="H1591" s="2244"/>
      <c r="I1591" s="2357"/>
    </row>
    <row r="1592" spans="1:9" s="2352" customFormat="1" ht="11.85" customHeight="1">
      <c r="A1592" s="2070"/>
      <c r="B1592" s="2070"/>
      <c r="C1592" s="2093"/>
      <c r="D1592" s="2094"/>
      <c r="E1592" s="2093"/>
      <c r="F1592" s="2093"/>
      <c r="G1592" s="2244"/>
      <c r="H1592" s="2244"/>
      <c r="I1592" s="2357"/>
    </row>
    <row r="1593" spans="1:9" s="2352" customFormat="1" ht="11.85" customHeight="1">
      <c r="A1593" s="2070"/>
      <c r="B1593" s="2070"/>
      <c r="C1593" s="2093"/>
      <c r="D1593" s="2094"/>
      <c r="E1593" s="2093"/>
      <c r="F1593" s="2093"/>
      <c r="G1593" s="2244"/>
      <c r="H1593" s="2244"/>
      <c r="I1593" s="2357"/>
    </row>
    <row r="1594" spans="1:9" s="2352" customFormat="1" ht="11.85" customHeight="1">
      <c r="A1594" s="2070"/>
      <c r="B1594" s="2070"/>
      <c r="C1594" s="2093"/>
      <c r="D1594" s="2094"/>
      <c r="E1594" s="2093"/>
      <c r="F1594" s="2093"/>
      <c r="G1594" s="2244"/>
      <c r="H1594" s="2244"/>
      <c r="I1594" s="2357"/>
    </row>
    <row r="1595" spans="1:9" s="2352" customFormat="1" ht="11.85" customHeight="1">
      <c r="A1595" s="2070"/>
      <c r="B1595" s="2070"/>
      <c r="C1595" s="2093"/>
      <c r="D1595" s="2094"/>
      <c r="E1595" s="2093"/>
      <c r="F1595" s="2093"/>
      <c r="G1595" s="2244"/>
      <c r="H1595" s="2244"/>
      <c r="I1595" s="2357"/>
    </row>
    <row r="1596" spans="1:9" s="2352" customFormat="1" ht="11.85" customHeight="1">
      <c r="A1596" s="2070"/>
      <c r="B1596" s="2070"/>
      <c r="C1596" s="2093"/>
      <c r="D1596" s="2094"/>
      <c r="E1596" s="2093"/>
      <c r="F1596" s="2093"/>
      <c r="G1596" s="2244"/>
      <c r="H1596" s="2244"/>
      <c r="I1596" s="2357"/>
    </row>
    <row r="1597" spans="1:9" s="2352" customFormat="1" ht="11.85" customHeight="1">
      <c r="A1597" s="2070"/>
      <c r="B1597" s="2070"/>
      <c r="C1597" s="2093"/>
      <c r="D1597" s="2094"/>
      <c r="E1597" s="2093"/>
      <c r="F1597" s="2093"/>
      <c r="G1597" s="2244"/>
      <c r="H1597" s="2244"/>
      <c r="I1597" s="2357"/>
    </row>
    <row r="1598" spans="1:9" s="2352" customFormat="1" ht="11.85" customHeight="1">
      <c r="A1598" s="2070"/>
      <c r="B1598" s="2070"/>
      <c r="C1598" s="2093"/>
      <c r="D1598" s="2094"/>
      <c r="E1598" s="2093"/>
      <c r="F1598" s="2093"/>
      <c r="G1598" s="2244"/>
      <c r="H1598" s="2244"/>
      <c r="I1598" s="2357"/>
    </row>
    <row r="1599" spans="1:9" s="2352" customFormat="1" ht="11.85" customHeight="1">
      <c r="A1599" s="2070"/>
      <c r="B1599" s="2070"/>
      <c r="C1599" s="2093"/>
      <c r="D1599" s="2094"/>
      <c r="E1599" s="2093"/>
      <c r="F1599" s="2093"/>
      <c r="G1599" s="2244"/>
      <c r="H1599" s="2244"/>
      <c r="I1599" s="2357"/>
    </row>
    <row r="1600" spans="1:9" s="2352" customFormat="1" ht="11.85" customHeight="1">
      <c r="A1600" s="2070"/>
      <c r="B1600" s="2070"/>
      <c r="C1600" s="2093"/>
      <c r="D1600" s="2094"/>
      <c r="E1600" s="2093"/>
      <c r="F1600" s="2093"/>
      <c r="G1600" s="2244"/>
      <c r="H1600" s="2244"/>
      <c r="I1600" s="2357"/>
    </row>
    <row r="1601" spans="1:10" s="2352" customFormat="1" ht="11.85" customHeight="1">
      <c r="A1601" s="2070"/>
      <c r="B1601" s="2070"/>
      <c r="C1601" s="2093"/>
      <c r="D1601" s="2094"/>
      <c r="E1601" s="2093"/>
      <c r="F1601" s="2093"/>
      <c r="G1601" s="2244"/>
      <c r="H1601" s="2244"/>
      <c r="I1601" s="2357"/>
    </row>
    <row r="1602" spans="1:10" s="2352" customFormat="1" ht="11.85" customHeight="1">
      <c r="A1602" s="2070"/>
      <c r="B1602" s="2070"/>
      <c r="C1602" s="2093"/>
      <c r="D1602" s="2094"/>
      <c r="E1602" s="2093"/>
      <c r="F1602" s="2093"/>
      <c r="G1602" s="2244"/>
      <c r="H1602" s="2244"/>
      <c r="I1602" s="2357"/>
    </row>
    <row r="1603" spans="1:10" s="2352" customFormat="1" ht="11.85" customHeight="1">
      <c r="A1603" s="2070"/>
      <c r="B1603" s="2070"/>
      <c r="C1603" s="2093"/>
      <c r="D1603" s="2094"/>
      <c r="E1603" s="2093"/>
      <c r="F1603" s="2093"/>
      <c r="G1603" s="2244"/>
      <c r="H1603" s="2244"/>
      <c r="I1603" s="2244"/>
      <c r="J1603" s="2357"/>
    </row>
    <row r="1604" spans="1:10" s="2352" customFormat="1" ht="11.85" customHeight="1">
      <c r="A1604" s="2070"/>
      <c r="B1604" s="2070"/>
      <c r="C1604" s="2093"/>
      <c r="D1604" s="2094"/>
      <c r="E1604" s="2093"/>
      <c r="F1604" s="2093"/>
      <c r="G1604" s="2244"/>
      <c r="H1604" s="2244"/>
      <c r="I1604" s="2357"/>
    </row>
    <row r="1605" spans="1:10" s="2352" customFormat="1" ht="11.85" customHeight="1">
      <c r="A1605" s="2070"/>
      <c r="B1605" s="2070"/>
      <c r="C1605" s="2093"/>
      <c r="D1605" s="2094"/>
      <c r="E1605" s="2093"/>
      <c r="F1605" s="2093"/>
      <c r="G1605" s="2244"/>
      <c r="H1605" s="2244"/>
      <c r="I1605" s="2357"/>
    </row>
    <row r="1606" spans="1:10" s="2352" customFormat="1" ht="11.85" customHeight="1">
      <c r="A1606" s="2070"/>
      <c r="B1606" s="4926"/>
      <c r="C1606" s="4926"/>
      <c r="D1606" s="4926"/>
      <c r="E1606" s="4926"/>
      <c r="F1606" s="4926"/>
      <c r="G1606" s="2244"/>
      <c r="H1606" s="2244"/>
      <c r="I1606" s="2357"/>
    </row>
    <row r="1607" spans="1:10" s="2352" customFormat="1" ht="11.85" customHeight="1" thickBot="1">
      <c r="A1607" s="2070"/>
      <c r="B1607" s="2505"/>
      <c r="C1607" s="2412"/>
      <c r="D1607" s="2412"/>
      <c r="E1607" s="2412"/>
      <c r="F1607" s="2412"/>
      <c r="G1607" s="2244"/>
      <c r="H1607" s="2244"/>
      <c r="I1607" s="2357"/>
    </row>
    <row r="1608" spans="1:10" s="2352" customFormat="1" ht="11.85" customHeight="1" thickTop="1">
      <c r="A1608" s="2070"/>
      <c r="B1608" s="2478"/>
      <c r="C1608" s="2479"/>
      <c r="D1608" s="2480"/>
      <c r="E1608" s="2479"/>
      <c r="F1608" s="2482"/>
      <c r="G1608" s="2244"/>
      <c r="H1608" s="2244"/>
      <c r="I1608" s="2357"/>
    </row>
    <row r="1609" spans="1:10" s="2352" customFormat="1" ht="11.85" customHeight="1">
      <c r="A1609" s="2070"/>
      <c r="B1609" s="2483"/>
      <c r="C1609" s="2484"/>
      <c r="D1609" s="2485"/>
      <c r="E1609" s="2484"/>
      <c r="F1609" s="2486"/>
      <c r="G1609" s="2244"/>
      <c r="H1609" s="2244"/>
      <c r="I1609" s="2357"/>
    </row>
    <row r="1610" spans="1:10" s="2352" customFormat="1" ht="11.85" customHeight="1" thickBot="1">
      <c r="A1610" s="2070"/>
      <c r="B1610" s="2489"/>
      <c r="C1610" s="2490"/>
      <c r="D1610" s="2490"/>
      <c r="E1610" s="2491"/>
      <c r="F1610" s="2492"/>
      <c r="G1610" s="2244"/>
      <c r="H1610" s="2244"/>
      <c r="I1610" s="2357"/>
    </row>
    <row r="1611" spans="1:10" s="2352" customFormat="1" ht="11.85" customHeight="1" thickTop="1">
      <c r="A1611" s="2070"/>
      <c r="B1611" s="2070"/>
      <c r="C1611" s="2093"/>
      <c r="D1611" s="2094"/>
      <c r="E1611" s="2093"/>
      <c r="F1611" s="2093"/>
      <c r="G1611" s="2244"/>
      <c r="H1611" s="2244"/>
      <c r="I1611" s="2357"/>
    </row>
    <row r="1612" spans="1:10" s="2352" customFormat="1" ht="11.85" customHeight="1" thickBot="1">
      <c r="A1612" s="2070"/>
      <c r="B1612" s="2476"/>
      <c r="C1612" s="2477"/>
      <c r="D1612" s="2477"/>
      <c r="E1612" s="2477"/>
      <c r="F1612" s="2477"/>
      <c r="G1612" s="2244"/>
      <c r="H1612" s="2244"/>
      <c r="I1612" s="2357"/>
    </row>
    <row r="1613" spans="1:10" s="2352" customFormat="1" ht="11.85" customHeight="1" thickTop="1">
      <c r="A1613" s="2070"/>
      <c r="B1613" s="2478"/>
      <c r="C1613" s="2479"/>
      <c r="D1613" s="2480"/>
      <c r="E1613" s="2481"/>
      <c r="F1613" s="2482"/>
      <c r="G1613" s="2244"/>
      <c r="H1613" s="2244"/>
      <c r="I1613" s="2357"/>
    </row>
    <row r="1614" spans="1:10" s="2352" customFormat="1" ht="11.85" customHeight="1">
      <c r="A1614" s="2070"/>
      <c r="B1614" s="2483"/>
      <c r="C1614" s="2484"/>
      <c r="D1614" s="2485"/>
      <c r="E1614" s="2484"/>
      <c r="F1614" s="2486"/>
      <c r="G1614" s="2244"/>
      <c r="H1614" s="2244"/>
      <c r="I1614" s="2357"/>
    </row>
    <row r="1615" spans="1:10" s="2352" customFormat="1" ht="11.85" customHeight="1">
      <c r="A1615" s="2070"/>
      <c r="B1615" s="2483"/>
      <c r="C1615" s="2484"/>
      <c r="D1615" s="2485"/>
      <c r="E1615" s="2484"/>
      <c r="F1615" s="2486"/>
      <c r="G1615" s="2244"/>
      <c r="H1615" s="2244"/>
      <c r="I1615" s="2357"/>
    </row>
    <row r="1616" spans="1:10" s="2352" customFormat="1" ht="11.85" customHeight="1">
      <c r="A1616" s="2070"/>
      <c r="B1616" s="2483"/>
      <c r="C1616" s="2484"/>
      <c r="D1616" s="2487"/>
      <c r="E1616" s="2488"/>
      <c r="F1616" s="2486"/>
      <c r="G1616" s="2244"/>
      <c r="H1616" s="2244"/>
      <c r="I1616" s="2357"/>
    </row>
    <row r="1617" spans="1:9" s="2352" customFormat="1" ht="11.85" customHeight="1" thickBot="1">
      <c r="A1617" s="2070"/>
      <c r="B1617" s="2489"/>
      <c r="C1617" s="2490"/>
      <c r="D1617" s="2490"/>
      <c r="E1617" s="2491"/>
      <c r="F1617" s="2492"/>
      <c r="G1617" s="2244"/>
      <c r="H1617" s="2244"/>
      <c r="I1617" s="2357"/>
    </row>
    <row r="1618" spans="1:9" s="2352" customFormat="1" ht="11.85" customHeight="1" thickTop="1">
      <c r="A1618" s="2070"/>
      <c r="B1618" s="2070"/>
      <c r="C1618" s="2093"/>
      <c r="D1618" s="2094"/>
      <c r="E1618" s="2093"/>
      <c r="F1618" s="2093"/>
      <c r="G1618" s="2244"/>
      <c r="H1618" s="2244"/>
      <c r="I1618" s="2357"/>
    </row>
    <row r="1619" spans="1:9" s="2352" customFormat="1" ht="11.85" customHeight="1" thickBot="1">
      <c r="A1619" s="2070"/>
      <c r="B1619" s="2476"/>
      <c r="C1619" s="2477"/>
      <c r="D1619" s="2477"/>
      <c r="E1619" s="2477"/>
      <c r="F1619" s="2477"/>
      <c r="G1619" s="2244"/>
      <c r="H1619" s="2244"/>
      <c r="I1619" s="2357"/>
    </row>
    <row r="1620" spans="1:9" s="2352" customFormat="1" ht="11.85" customHeight="1" thickTop="1">
      <c r="A1620" s="2070"/>
      <c r="B1620" s="2478"/>
      <c r="C1620" s="2479"/>
      <c r="D1620" s="2480"/>
      <c r="E1620" s="2481"/>
      <c r="F1620" s="2482"/>
      <c r="G1620" s="2244"/>
      <c r="H1620" s="2244"/>
      <c r="I1620" s="2357"/>
    </row>
    <row r="1621" spans="1:9" s="2352" customFormat="1" ht="11.85" customHeight="1">
      <c r="A1621" s="2070"/>
      <c r="B1621" s="2483"/>
      <c r="C1621" s="2484"/>
      <c r="D1621" s="2485"/>
      <c r="E1621" s="2484"/>
      <c r="F1621" s="2486"/>
      <c r="G1621" s="2244"/>
      <c r="H1621" s="2244"/>
      <c r="I1621" s="2357"/>
    </row>
    <row r="1622" spans="1:9" s="2352" customFormat="1" ht="11.85" customHeight="1">
      <c r="A1622" s="2070"/>
      <c r="B1622" s="2483"/>
      <c r="C1622" s="2484"/>
      <c r="D1622" s="2485"/>
      <c r="E1622" s="2484"/>
      <c r="F1622" s="2486"/>
      <c r="G1622" s="2244"/>
      <c r="H1622" s="2244"/>
      <c r="I1622" s="2357"/>
    </row>
    <row r="1623" spans="1:9" s="2352" customFormat="1" ht="11.85" customHeight="1">
      <c r="A1623" s="2070"/>
      <c r="B1623" s="2483"/>
      <c r="C1623" s="2484"/>
      <c r="D1623" s="2487"/>
      <c r="E1623" s="2488"/>
      <c r="F1623" s="2486"/>
      <c r="G1623" s="2244"/>
      <c r="H1623" s="2244"/>
      <c r="I1623" s="2357"/>
    </row>
    <row r="1624" spans="1:9" s="2352" customFormat="1" ht="11.85" customHeight="1" thickBot="1">
      <c r="A1624" s="2070"/>
      <c r="B1624" s="2489"/>
      <c r="C1624" s="2490"/>
      <c r="D1624" s="2490"/>
      <c r="E1624" s="2491"/>
      <c r="F1624" s="2492"/>
      <c r="G1624" s="2244"/>
      <c r="H1624" s="2244"/>
      <c r="I1624" s="2357"/>
    </row>
    <row r="1625" spans="1:9" s="2352" customFormat="1" ht="11.85" customHeight="1" thickTop="1">
      <c r="A1625" s="2070"/>
      <c r="B1625" s="2070"/>
      <c r="C1625" s="2093"/>
      <c r="D1625" s="2094"/>
      <c r="E1625" s="2093"/>
      <c r="F1625" s="2093"/>
      <c r="G1625" s="2244"/>
      <c r="H1625" s="2244"/>
      <c r="I1625" s="2357"/>
    </row>
    <row r="1626" spans="1:9" s="2352" customFormat="1" ht="11.85" customHeight="1">
      <c r="A1626" s="2070"/>
      <c r="B1626" s="2070"/>
      <c r="C1626" s="2093"/>
      <c r="D1626" s="2094"/>
      <c r="E1626" s="2093"/>
      <c r="F1626" s="2093"/>
      <c r="G1626" s="2244"/>
      <c r="H1626" s="2244"/>
      <c r="I1626" s="2357"/>
    </row>
    <row r="1627" spans="1:9" s="2352" customFormat="1" ht="11.85" customHeight="1" thickBot="1">
      <c r="A1627" s="2070"/>
      <c r="B1627" s="2476"/>
      <c r="C1627" s="2477"/>
      <c r="D1627" s="2477"/>
      <c r="E1627" s="2477"/>
      <c r="F1627" s="2477"/>
      <c r="G1627" s="2244"/>
      <c r="H1627" s="2244"/>
      <c r="I1627" s="2357"/>
    </row>
    <row r="1628" spans="1:9" s="2352" customFormat="1" ht="11.85" customHeight="1" thickTop="1">
      <c r="A1628" s="2070"/>
      <c r="B1628" s="2478"/>
      <c r="C1628" s="2479"/>
      <c r="D1628" s="2480"/>
      <c r="E1628" s="2481"/>
      <c r="F1628" s="2482"/>
      <c r="G1628" s="2244"/>
      <c r="H1628" s="2244"/>
      <c r="I1628" s="2357"/>
    </row>
    <row r="1629" spans="1:9" s="2352" customFormat="1" ht="11.85" customHeight="1">
      <c r="A1629" s="2070"/>
      <c r="B1629" s="2483"/>
      <c r="C1629" s="2484"/>
      <c r="D1629" s="2485"/>
      <c r="E1629" s="2484"/>
      <c r="F1629" s="2486"/>
      <c r="G1629" s="2244"/>
      <c r="H1629" s="2244"/>
      <c r="I1629" s="2357"/>
    </row>
    <row r="1630" spans="1:9" s="2352" customFormat="1" ht="11.85" customHeight="1">
      <c r="A1630" s="2070"/>
      <c r="B1630" s="2483"/>
      <c r="C1630" s="2484"/>
      <c r="D1630" s="2485"/>
      <c r="E1630" s="2484"/>
      <c r="F1630" s="2486"/>
      <c r="G1630" s="2244"/>
      <c r="H1630" s="2244"/>
      <c r="I1630" s="2357"/>
    </row>
    <row r="1631" spans="1:9" s="2352" customFormat="1" ht="11.85" customHeight="1">
      <c r="A1631" s="2070"/>
      <c r="B1631" s="2483"/>
      <c r="C1631" s="2484"/>
      <c r="D1631" s="2487"/>
      <c r="E1631" s="2488"/>
      <c r="F1631" s="2486"/>
      <c r="G1631" s="2244"/>
      <c r="H1631" s="2244"/>
      <c r="I1631" s="2357"/>
    </row>
    <row r="1632" spans="1:9" s="2352" customFormat="1" ht="11.85" customHeight="1" thickBot="1">
      <c r="A1632" s="2070"/>
      <c r="B1632" s="2489"/>
      <c r="C1632" s="2490"/>
      <c r="D1632" s="2490"/>
      <c r="E1632" s="2491"/>
      <c r="F1632" s="2492"/>
      <c r="G1632" s="2244"/>
      <c r="H1632" s="2244"/>
      <c r="I1632" s="2357"/>
    </row>
    <row r="1633" spans="1:9" s="2352" customFormat="1" ht="11.85" customHeight="1" thickTop="1">
      <c r="A1633" s="2070"/>
      <c r="B1633" s="2070"/>
      <c r="C1633" s="2093"/>
      <c r="D1633" s="2094"/>
      <c r="E1633" s="2093"/>
      <c r="F1633" s="2093"/>
      <c r="G1633" s="2244"/>
      <c r="H1633" s="2244"/>
      <c r="I1633" s="2357"/>
    </row>
    <row r="1634" spans="1:9" s="2352" customFormat="1" ht="11.85" customHeight="1">
      <c r="A1634" s="2070"/>
      <c r="B1634" s="2070"/>
      <c r="C1634" s="2093"/>
      <c r="D1634" s="2094"/>
      <c r="E1634" s="2093"/>
      <c r="F1634" s="2093"/>
      <c r="G1634" s="2244"/>
      <c r="H1634" s="2244"/>
      <c r="I1634" s="2357"/>
    </row>
    <row r="1635" spans="1:9" s="2352" customFormat="1" ht="11.85" customHeight="1" thickBot="1">
      <c r="A1635" s="2070"/>
      <c r="B1635" s="2476"/>
      <c r="C1635" s="2477"/>
      <c r="D1635" s="2477"/>
      <c r="E1635" s="2477"/>
      <c r="F1635" s="2477"/>
      <c r="G1635" s="2244"/>
      <c r="H1635" s="2244"/>
      <c r="I1635" s="2357"/>
    </row>
    <row r="1636" spans="1:9" s="2352" customFormat="1" ht="11.85" customHeight="1" thickTop="1">
      <c r="A1636" s="2070"/>
      <c r="B1636" s="2478"/>
      <c r="C1636" s="2479"/>
      <c r="D1636" s="2480"/>
      <c r="E1636" s="2481"/>
      <c r="F1636" s="2482"/>
      <c r="G1636" s="2244"/>
      <c r="H1636" s="2244"/>
      <c r="I1636" s="2357"/>
    </row>
    <row r="1637" spans="1:9" s="2352" customFormat="1" ht="11.85" customHeight="1">
      <c r="A1637" s="2070"/>
      <c r="B1637" s="2483"/>
      <c r="C1637" s="2484"/>
      <c r="D1637" s="2485"/>
      <c r="E1637" s="2484"/>
      <c r="F1637" s="2486"/>
      <c r="G1637" s="2244"/>
      <c r="H1637" s="2244"/>
      <c r="I1637" s="2357"/>
    </row>
    <row r="1638" spans="1:9" s="2352" customFormat="1" ht="11.85" customHeight="1">
      <c r="A1638" s="2070"/>
      <c r="B1638" s="2483"/>
      <c r="C1638" s="2484"/>
      <c r="D1638" s="2485"/>
      <c r="E1638" s="2484"/>
      <c r="F1638" s="2486"/>
      <c r="G1638" s="2244"/>
      <c r="H1638" s="2244"/>
      <c r="I1638" s="2357"/>
    </row>
    <row r="1639" spans="1:9" s="2352" customFormat="1" ht="11.85" customHeight="1">
      <c r="A1639" s="2070"/>
      <c r="B1639" s="2483"/>
      <c r="C1639" s="2484"/>
      <c r="D1639" s="2487"/>
      <c r="E1639" s="2484"/>
      <c r="F1639" s="2486"/>
      <c r="G1639" s="2244"/>
      <c r="H1639" s="2244"/>
      <c r="I1639" s="2357"/>
    </row>
    <row r="1640" spans="1:9" s="2352" customFormat="1" ht="11.85" customHeight="1" thickBot="1">
      <c r="A1640" s="2070"/>
      <c r="B1640" s="2489"/>
      <c r="C1640" s="2490"/>
      <c r="D1640" s="2490"/>
      <c r="E1640" s="2491"/>
      <c r="F1640" s="2492"/>
      <c r="G1640" s="2244"/>
      <c r="H1640" s="2244"/>
      <c r="I1640" s="2357"/>
    </row>
    <row r="1641" spans="1:9" s="2352" customFormat="1" ht="11.85" customHeight="1" thickTop="1">
      <c r="A1641" s="2070"/>
      <c r="B1641" s="2070"/>
      <c r="C1641" s="2093"/>
      <c r="D1641" s="2094"/>
      <c r="E1641" s="2093"/>
      <c r="F1641" s="2093"/>
      <c r="G1641" s="2244"/>
      <c r="H1641" s="2244"/>
      <c r="I1641" s="2357"/>
    </row>
    <row r="1642" spans="1:9" s="2352" customFormat="1" ht="11.85" customHeight="1">
      <c r="A1642" s="2070"/>
      <c r="B1642" s="2070"/>
      <c r="C1642" s="2093"/>
      <c r="D1642" s="2094"/>
      <c r="E1642" s="2093"/>
      <c r="F1642" s="2093"/>
      <c r="G1642" s="2244"/>
      <c r="H1642" s="2244"/>
      <c r="I1642" s="2357"/>
    </row>
    <row r="1643" spans="1:9" s="2352" customFormat="1" ht="11.85" customHeight="1" thickBot="1">
      <c r="A1643" s="2070"/>
      <c r="B1643" s="2505"/>
      <c r="C1643" s="2412"/>
      <c r="D1643" s="3052"/>
      <c r="E1643" s="2412"/>
      <c r="F1643" s="2412"/>
      <c r="G1643" s="2244"/>
      <c r="H1643" s="2244"/>
      <c r="I1643" s="2357"/>
    </row>
    <row r="1644" spans="1:9" s="2352" customFormat="1" ht="11.85" customHeight="1" thickTop="1">
      <c r="A1644" s="2070"/>
      <c r="B1644" s="2584"/>
      <c r="C1644" s="2481"/>
      <c r="D1644" s="3053"/>
      <c r="E1644" s="2481"/>
      <c r="F1644" s="3054"/>
      <c r="G1644" s="2244"/>
      <c r="H1644" s="2244"/>
      <c r="I1644" s="2357"/>
    </row>
    <row r="1645" spans="1:9" s="2352" customFormat="1" ht="11.85" customHeight="1">
      <c r="A1645" s="2070"/>
      <c r="B1645" s="3055"/>
      <c r="C1645" s="3056"/>
      <c r="D1645" s="3057"/>
      <c r="E1645" s="3056"/>
      <c r="F1645" s="3058"/>
      <c r="G1645" s="2244"/>
      <c r="H1645" s="2244"/>
      <c r="I1645" s="2357"/>
    </row>
    <row r="1646" spans="1:9" s="2352" customFormat="1" ht="11.85" customHeight="1">
      <c r="A1646" s="2070"/>
      <c r="B1646" s="3059"/>
      <c r="C1646" s="3056"/>
      <c r="D1646" s="3057"/>
      <c r="E1646" s="3056"/>
      <c r="F1646" s="3058"/>
      <c r="G1646" s="2244"/>
      <c r="H1646" s="2244"/>
      <c r="I1646" s="2357"/>
    </row>
    <row r="1647" spans="1:9" s="2352" customFormat="1" ht="11.85" customHeight="1">
      <c r="A1647" s="2070"/>
      <c r="B1647" s="3055"/>
      <c r="C1647" s="3056"/>
      <c r="D1647" s="3057"/>
      <c r="E1647" s="3056"/>
      <c r="F1647" s="3060"/>
      <c r="G1647" s="2244"/>
      <c r="H1647" s="2244"/>
      <c r="I1647" s="2357"/>
    </row>
    <row r="1648" spans="1:9" s="2352" customFormat="1" ht="11.85" customHeight="1" thickBot="1">
      <c r="A1648" s="2070"/>
      <c r="B1648" s="3061"/>
      <c r="C1648" s="3062"/>
      <c r="D1648" s="3063"/>
      <c r="E1648" s="3064"/>
      <c r="F1648" s="3065"/>
      <c r="G1648" s="2244"/>
      <c r="H1648" s="2244"/>
      <c r="I1648" s="2357"/>
    </row>
    <row r="1649" spans="1:9" s="2352" customFormat="1" ht="11.85" customHeight="1" thickTop="1">
      <c r="A1649" s="2070"/>
      <c r="B1649" s="2070"/>
      <c r="C1649" s="2093"/>
      <c r="D1649" s="2094"/>
      <c r="E1649" s="2093"/>
      <c r="F1649" s="2093"/>
      <c r="G1649" s="2244"/>
      <c r="H1649" s="2244"/>
      <c r="I1649" s="2357"/>
    </row>
    <row r="1650" spans="1:9" s="2352" customFormat="1" ht="11.85" customHeight="1">
      <c r="A1650" s="2070"/>
      <c r="B1650" s="2070"/>
      <c r="C1650" s="2093"/>
      <c r="D1650" s="2094"/>
      <c r="E1650" s="2093"/>
      <c r="F1650" s="2093"/>
      <c r="G1650" s="2244"/>
      <c r="H1650" s="2244"/>
      <c r="I1650" s="2357"/>
    </row>
    <row r="1651" spans="1:9" s="2352" customFormat="1" ht="11.85" customHeight="1" thickBot="1">
      <c r="A1651" s="2070"/>
      <c r="B1651" s="2505"/>
      <c r="C1651" s="2412"/>
      <c r="D1651" s="2412"/>
      <c r="E1651" s="2412"/>
      <c r="F1651" s="2412"/>
      <c r="G1651" s="2244"/>
      <c r="H1651" s="2244"/>
      <c r="I1651" s="2357"/>
    </row>
    <row r="1652" spans="1:9" s="2352" customFormat="1" ht="11.85" customHeight="1" thickTop="1">
      <c r="A1652" s="2070"/>
      <c r="B1652" s="2478"/>
      <c r="C1652" s="2479"/>
      <c r="D1652" s="2480"/>
      <c r="E1652" s="2479"/>
      <c r="F1652" s="2482"/>
      <c r="G1652" s="2244"/>
      <c r="H1652" s="2244"/>
      <c r="I1652" s="2357"/>
    </row>
    <row r="1653" spans="1:9" s="2352" customFormat="1" ht="11.85" customHeight="1">
      <c r="A1653" s="2070"/>
      <c r="B1653" s="2483"/>
      <c r="C1653" s="2484"/>
      <c r="D1653" s="2485"/>
      <c r="E1653" s="2484"/>
      <c r="F1653" s="2486"/>
      <c r="G1653" s="2244"/>
      <c r="H1653" s="2244"/>
      <c r="I1653" s="2357"/>
    </row>
    <row r="1654" spans="1:9" s="2352" customFormat="1" ht="11.85" customHeight="1">
      <c r="A1654" s="2070"/>
      <c r="B1654" s="3055"/>
      <c r="C1654" s="3066"/>
      <c r="D1654" s="3067"/>
      <c r="E1654" s="3066"/>
      <c r="F1654" s="2486"/>
      <c r="G1654" s="2244"/>
      <c r="H1654" s="2244"/>
      <c r="I1654" s="2357"/>
    </row>
    <row r="1655" spans="1:9" s="2352" customFormat="1" ht="11.85" customHeight="1" thickBot="1">
      <c r="A1655" s="2070"/>
      <c r="B1655" s="2489"/>
      <c r="C1655" s="2490"/>
      <c r="D1655" s="2490"/>
      <c r="E1655" s="2491"/>
      <c r="F1655" s="2492"/>
      <c r="G1655" s="2244"/>
      <c r="H1655" s="2244"/>
      <c r="I1655" s="2357"/>
    </row>
    <row r="1656" spans="1:9" s="2352" customFormat="1" ht="11.85" customHeight="1" thickTop="1">
      <c r="A1656" s="2070"/>
      <c r="B1656" s="2070"/>
      <c r="C1656" s="2093"/>
      <c r="D1656" s="2094"/>
      <c r="E1656" s="2093"/>
      <c r="F1656" s="2093"/>
      <c r="G1656" s="2244"/>
      <c r="H1656" s="2244"/>
      <c r="I1656" s="2357"/>
    </row>
    <row r="1657" spans="1:9" s="2352" customFormat="1" ht="11.85" customHeight="1">
      <c r="A1657" s="2070"/>
      <c r="B1657" s="2070"/>
      <c r="C1657" s="2093"/>
      <c r="D1657" s="2094"/>
      <c r="E1657" s="2093"/>
      <c r="F1657" s="2093"/>
      <c r="G1657" s="2244"/>
      <c r="H1657" s="2244"/>
      <c r="I1657" s="2357"/>
    </row>
    <row r="1658" spans="1:9" s="2352" customFormat="1" ht="11.85" customHeight="1">
      <c r="A1658" s="2070"/>
      <c r="B1658" s="2505"/>
      <c r="C1658" s="2583"/>
      <c r="D1658" s="2472"/>
      <c r="E1658" s="2472"/>
      <c r="F1658" s="2472"/>
      <c r="G1658" s="2244"/>
      <c r="H1658" s="2244"/>
      <c r="I1658" s="2357"/>
    </row>
    <row r="1659" spans="1:9" s="2352" customFormat="1" ht="11.85" customHeight="1">
      <c r="A1659" s="2070"/>
      <c r="B1659" s="2483"/>
      <c r="C1659" s="2589"/>
      <c r="D1659" s="2719"/>
      <c r="E1659" s="2717"/>
      <c r="F1659" s="3068"/>
      <c r="G1659" s="2244"/>
      <c r="H1659" s="2244"/>
      <c r="I1659" s="2357"/>
    </row>
    <row r="1660" spans="1:9" s="2352" customFormat="1" ht="11.85" customHeight="1">
      <c r="A1660" s="2070"/>
      <c r="B1660" s="2483"/>
      <c r="C1660" s="2589"/>
      <c r="D1660" s="2719"/>
      <c r="E1660" s="2717"/>
      <c r="F1660" s="3068"/>
      <c r="G1660" s="2244"/>
      <c r="H1660" s="2244"/>
      <c r="I1660" s="2357"/>
    </row>
    <row r="1661" spans="1:9" s="2352" customFormat="1" ht="11.85" customHeight="1">
      <c r="A1661" s="2070"/>
      <c r="B1661" s="2483"/>
      <c r="C1661" s="2589"/>
      <c r="D1661" s="2719"/>
      <c r="E1661" s="2717"/>
      <c r="F1661" s="3068"/>
      <c r="G1661" s="2244"/>
      <c r="H1661" s="2244"/>
      <c r="I1661" s="2357"/>
    </row>
    <row r="1662" spans="1:9" s="2352" customFormat="1" ht="11.85" customHeight="1">
      <c r="A1662" s="2070"/>
      <c r="B1662" s="2483"/>
      <c r="C1662" s="2589"/>
      <c r="D1662" s="2719"/>
      <c r="E1662" s="2717"/>
      <c r="F1662" s="3068"/>
      <c r="G1662" s="2244"/>
      <c r="H1662" s="2244"/>
      <c r="I1662" s="2357"/>
    </row>
    <row r="1663" spans="1:9" s="2352" customFormat="1" ht="11.85" customHeight="1">
      <c r="A1663" s="2070"/>
      <c r="B1663" s="2483"/>
      <c r="C1663" s="2589"/>
      <c r="D1663" s="2719"/>
      <c r="E1663" s="3069"/>
      <c r="F1663" s="3070"/>
      <c r="G1663" s="2244"/>
      <c r="H1663" s="2244"/>
      <c r="I1663" s="2357"/>
    </row>
    <row r="1664" spans="1:9" s="2352" customFormat="1" ht="11.85" customHeight="1">
      <c r="A1664" s="2070"/>
      <c r="B1664" s="2483"/>
      <c r="C1664" s="2589"/>
      <c r="D1664" s="2719"/>
      <c r="E1664" s="3069"/>
      <c r="F1664" s="3070"/>
      <c r="G1664" s="2244"/>
      <c r="H1664" s="2244"/>
      <c r="I1664" s="2357"/>
    </row>
    <row r="1665" spans="1:9" s="2352" customFormat="1" ht="11.85" customHeight="1">
      <c r="A1665" s="2070"/>
      <c r="B1665" s="2483"/>
      <c r="C1665" s="2589"/>
      <c r="D1665" s="2719"/>
      <c r="E1665" s="3069"/>
      <c r="F1665" s="3070"/>
      <c r="G1665" s="2244"/>
      <c r="H1665" s="2244"/>
      <c r="I1665" s="2357"/>
    </row>
    <row r="1666" spans="1:9" s="2352" customFormat="1" ht="11.85" customHeight="1">
      <c r="A1666" s="2070"/>
      <c r="B1666" s="2483"/>
      <c r="C1666" s="2589"/>
      <c r="D1666" s="2719"/>
      <c r="E1666" s="3069"/>
      <c r="F1666" s="3070"/>
      <c r="G1666" s="2244"/>
      <c r="H1666" s="2244"/>
      <c r="I1666" s="2357"/>
    </row>
    <row r="1667" spans="1:9" s="2352" customFormat="1" ht="11.85" customHeight="1" thickBot="1">
      <c r="A1667" s="2070"/>
      <c r="B1667" s="2489"/>
      <c r="C1667" s="2592"/>
      <c r="D1667" s="3071"/>
      <c r="E1667" s="2594"/>
      <c r="F1667" s="3072"/>
      <c r="G1667" s="2244"/>
      <c r="H1667" s="2244"/>
      <c r="I1667" s="2357"/>
    </row>
    <row r="1668" spans="1:9" s="2352" customFormat="1" ht="11.85" customHeight="1" thickTop="1">
      <c r="A1668" s="2070"/>
      <c r="B1668" s="2070"/>
      <c r="C1668" s="2093"/>
      <c r="D1668" s="2094"/>
      <c r="E1668" s="2093"/>
      <c r="F1668" s="2093"/>
      <c r="G1668" s="2244"/>
      <c r="H1668" s="2244"/>
      <c r="I1668" s="2357"/>
    </row>
    <row r="1669" spans="1:9" s="2352" customFormat="1" ht="11.85" customHeight="1" thickBot="1">
      <c r="A1669" s="2070"/>
      <c r="B1669" s="2505"/>
      <c r="C1669" s="2583"/>
      <c r="D1669" s="2472"/>
      <c r="E1669" s="2472"/>
      <c r="F1669" s="2472"/>
      <c r="G1669" s="2244"/>
      <c r="H1669" s="2244"/>
      <c r="I1669" s="2357"/>
    </row>
    <row r="1670" spans="1:9" s="2352" customFormat="1" ht="11.85" customHeight="1" thickTop="1">
      <c r="A1670" s="2070"/>
      <c r="B1670" s="2478"/>
      <c r="C1670" s="3073"/>
      <c r="D1670" s="3074"/>
      <c r="E1670" s="3075"/>
      <c r="F1670" s="3076"/>
      <c r="G1670" s="2244"/>
      <c r="H1670" s="2244"/>
      <c r="I1670" s="2357"/>
    </row>
    <row r="1671" spans="1:9" s="2352" customFormat="1" ht="11.85" customHeight="1">
      <c r="A1671" s="2070"/>
      <c r="B1671" s="2483"/>
      <c r="C1671" s="2589"/>
      <c r="D1671" s="2719"/>
      <c r="E1671" s="2717"/>
      <c r="F1671" s="3077"/>
      <c r="G1671" s="2244"/>
      <c r="H1671" s="2244"/>
      <c r="I1671" s="2357"/>
    </row>
    <row r="1672" spans="1:9" s="2352" customFormat="1" ht="11.85" customHeight="1">
      <c r="A1672" s="2070"/>
      <c r="B1672" s="2483"/>
      <c r="C1672" s="2589"/>
      <c r="D1672" s="2719"/>
      <c r="E1672" s="2717"/>
      <c r="F1672" s="3077"/>
      <c r="G1672" s="2244"/>
      <c r="H1672" s="2244"/>
      <c r="I1672" s="2357"/>
    </row>
    <row r="1673" spans="1:9" s="2352" customFormat="1" ht="11.85" customHeight="1">
      <c r="A1673" s="2070"/>
      <c r="B1673" s="2483"/>
      <c r="C1673" s="2589"/>
      <c r="D1673" s="2719"/>
      <c r="E1673" s="2717"/>
      <c r="F1673" s="3077"/>
      <c r="G1673" s="2244"/>
      <c r="H1673" s="2244"/>
      <c r="I1673" s="2357"/>
    </row>
    <row r="1674" spans="1:9" s="2352" customFormat="1" ht="11.85" customHeight="1">
      <c r="A1674" s="2070"/>
      <c r="B1674" s="2483"/>
      <c r="C1674" s="2589"/>
      <c r="D1674" s="2719"/>
      <c r="E1674" s="3069"/>
      <c r="F1674" s="3077"/>
      <c r="G1674" s="2244"/>
      <c r="H1674" s="2244"/>
      <c r="I1674" s="2357"/>
    </row>
    <row r="1675" spans="1:9" s="2352" customFormat="1" ht="11.85" customHeight="1">
      <c r="A1675" s="2070"/>
      <c r="B1675" s="2483"/>
      <c r="C1675" s="2589"/>
      <c r="D1675" s="2719"/>
      <c r="E1675" s="3069"/>
      <c r="F1675" s="3077"/>
      <c r="G1675" s="2244"/>
      <c r="H1675" s="2244"/>
      <c r="I1675" s="2357"/>
    </row>
    <row r="1676" spans="1:9" s="2352" customFormat="1" ht="11.85" customHeight="1">
      <c r="A1676" s="2070"/>
      <c r="B1676" s="2483"/>
      <c r="C1676" s="2589"/>
      <c r="D1676" s="2719"/>
      <c r="E1676" s="3069"/>
      <c r="F1676" s="3077"/>
      <c r="G1676" s="2244"/>
      <c r="H1676" s="2244"/>
      <c r="I1676" s="2357"/>
    </row>
    <row r="1677" spans="1:9" s="2352" customFormat="1" ht="11.85" customHeight="1">
      <c r="A1677" s="2070"/>
      <c r="B1677" s="2483"/>
      <c r="C1677" s="2589"/>
      <c r="D1677" s="2719"/>
      <c r="E1677" s="3069"/>
      <c r="F1677" s="3077"/>
      <c r="G1677" s="2244"/>
      <c r="H1677" s="2244"/>
      <c r="I1677" s="2357"/>
    </row>
    <row r="1678" spans="1:9" s="2352" customFormat="1" ht="11.85" customHeight="1" thickBot="1">
      <c r="A1678" s="2070"/>
      <c r="B1678" s="2489"/>
      <c r="C1678" s="2592"/>
      <c r="D1678" s="3071"/>
      <c r="E1678" s="2594"/>
      <c r="F1678" s="2492"/>
      <c r="G1678" s="2244"/>
      <c r="H1678" s="2244"/>
      <c r="I1678" s="2357"/>
    </row>
    <row r="1679" spans="1:9" s="2352" customFormat="1" ht="11.85" customHeight="1" thickTop="1">
      <c r="A1679" s="2070"/>
      <c r="B1679" s="2472"/>
      <c r="C1679" s="2583"/>
      <c r="D1679" s="2472"/>
      <c r="E1679" s="2472"/>
      <c r="F1679" s="2472"/>
      <c r="G1679" s="2244"/>
      <c r="H1679" s="2244"/>
      <c r="I1679" s="2357"/>
    </row>
    <row r="1680" spans="1:9" s="2352" customFormat="1" ht="11.85" customHeight="1">
      <c r="A1680" s="2070"/>
      <c r="B1680" s="2070"/>
      <c r="C1680" s="2093"/>
      <c r="D1680" s="2094"/>
      <c r="E1680" s="2093"/>
      <c r="F1680" s="2093"/>
      <c r="G1680" s="2244"/>
      <c r="H1680" s="2244"/>
      <c r="I1680" s="2357"/>
    </row>
    <row r="1681" spans="1:9" s="2352" customFormat="1" ht="11.85" customHeight="1">
      <c r="A1681" s="2070"/>
      <c r="B1681" s="2471"/>
      <c r="C1681" s="3078"/>
      <c r="D1681" s="3079"/>
      <c r="E1681" s="3080"/>
      <c r="F1681" s="3081"/>
      <c r="G1681" s="2244"/>
      <c r="H1681" s="2244"/>
      <c r="I1681" s="2357"/>
    </row>
    <row r="1682" spans="1:9" s="2352" customFormat="1" ht="11.85" customHeight="1">
      <c r="A1682" s="2070"/>
      <c r="B1682" s="3082"/>
      <c r="C1682" s="3083"/>
      <c r="D1682" s="3084"/>
      <c r="E1682" s="3085"/>
      <c r="F1682" s="3086"/>
      <c r="G1682" s="2244"/>
      <c r="H1682" s="2244"/>
      <c r="I1682" s="2357"/>
    </row>
    <row r="1683" spans="1:9" s="2352" customFormat="1" ht="11.85" customHeight="1">
      <c r="A1683" s="2070"/>
      <c r="B1683" s="3082"/>
      <c r="C1683" s="3083"/>
      <c r="D1683" s="3084"/>
      <c r="E1683" s="3085"/>
      <c r="F1683" s="3086"/>
      <c r="G1683" s="2244"/>
      <c r="H1683" s="2244"/>
      <c r="I1683" s="2357"/>
    </row>
    <row r="1684" spans="1:9" s="2352" customFormat="1" ht="11.85" customHeight="1">
      <c r="A1684" s="2070"/>
      <c r="B1684" s="3082"/>
      <c r="C1684" s="3083"/>
      <c r="D1684" s="3084"/>
      <c r="E1684" s="3085"/>
      <c r="F1684" s="3086"/>
      <c r="G1684" s="2244"/>
      <c r="H1684" s="2244"/>
      <c r="I1684" s="2357"/>
    </row>
    <row r="1685" spans="1:9" s="2352" customFormat="1" ht="11.85" customHeight="1">
      <c r="A1685" s="2070"/>
      <c r="B1685" s="3082"/>
      <c r="C1685" s="3083"/>
      <c r="D1685" s="3084"/>
      <c r="E1685" s="3085"/>
      <c r="F1685" s="3086"/>
      <c r="G1685" s="2244"/>
      <c r="H1685" s="2244"/>
      <c r="I1685" s="2357"/>
    </row>
    <row r="1686" spans="1:9" s="2352" customFormat="1" ht="11.85" customHeight="1">
      <c r="A1686" s="2070"/>
      <c r="B1686" s="3082"/>
      <c r="C1686" s="3083"/>
      <c r="D1686" s="3084"/>
      <c r="E1686" s="3085"/>
      <c r="F1686" s="3086"/>
      <c r="G1686" s="2244"/>
      <c r="H1686" s="2244"/>
      <c r="I1686" s="2357"/>
    </row>
    <row r="1687" spans="1:9" s="2352" customFormat="1" ht="11.85" customHeight="1">
      <c r="A1687" s="2070"/>
      <c r="B1687" s="3082"/>
      <c r="C1687" s="3083"/>
      <c r="D1687" s="3084"/>
      <c r="E1687" s="3085"/>
      <c r="F1687" s="3086"/>
      <c r="G1687" s="2244"/>
      <c r="H1687" s="2244"/>
      <c r="I1687" s="2357"/>
    </row>
    <row r="1688" spans="1:9" s="2352" customFormat="1" ht="11.85" customHeight="1">
      <c r="A1688" s="2070"/>
      <c r="B1688" s="3082"/>
      <c r="C1688" s="3083"/>
      <c r="D1688" s="3084"/>
      <c r="E1688" s="3085"/>
      <c r="F1688" s="3086"/>
      <c r="G1688" s="2244"/>
      <c r="H1688" s="2244"/>
      <c r="I1688" s="2357"/>
    </row>
    <row r="1689" spans="1:9" s="2352" customFormat="1" ht="11.85" customHeight="1">
      <c r="A1689" s="2070"/>
      <c r="B1689" s="3082"/>
      <c r="C1689" s="3083"/>
      <c r="D1689" s="3084"/>
      <c r="E1689" s="3085"/>
      <c r="F1689" s="3086"/>
      <c r="G1689" s="2244"/>
      <c r="H1689" s="2244"/>
      <c r="I1689" s="2357"/>
    </row>
    <row r="1690" spans="1:9" s="2352" customFormat="1" ht="11.85" customHeight="1">
      <c r="A1690" s="2070"/>
      <c r="B1690" s="3082"/>
      <c r="C1690" s="3083"/>
      <c r="D1690" s="3084"/>
      <c r="E1690" s="3085"/>
      <c r="F1690" s="3086"/>
      <c r="G1690" s="2244"/>
      <c r="H1690" s="2244"/>
      <c r="I1690" s="2357"/>
    </row>
    <row r="1691" spans="1:9" s="2352" customFormat="1" ht="11.85" customHeight="1">
      <c r="A1691" s="2070"/>
      <c r="B1691" s="3082"/>
      <c r="C1691" s="3083"/>
      <c r="D1691" s="3084"/>
      <c r="E1691" s="3085"/>
      <c r="F1691" s="3086"/>
      <c r="G1691" s="2244"/>
      <c r="H1691" s="2244"/>
      <c r="I1691" s="2357"/>
    </row>
    <row r="1692" spans="1:9" s="2352" customFormat="1" ht="11.85" customHeight="1">
      <c r="A1692" s="2070"/>
      <c r="B1692" s="3082"/>
      <c r="C1692" s="3083"/>
      <c r="D1692" s="3084"/>
      <c r="E1692" s="3085"/>
      <c r="F1692" s="3086"/>
      <c r="G1692" s="2244"/>
      <c r="H1692" s="2244"/>
      <c r="I1692" s="2357"/>
    </row>
    <row r="1693" spans="1:9" s="2352" customFormat="1" ht="11.85" customHeight="1">
      <c r="A1693" s="2070"/>
      <c r="B1693" s="3082"/>
      <c r="C1693" s="3083"/>
      <c r="D1693" s="3084"/>
      <c r="E1693" s="3085"/>
      <c r="F1693" s="3086"/>
      <c r="G1693" s="2244"/>
      <c r="H1693" s="2244"/>
      <c r="I1693" s="2357"/>
    </row>
    <row r="1694" spans="1:9" s="2352" customFormat="1" ht="11.85" customHeight="1">
      <c r="A1694" s="2070"/>
      <c r="B1694" s="3082"/>
      <c r="C1694" s="3083"/>
      <c r="D1694" s="3084"/>
      <c r="E1694" s="3085"/>
      <c r="F1694" s="3086"/>
      <c r="G1694" s="2244"/>
      <c r="H1694" s="2244"/>
      <c r="I1694" s="2357"/>
    </row>
    <row r="1695" spans="1:9" s="2352" customFormat="1" ht="11.85" customHeight="1">
      <c r="A1695" s="2070"/>
      <c r="B1695" s="3082"/>
      <c r="C1695" s="3083"/>
      <c r="D1695" s="3084"/>
      <c r="E1695" s="3085"/>
      <c r="F1695" s="3086"/>
      <c r="G1695" s="2244"/>
      <c r="H1695" s="2244"/>
      <c r="I1695" s="2357"/>
    </row>
    <row r="1696" spans="1:9" s="2352" customFormat="1" ht="11.85" customHeight="1">
      <c r="A1696" s="2070"/>
      <c r="B1696" s="3082"/>
      <c r="C1696" s="3083"/>
      <c r="D1696" s="3084"/>
      <c r="E1696" s="3085"/>
      <c r="F1696" s="3086"/>
      <c r="G1696" s="2244"/>
      <c r="H1696" s="2244"/>
      <c r="I1696" s="2357"/>
    </row>
    <row r="1697" spans="1:9" s="2352" customFormat="1" ht="11.85" customHeight="1">
      <c r="A1697" s="2070"/>
      <c r="B1697" s="3082"/>
      <c r="C1697" s="3083"/>
      <c r="D1697" s="3084"/>
      <c r="E1697" s="3085"/>
      <c r="F1697" s="3086"/>
      <c r="G1697" s="2244"/>
      <c r="H1697" s="2244"/>
      <c r="I1697" s="2357"/>
    </row>
    <row r="1698" spans="1:9" s="2352" customFormat="1" ht="11.85" customHeight="1">
      <c r="A1698" s="2070"/>
      <c r="B1698" s="3082"/>
      <c r="C1698" s="3083"/>
      <c r="D1698" s="3084"/>
      <c r="E1698" s="3085"/>
      <c r="F1698" s="3086"/>
      <c r="G1698" s="2244"/>
      <c r="H1698" s="2244"/>
      <c r="I1698" s="2357"/>
    </row>
    <row r="1699" spans="1:9" s="2352" customFormat="1" ht="11.85" customHeight="1">
      <c r="A1699" s="2070"/>
      <c r="B1699" s="3082"/>
      <c r="C1699" s="3083"/>
      <c r="D1699" s="3084"/>
      <c r="E1699" s="3085"/>
      <c r="F1699" s="3086"/>
      <c r="G1699" s="2244"/>
      <c r="H1699" s="2244"/>
      <c r="I1699" s="2357"/>
    </row>
    <row r="1700" spans="1:9" s="2352" customFormat="1" ht="11.85" customHeight="1">
      <c r="A1700" s="2070"/>
      <c r="B1700" s="3082"/>
      <c r="C1700" s="3083"/>
      <c r="D1700" s="3084"/>
      <c r="E1700" s="3085"/>
      <c r="F1700" s="3086"/>
      <c r="G1700" s="2244"/>
      <c r="H1700" s="2244"/>
      <c r="I1700" s="2357"/>
    </row>
    <row r="1701" spans="1:9" s="2352" customFormat="1" ht="11.85" customHeight="1">
      <c r="A1701" s="2070"/>
      <c r="B1701" s="3087"/>
      <c r="C1701" s="2583"/>
      <c r="D1701" s="3087"/>
      <c r="E1701" s="3088"/>
      <c r="F1701" s="3089"/>
      <c r="G1701" s="2244"/>
      <c r="H1701" s="2244"/>
      <c r="I1701" s="2357"/>
    </row>
    <row r="1702" spans="1:9" s="2352" customFormat="1" ht="11.85" customHeight="1">
      <c r="A1702" s="2070"/>
      <c r="B1702" s="2070"/>
      <c r="C1702" s="2093"/>
      <c r="D1702" s="2094"/>
      <c r="E1702" s="2093"/>
      <c r="F1702" s="2093"/>
      <c r="G1702" s="2244"/>
      <c r="H1702" s="2244"/>
      <c r="I1702" s="2357"/>
    </row>
    <row r="1703" spans="1:9" s="2352" customFormat="1" ht="11.85" customHeight="1">
      <c r="A1703" s="2070"/>
      <c r="B1703" s="2471"/>
      <c r="C1703" s="3090"/>
      <c r="D1703" s="3090"/>
      <c r="E1703" s="3090"/>
      <c r="F1703" s="3091"/>
      <c r="G1703" s="2244"/>
      <c r="H1703" s="2244"/>
      <c r="I1703" s="2357"/>
    </row>
    <row r="1704" spans="1:9" s="2352" customFormat="1" ht="11.85" customHeight="1">
      <c r="A1704" s="2070"/>
      <c r="B1704" s="3092"/>
      <c r="C1704" s="3093"/>
      <c r="D1704" s="3084"/>
      <c r="E1704" s="3094"/>
      <c r="F1704" s="3095"/>
      <c r="G1704" s="2244"/>
      <c r="H1704" s="2244"/>
      <c r="I1704" s="2357"/>
    </row>
    <row r="1705" spans="1:9" s="2352" customFormat="1" ht="11.85" customHeight="1">
      <c r="A1705" s="2070"/>
      <c r="B1705" s="3092"/>
      <c r="C1705" s="3093"/>
      <c r="D1705" s="3084"/>
      <c r="E1705" s="3094"/>
      <c r="F1705" s="3095"/>
      <c r="G1705" s="2244"/>
      <c r="H1705" s="2244"/>
      <c r="I1705" s="2357"/>
    </row>
    <row r="1706" spans="1:9" s="2352" customFormat="1" ht="11.85" customHeight="1">
      <c r="A1706" s="2070"/>
      <c r="B1706" s="3092"/>
      <c r="C1706" s="3093"/>
      <c r="D1706" s="3084"/>
      <c r="E1706" s="3094"/>
      <c r="F1706" s="3095"/>
      <c r="G1706" s="2244"/>
      <c r="H1706" s="2244"/>
      <c r="I1706" s="2357"/>
    </row>
    <row r="1707" spans="1:9" s="2352" customFormat="1" ht="11.85" customHeight="1">
      <c r="A1707" s="2070"/>
      <c r="B1707" s="3092"/>
      <c r="C1707" s="3093"/>
      <c r="D1707" s="3084"/>
      <c r="E1707" s="3094"/>
      <c r="F1707" s="3095"/>
      <c r="G1707" s="2244"/>
      <c r="H1707" s="2244"/>
      <c r="I1707" s="2357"/>
    </row>
    <row r="1708" spans="1:9" s="2352" customFormat="1" ht="11.85" customHeight="1">
      <c r="A1708" s="2070"/>
      <c r="B1708" s="3092"/>
      <c r="C1708" s="3093"/>
      <c r="D1708" s="3084"/>
      <c r="E1708" s="3094"/>
      <c r="F1708" s="3095"/>
      <c r="G1708" s="2244"/>
      <c r="H1708" s="2244"/>
      <c r="I1708" s="2357"/>
    </row>
    <row r="1709" spans="1:9" s="2352" customFormat="1" ht="11.85" customHeight="1">
      <c r="A1709" s="2070"/>
      <c r="B1709" s="3092"/>
      <c r="C1709" s="3093"/>
      <c r="D1709" s="3084"/>
      <c r="E1709" s="3094"/>
      <c r="F1709" s="3095"/>
      <c r="G1709" s="2244"/>
      <c r="H1709" s="2244"/>
      <c r="I1709" s="2357"/>
    </row>
    <row r="1710" spans="1:9" s="2352" customFormat="1" ht="11.85" customHeight="1">
      <c r="A1710" s="2070"/>
      <c r="B1710" s="3092"/>
      <c r="C1710" s="3093"/>
      <c r="D1710" s="3084"/>
      <c r="E1710" s="3094"/>
      <c r="F1710" s="3095"/>
      <c r="G1710" s="2244"/>
      <c r="H1710" s="2244"/>
      <c r="I1710" s="2357"/>
    </row>
    <row r="1711" spans="1:9" s="2352" customFormat="1" ht="11.85" customHeight="1">
      <c r="A1711" s="2070"/>
      <c r="B1711" s="3092"/>
      <c r="C1711" s="3093"/>
      <c r="D1711" s="3084"/>
      <c r="E1711" s="3094"/>
      <c r="F1711" s="3095"/>
      <c r="G1711" s="2244"/>
      <c r="H1711" s="2244"/>
      <c r="I1711" s="2357"/>
    </row>
    <row r="1712" spans="1:9" s="2352" customFormat="1" ht="11.85" customHeight="1">
      <c r="A1712" s="2070"/>
      <c r="B1712" s="3092"/>
      <c r="C1712" s="3093"/>
      <c r="D1712" s="3084"/>
      <c r="E1712" s="3094"/>
      <c r="F1712" s="3095"/>
      <c r="G1712" s="2244"/>
      <c r="H1712" s="2244"/>
      <c r="I1712" s="2357"/>
    </row>
    <row r="1713" spans="1:9" s="2352" customFormat="1" ht="11.85" customHeight="1">
      <c r="A1713" s="2070"/>
      <c r="B1713" s="3092"/>
      <c r="C1713" s="3093"/>
      <c r="D1713" s="3084"/>
      <c r="E1713" s="3094"/>
      <c r="F1713" s="3095"/>
      <c r="G1713" s="2244"/>
      <c r="H1713" s="2244"/>
      <c r="I1713" s="2357"/>
    </row>
    <row r="1714" spans="1:9" s="2352" customFormat="1" ht="11.85" customHeight="1">
      <c r="A1714" s="2070"/>
      <c r="B1714" s="3092"/>
      <c r="C1714" s="3093"/>
      <c r="D1714" s="3084"/>
      <c r="E1714" s="3094"/>
      <c r="F1714" s="3095"/>
      <c r="G1714" s="2244"/>
      <c r="H1714" s="2244"/>
      <c r="I1714" s="2357"/>
    </row>
    <row r="1715" spans="1:9" s="2352" customFormat="1" ht="11.85" customHeight="1">
      <c r="A1715" s="2070"/>
      <c r="B1715" s="3092"/>
      <c r="C1715" s="3093"/>
      <c r="D1715" s="3084"/>
      <c r="E1715" s="3094"/>
      <c r="F1715" s="3095"/>
      <c r="G1715" s="2244"/>
      <c r="H1715" s="2244"/>
      <c r="I1715" s="2357"/>
    </row>
    <row r="1716" spans="1:9" s="2352" customFormat="1" ht="11.85" customHeight="1">
      <c r="A1716" s="2070"/>
      <c r="B1716" s="3092"/>
      <c r="C1716" s="3093"/>
      <c r="D1716" s="3084"/>
      <c r="E1716" s="3094"/>
      <c r="F1716" s="3095"/>
      <c r="G1716" s="2244"/>
      <c r="H1716" s="2244"/>
      <c r="I1716" s="2357"/>
    </row>
    <row r="1717" spans="1:9" s="2352" customFormat="1" ht="11.85" customHeight="1">
      <c r="A1717" s="2070"/>
      <c r="B1717" s="3092"/>
      <c r="C1717" s="3093"/>
      <c r="D1717" s="3084"/>
      <c r="E1717" s="3094"/>
      <c r="F1717" s="3095"/>
      <c r="G1717" s="2244"/>
      <c r="H1717" s="2244"/>
      <c r="I1717" s="2357"/>
    </row>
    <row r="1718" spans="1:9" s="2352" customFormat="1" ht="11.85" customHeight="1">
      <c r="A1718" s="2070"/>
      <c r="B1718" s="3092"/>
      <c r="C1718" s="3093"/>
      <c r="D1718" s="3084"/>
      <c r="E1718" s="3094"/>
      <c r="F1718" s="3095"/>
      <c r="G1718" s="2244"/>
      <c r="H1718" s="2244"/>
      <c r="I1718" s="2357"/>
    </row>
    <row r="1719" spans="1:9" s="2352" customFormat="1" ht="11.85" customHeight="1">
      <c r="A1719" s="2070"/>
      <c r="B1719" s="3092"/>
      <c r="C1719" s="3093"/>
      <c r="D1719" s="3084"/>
      <c r="E1719" s="3094"/>
      <c r="F1719" s="3095"/>
      <c r="G1719" s="2244"/>
      <c r="H1719" s="2244"/>
      <c r="I1719" s="2357"/>
    </row>
    <row r="1720" spans="1:9" s="2352" customFormat="1" ht="11.85" customHeight="1">
      <c r="A1720" s="2070"/>
      <c r="B1720" s="3092"/>
      <c r="C1720" s="3093"/>
      <c r="D1720" s="3084"/>
      <c r="E1720" s="3094"/>
      <c r="F1720" s="3095"/>
      <c r="G1720" s="2244"/>
      <c r="H1720" s="2244"/>
      <c r="I1720" s="2357"/>
    </row>
    <row r="1721" spans="1:9" s="2352" customFormat="1" ht="11.85" customHeight="1">
      <c r="A1721" s="2070"/>
      <c r="B1721" s="3092"/>
      <c r="C1721" s="3093"/>
      <c r="D1721" s="3084"/>
      <c r="E1721" s="3094"/>
      <c r="F1721" s="3095"/>
      <c r="G1721" s="2244"/>
      <c r="H1721" s="2244"/>
      <c r="I1721" s="2357"/>
    </row>
    <row r="1722" spans="1:9" s="2352" customFormat="1" ht="11.85" customHeight="1">
      <c r="A1722" s="2070"/>
      <c r="B1722" s="3092"/>
      <c r="C1722" s="3093"/>
      <c r="D1722" s="3084"/>
      <c r="E1722" s="3094"/>
      <c r="F1722" s="3095"/>
      <c r="G1722" s="2244"/>
      <c r="H1722" s="2244"/>
      <c r="I1722" s="2357"/>
    </row>
    <row r="1723" spans="1:9" s="2352" customFormat="1" ht="11.85" customHeight="1">
      <c r="A1723" s="2070"/>
      <c r="B1723" s="3092"/>
      <c r="C1723" s="3093"/>
      <c r="D1723" s="3084"/>
      <c r="E1723" s="3094"/>
      <c r="F1723" s="3095"/>
      <c r="G1723" s="2244"/>
      <c r="H1723" s="2244"/>
      <c r="I1723" s="2357"/>
    </row>
    <row r="1724" spans="1:9" s="2352" customFormat="1" ht="11.85" customHeight="1">
      <c r="A1724" s="2070"/>
      <c r="B1724" s="3090"/>
      <c r="C1724" s="3090"/>
      <c r="D1724" s="3090"/>
      <c r="E1724" s="3090"/>
      <c r="F1724" s="3091"/>
      <c r="G1724" s="2244"/>
      <c r="H1724" s="2244"/>
      <c r="I1724" s="2357"/>
    </row>
    <row r="1725" spans="1:9" s="2352" customFormat="1" ht="11.85" customHeight="1">
      <c r="A1725" s="2070"/>
      <c r="B1725" s="2070"/>
      <c r="C1725" s="2093"/>
      <c r="D1725" s="2094"/>
      <c r="E1725" s="2093"/>
      <c r="F1725" s="2093"/>
      <c r="G1725" s="2244"/>
      <c r="H1725" s="2244"/>
      <c r="I1725" s="2357"/>
    </row>
    <row r="1726" spans="1:9" s="2352" customFormat="1" ht="11.85" customHeight="1">
      <c r="A1726" s="2070"/>
      <c r="B1726" s="2471"/>
      <c r="C1726" s="3090"/>
      <c r="D1726" s="3090"/>
      <c r="E1726" s="3090"/>
      <c r="F1726" s="3090"/>
      <c r="G1726" s="2244"/>
      <c r="H1726" s="2244"/>
      <c r="I1726" s="2357"/>
    </row>
    <row r="1727" spans="1:9" s="2352" customFormat="1" ht="11.85" customHeight="1">
      <c r="A1727" s="2070"/>
      <c r="B1727" s="3092"/>
      <c r="C1727" s="3093"/>
      <c r="D1727" s="3084"/>
      <c r="E1727" s="3094"/>
      <c r="F1727" s="3095"/>
      <c r="G1727" s="2244"/>
      <c r="H1727" s="2244"/>
      <c r="I1727" s="2357"/>
    </row>
    <row r="1728" spans="1:9" s="2352" customFormat="1" ht="11.85" customHeight="1">
      <c r="A1728" s="2070"/>
      <c r="B1728" s="3092"/>
      <c r="C1728" s="3093"/>
      <c r="D1728" s="3084"/>
      <c r="E1728" s="3094"/>
      <c r="F1728" s="3095"/>
      <c r="G1728" s="2244"/>
      <c r="H1728" s="2244"/>
      <c r="I1728" s="2357"/>
    </row>
    <row r="1729" spans="1:9" s="2352" customFormat="1" ht="11.85" customHeight="1">
      <c r="A1729" s="2070"/>
      <c r="B1729" s="3092"/>
      <c r="C1729" s="3093"/>
      <c r="D1729" s="3084"/>
      <c r="E1729" s="3094"/>
      <c r="F1729" s="3095"/>
      <c r="G1729" s="2244"/>
      <c r="H1729" s="2244"/>
      <c r="I1729" s="2357"/>
    </row>
    <row r="1730" spans="1:9" s="2352" customFormat="1" ht="11.85" customHeight="1">
      <c r="A1730" s="2070"/>
      <c r="B1730" s="3092"/>
      <c r="C1730" s="3093"/>
      <c r="D1730" s="3084"/>
      <c r="E1730" s="3094"/>
      <c r="F1730" s="3095"/>
      <c r="G1730" s="2244"/>
      <c r="H1730" s="2244"/>
      <c r="I1730" s="2357"/>
    </row>
    <row r="1731" spans="1:9" s="2352" customFormat="1" ht="11.85" customHeight="1">
      <c r="A1731" s="2070"/>
      <c r="B1731" s="3092"/>
      <c r="C1731" s="3093"/>
      <c r="D1731" s="3084"/>
      <c r="E1731" s="3094"/>
      <c r="F1731" s="3095"/>
      <c r="G1731" s="2244"/>
      <c r="H1731" s="2244"/>
      <c r="I1731" s="2357"/>
    </row>
    <row r="1732" spans="1:9" s="2352" customFormat="1" ht="11.85" customHeight="1">
      <c r="A1732" s="2070"/>
      <c r="B1732" s="3092"/>
      <c r="C1732" s="3093"/>
      <c r="D1732" s="3084"/>
      <c r="E1732" s="3094"/>
      <c r="F1732" s="3095"/>
      <c r="G1732" s="2244"/>
      <c r="H1732" s="2244"/>
      <c r="I1732" s="2357"/>
    </row>
    <row r="1733" spans="1:9" s="2352" customFormat="1" ht="11.85" customHeight="1">
      <c r="A1733" s="2070"/>
      <c r="B1733" s="3092"/>
      <c r="C1733" s="3093"/>
      <c r="D1733" s="3084"/>
      <c r="E1733" s="3094"/>
      <c r="F1733" s="3095"/>
      <c r="G1733" s="2244"/>
      <c r="H1733" s="2244"/>
      <c r="I1733" s="2357"/>
    </row>
    <row r="1734" spans="1:9" s="2352" customFormat="1" ht="11.85" customHeight="1">
      <c r="A1734" s="2070"/>
      <c r="B1734" s="3092"/>
      <c r="C1734" s="3093"/>
      <c r="D1734" s="3084"/>
      <c r="E1734" s="3094"/>
      <c r="F1734" s="3095"/>
      <c r="G1734" s="2244"/>
      <c r="H1734" s="2244"/>
      <c r="I1734" s="2357"/>
    </row>
    <row r="1735" spans="1:9" s="2352" customFormat="1" ht="11.85" customHeight="1">
      <c r="A1735" s="2070"/>
      <c r="B1735" s="3092"/>
      <c r="C1735" s="3093"/>
      <c r="D1735" s="3084"/>
      <c r="E1735" s="3094"/>
      <c r="F1735" s="3095"/>
      <c r="G1735" s="2244"/>
      <c r="H1735" s="2244"/>
      <c r="I1735" s="2357"/>
    </row>
    <row r="1736" spans="1:9" s="2352" customFormat="1" ht="11.85" customHeight="1">
      <c r="A1736" s="2070"/>
      <c r="B1736" s="3092"/>
      <c r="C1736" s="3093"/>
      <c r="D1736" s="3084"/>
      <c r="E1736" s="3094"/>
      <c r="F1736" s="3095"/>
      <c r="G1736" s="2244"/>
      <c r="H1736" s="2244"/>
      <c r="I1736" s="2357"/>
    </row>
    <row r="1737" spans="1:9" s="2352" customFormat="1" ht="11.85" customHeight="1">
      <c r="A1737" s="2070"/>
      <c r="B1737" s="3092"/>
      <c r="C1737" s="3093"/>
      <c r="D1737" s="3084"/>
      <c r="E1737" s="3094"/>
      <c r="F1737" s="3095"/>
      <c r="G1737" s="2244"/>
      <c r="H1737" s="2244"/>
      <c r="I1737" s="2357"/>
    </row>
    <row r="1738" spans="1:9" s="2352" customFormat="1" ht="11.85" customHeight="1">
      <c r="A1738" s="2070"/>
      <c r="B1738" s="3092"/>
      <c r="C1738" s="3093"/>
      <c r="D1738" s="3084"/>
      <c r="E1738" s="3094"/>
      <c r="F1738" s="3095"/>
      <c r="G1738" s="2244"/>
      <c r="H1738" s="2244"/>
      <c r="I1738" s="2357"/>
    </row>
    <row r="1739" spans="1:9" s="2352" customFormat="1" ht="11.85" customHeight="1">
      <c r="A1739" s="2070"/>
      <c r="B1739" s="3092"/>
      <c r="C1739" s="3093"/>
      <c r="D1739" s="3084"/>
      <c r="E1739" s="3094"/>
      <c r="F1739" s="3095"/>
      <c r="G1739" s="2244"/>
      <c r="H1739" s="2244"/>
      <c r="I1739" s="2357"/>
    </row>
    <row r="1740" spans="1:9" s="2352" customFormat="1" ht="11.85" customHeight="1">
      <c r="A1740" s="2070"/>
      <c r="B1740" s="3092"/>
      <c r="C1740" s="3093"/>
      <c r="D1740" s="3084"/>
      <c r="E1740" s="3094"/>
      <c r="F1740" s="3095"/>
      <c r="G1740" s="2244"/>
      <c r="H1740" s="2244"/>
      <c r="I1740" s="2357"/>
    </row>
    <row r="1741" spans="1:9" s="2352" customFormat="1" ht="11.85" customHeight="1">
      <c r="A1741" s="2070"/>
      <c r="B1741" s="3092"/>
      <c r="C1741" s="3093"/>
      <c r="D1741" s="3084"/>
      <c r="E1741" s="3094"/>
      <c r="F1741" s="3095"/>
      <c r="G1741" s="2244"/>
      <c r="H1741" s="2244"/>
      <c r="I1741" s="2357"/>
    </row>
    <row r="1742" spans="1:9" s="2352" customFormat="1" ht="11.85" customHeight="1">
      <c r="A1742" s="2070"/>
      <c r="B1742" s="3092"/>
      <c r="C1742" s="3093"/>
      <c r="D1742" s="3084"/>
      <c r="E1742" s="3094"/>
      <c r="F1742" s="3095"/>
      <c r="G1742" s="2244"/>
      <c r="H1742" s="2244"/>
      <c r="I1742" s="2357"/>
    </row>
    <row r="1743" spans="1:9" s="2352" customFormat="1" ht="11.85" customHeight="1">
      <c r="A1743" s="2070"/>
      <c r="B1743" s="3092"/>
      <c r="C1743" s="3093"/>
      <c r="D1743" s="3084"/>
      <c r="E1743" s="3094"/>
      <c r="F1743" s="3095"/>
      <c r="G1743" s="2244"/>
      <c r="H1743" s="2244"/>
      <c r="I1743" s="2357"/>
    </row>
    <row r="1744" spans="1:9" s="2352" customFormat="1" ht="11.85" customHeight="1">
      <c r="A1744" s="2070"/>
      <c r="B1744" s="3092"/>
      <c r="C1744" s="3093"/>
      <c r="D1744" s="3084"/>
      <c r="E1744" s="3094"/>
      <c r="F1744" s="3095"/>
      <c r="G1744" s="2244"/>
      <c r="H1744" s="2244"/>
      <c r="I1744" s="2357"/>
    </row>
    <row r="1745" spans="1:9" s="2352" customFormat="1" ht="11.85" customHeight="1">
      <c r="A1745" s="2070"/>
      <c r="B1745" s="3092"/>
      <c r="C1745" s="3093"/>
      <c r="D1745" s="3084"/>
      <c r="E1745" s="3094"/>
      <c r="F1745" s="3095"/>
      <c r="G1745" s="2244"/>
      <c r="H1745" s="2244"/>
      <c r="I1745" s="2357"/>
    </row>
    <row r="1746" spans="1:9" s="2352" customFormat="1" ht="11.85" customHeight="1">
      <c r="A1746" s="2070"/>
      <c r="B1746" s="3092"/>
      <c r="C1746" s="3093"/>
      <c r="D1746" s="3084"/>
      <c r="E1746" s="3094"/>
      <c r="F1746" s="3095"/>
      <c r="G1746" s="2244"/>
      <c r="H1746" s="2244"/>
      <c r="I1746" s="2357"/>
    </row>
    <row r="1747" spans="1:9" s="2352" customFormat="1" ht="11.85" customHeight="1">
      <c r="A1747" s="2070"/>
      <c r="B1747" s="3092"/>
      <c r="C1747" s="3093"/>
      <c r="D1747" s="3084"/>
      <c r="E1747" s="3094"/>
      <c r="F1747" s="3095"/>
      <c r="G1747" s="2244"/>
      <c r="H1747" s="2244"/>
      <c r="I1747" s="2357"/>
    </row>
    <row r="1748" spans="1:9" s="2352" customFormat="1" ht="11.85" customHeight="1">
      <c r="A1748" s="2070"/>
      <c r="B1748" s="3092"/>
      <c r="C1748" s="3093"/>
      <c r="D1748" s="3084"/>
      <c r="E1748" s="3094"/>
      <c r="F1748" s="3095"/>
      <c r="G1748" s="2244"/>
      <c r="H1748" s="2244"/>
      <c r="I1748" s="2357"/>
    </row>
    <row r="1749" spans="1:9" s="2352" customFormat="1" ht="11.85" customHeight="1">
      <c r="A1749" s="2070"/>
      <c r="B1749" s="3090"/>
      <c r="C1749" s="3090"/>
      <c r="D1749" s="3090"/>
      <c r="E1749" s="3090"/>
      <c r="F1749" s="3096"/>
      <c r="G1749" s="2244"/>
      <c r="H1749" s="2244"/>
      <c r="I1749" s="2357"/>
    </row>
    <row r="1750" spans="1:9" s="2352" customFormat="1" ht="11.85" customHeight="1">
      <c r="A1750" s="2070"/>
      <c r="B1750" s="2070"/>
      <c r="C1750" s="2093"/>
      <c r="D1750" s="2094"/>
      <c r="E1750" s="2093"/>
      <c r="F1750" s="2093"/>
      <c r="G1750" s="2244"/>
      <c r="H1750" s="2244"/>
      <c r="I1750" s="2357"/>
    </row>
    <row r="1751" spans="1:9" s="2352" customFormat="1" ht="11.85" customHeight="1">
      <c r="A1751" s="2070"/>
      <c r="B1751" s="2471"/>
      <c r="C1751" s="3090"/>
      <c r="D1751" s="3090"/>
      <c r="E1751" s="3090"/>
      <c r="F1751" s="3090"/>
      <c r="G1751" s="2244"/>
      <c r="H1751" s="2244"/>
      <c r="I1751" s="2357"/>
    </row>
    <row r="1752" spans="1:9" s="2352" customFormat="1" ht="11.85" customHeight="1">
      <c r="A1752" s="2070"/>
      <c r="B1752" s="3092"/>
      <c r="C1752" s="3093"/>
      <c r="D1752" s="3084"/>
      <c r="E1752" s="3094"/>
      <c r="F1752" s="3095"/>
      <c r="G1752" s="2244"/>
      <c r="H1752" s="2244"/>
      <c r="I1752" s="2357"/>
    </row>
    <row r="1753" spans="1:9" s="2352" customFormat="1" ht="11.85" customHeight="1">
      <c r="A1753" s="2070"/>
      <c r="B1753" s="3092"/>
      <c r="C1753" s="3093"/>
      <c r="D1753" s="3084"/>
      <c r="E1753" s="3094"/>
      <c r="F1753" s="3095"/>
      <c r="G1753" s="2244"/>
      <c r="H1753" s="2244"/>
      <c r="I1753" s="2357"/>
    </row>
    <row r="1754" spans="1:9" s="2352" customFormat="1" ht="11.85" customHeight="1">
      <c r="A1754" s="2070"/>
      <c r="B1754" s="3092"/>
      <c r="C1754" s="3093"/>
      <c r="D1754" s="3084"/>
      <c r="E1754" s="3094"/>
      <c r="F1754" s="3095"/>
      <c r="G1754" s="2244"/>
      <c r="H1754" s="2244"/>
      <c r="I1754" s="2357"/>
    </row>
    <row r="1755" spans="1:9" s="2352" customFormat="1" ht="11.85" customHeight="1">
      <c r="A1755" s="2070"/>
      <c r="B1755" s="3092"/>
      <c r="C1755" s="3093"/>
      <c r="D1755" s="3084"/>
      <c r="E1755" s="3094"/>
      <c r="F1755" s="3095"/>
      <c r="G1755" s="2244"/>
      <c r="H1755" s="2244"/>
      <c r="I1755" s="2357"/>
    </row>
    <row r="1756" spans="1:9" s="2352" customFormat="1" ht="11.85" customHeight="1">
      <c r="A1756" s="2070"/>
      <c r="B1756" s="3092"/>
      <c r="C1756" s="3093"/>
      <c r="D1756" s="3084"/>
      <c r="E1756" s="3094"/>
      <c r="F1756" s="3095"/>
      <c r="G1756" s="2244"/>
      <c r="H1756" s="2244"/>
      <c r="I1756" s="2357"/>
    </row>
    <row r="1757" spans="1:9" s="2352" customFormat="1" ht="11.85" customHeight="1">
      <c r="A1757" s="2070"/>
      <c r="B1757" s="3092"/>
      <c r="C1757" s="3093"/>
      <c r="D1757" s="3084"/>
      <c r="E1757" s="3094"/>
      <c r="F1757" s="3095"/>
      <c r="G1757" s="2244"/>
      <c r="H1757" s="2244"/>
      <c r="I1757" s="2357"/>
    </row>
    <row r="1758" spans="1:9" s="2352" customFormat="1" ht="11.85" customHeight="1">
      <c r="A1758" s="2070"/>
      <c r="B1758" s="3092"/>
      <c r="C1758" s="3093"/>
      <c r="D1758" s="3084"/>
      <c r="E1758" s="3094"/>
      <c r="F1758" s="3095"/>
      <c r="G1758" s="2244"/>
      <c r="H1758" s="2244"/>
      <c r="I1758" s="2357"/>
    </row>
    <row r="1759" spans="1:9" s="2352" customFormat="1" ht="11.85" customHeight="1">
      <c r="A1759" s="2070"/>
      <c r="B1759" s="3092"/>
      <c r="C1759" s="3093"/>
      <c r="D1759" s="3084"/>
      <c r="E1759" s="3094"/>
      <c r="F1759" s="3095"/>
      <c r="G1759" s="2244"/>
      <c r="H1759" s="2244"/>
      <c r="I1759" s="2357"/>
    </row>
    <row r="1760" spans="1:9" s="2352" customFormat="1" ht="11.85" customHeight="1">
      <c r="A1760" s="2070"/>
      <c r="B1760" s="3090"/>
      <c r="C1760" s="3090"/>
      <c r="D1760" s="3090"/>
      <c r="E1760" s="3090"/>
      <c r="F1760" s="3091"/>
      <c r="G1760" s="2244"/>
      <c r="H1760" s="2244"/>
      <c r="I1760" s="2357"/>
    </row>
    <row r="1761" spans="1:9" s="2352" customFormat="1" ht="11.85" customHeight="1">
      <c r="A1761" s="2070"/>
      <c r="B1761" s="2070"/>
      <c r="C1761" s="2093"/>
      <c r="D1761" s="2094"/>
      <c r="E1761" s="2093"/>
      <c r="F1761" s="2093"/>
      <c r="G1761" s="2244"/>
      <c r="H1761" s="2244"/>
      <c r="I1761" s="2357"/>
    </row>
    <row r="1762" spans="1:9" s="2352" customFormat="1" ht="11.85" customHeight="1" thickBot="1">
      <c r="A1762" s="2070"/>
      <c r="B1762" s="2684"/>
      <c r="C1762" s="3097"/>
      <c r="D1762" s="3097"/>
      <c r="E1762" s="3097"/>
      <c r="F1762" s="3098"/>
      <c r="G1762" s="2244"/>
      <c r="H1762" s="2244"/>
      <c r="I1762" s="2357"/>
    </row>
    <row r="1763" spans="1:9" s="2352" customFormat="1" ht="11.85" customHeight="1" thickTop="1" thickBot="1">
      <c r="A1763" s="2070"/>
      <c r="B1763" s="2759"/>
      <c r="C1763" s="2048"/>
      <c r="D1763" s="2145"/>
      <c r="E1763" s="2048"/>
      <c r="F1763" s="2524"/>
      <c r="G1763" s="2244"/>
      <c r="H1763" s="2244"/>
      <c r="I1763" s="2357"/>
    </row>
    <row r="1764" spans="1:9" s="2352" customFormat="1" ht="11.85" customHeight="1" thickTop="1" thickBot="1">
      <c r="A1764" s="2070"/>
      <c r="B1764" s="2107"/>
      <c r="C1764" s="2052"/>
      <c r="D1764" s="2146"/>
      <c r="E1764" s="2052"/>
      <c r="F1764" s="2524"/>
      <c r="G1764" s="2244"/>
      <c r="H1764" s="2244"/>
      <c r="I1764" s="2357"/>
    </row>
    <row r="1765" spans="1:9" s="2352" customFormat="1" ht="11.85" customHeight="1" thickTop="1" thickBot="1">
      <c r="A1765" s="2070"/>
      <c r="B1765" s="2107"/>
      <c r="C1765" s="2052"/>
      <c r="D1765" s="2146"/>
      <c r="E1765" s="2052"/>
      <c r="F1765" s="2524"/>
      <c r="G1765" s="2244"/>
      <c r="H1765" s="2244"/>
      <c r="I1765" s="2357"/>
    </row>
    <row r="1766" spans="1:9" s="2352" customFormat="1" ht="11.85" customHeight="1" thickTop="1" thickBot="1">
      <c r="A1766" s="2070"/>
      <c r="B1766" s="2759"/>
      <c r="C1766" s="2048"/>
      <c r="D1766" s="2145"/>
      <c r="E1766" s="2048"/>
      <c r="F1766" s="2524"/>
      <c r="G1766" s="2244"/>
      <c r="H1766" s="2244"/>
      <c r="I1766" s="2357"/>
    </row>
    <row r="1767" spans="1:9" s="2352" customFormat="1" ht="11.85" customHeight="1" thickTop="1">
      <c r="A1767" s="2070"/>
      <c r="B1767" s="2107"/>
      <c r="C1767" s="2052"/>
      <c r="D1767" s="2146"/>
      <c r="E1767" s="2052"/>
      <c r="F1767" s="2524"/>
      <c r="G1767" s="2244"/>
      <c r="H1767" s="2244"/>
      <c r="I1767" s="2357"/>
    </row>
    <row r="1768" spans="1:9" s="2352" customFormat="1" ht="11.85" customHeight="1">
      <c r="A1768" s="2070"/>
      <c r="B1768" s="2107"/>
      <c r="C1768" s="2052"/>
      <c r="D1768" s="2146"/>
      <c r="E1768" s="2052"/>
      <c r="F1768" s="3099"/>
      <c r="G1768" s="2244"/>
      <c r="H1768" s="2244"/>
      <c r="I1768" s="2357"/>
    </row>
    <row r="1769" spans="1:9" s="2352" customFormat="1" ht="11.85" customHeight="1">
      <c r="A1769" s="2070"/>
      <c r="B1769" s="2070"/>
      <c r="C1769" s="2093"/>
      <c r="D1769" s="2094"/>
      <c r="E1769" s="2093"/>
      <c r="F1769" s="2093"/>
      <c r="G1769" s="2244"/>
      <c r="H1769" s="2244"/>
      <c r="I1769" s="2357"/>
    </row>
    <row r="1770" spans="1:9" s="2352" customFormat="1" ht="11.85" customHeight="1">
      <c r="A1770" s="2070"/>
      <c r="B1770" s="2070"/>
      <c r="C1770" s="2093"/>
      <c r="D1770" s="2094"/>
      <c r="E1770" s="2093"/>
      <c r="F1770" s="2093"/>
      <c r="G1770" s="2244"/>
      <c r="H1770" s="2244"/>
      <c r="I1770" s="2357"/>
    </row>
    <row r="1771" spans="1:9" s="2352" customFormat="1" ht="11.85" customHeight="1">
      <c r="A1771" s="2070"/>
      <c r="B1771" s="2560"/>
      <c r="C1771" s="2161"/>
      <c r="D1771" s="2162"/>
      <c r="E1771" s="2161"/>
      <c r="F1771" s="2161"/>
      <c r="G1771" s="2244"/>
      <c r="H1771" s="2244"/>
      <c r="I1771" s="2357"/>
    </row>
    <row r="1772" spans="1:9" s="2352" customFormat="1" ht="11.85" customHeight="1" thickBot="1">
      <c r="A1772" s="2070"/>
      <c r="B1772" s="2666"/>
      <c r="C1772" s="2666"/>
      <c r="D1772" s="2666"/>
      <c r="E1772" s="2666"/>
      <c r="F1772" s="2667"/>
      <c r="G1772" s="2244"/>
      <c r="H1772" s="2244"/>
      <c r="I1772" s="2357"/>
    </row>
    <row r="1773" spans="1:9" s="2352" customFormat="1" ht="11.85" customHeight="1" thickTop="1">
      <c r="A1773" s="2070"/>
      <c r="B1773" s="3100"/>
      <c r="C1773" s="2669"/>
      <c r="D1773" s="2597"/>
      <c r="E1773" s="2669"/>
      <c r="F1773" s="2670"/>
      <c r="G1773" s="2244"/>
      <c r="H1773" s="2244"/>
      <c r="I1773" s="2357"/>
    </row>
    <row r="1774" spans="1:9" s="2352" customFormat="1" ht="11.85" customHeight="1">
      <c r="A1774" s="2070"/>
      <c r="B1774" s="2671"/>
      <c r="C1774" s="2672"/>
      <c r="D1774" s="2673"/>
      <c r="E1774" s="2672"/>
      <c r="F1774" s="2674"/>
      <c r="G1774" s="2244"/>
      <c r="H1774" s="2244"/>
      <c r="I1774" s="2357"/>
    </row>
    <row r="1775" spans="1:9" s="2352" customFormat="1" ht="11.85" customHeight="1">
      <c r="A1775" s="2070"/>
      <c r="B1775" s="2675"/>
      <c r="C1775" s="2672"/>
      <c r="D1775" s="2673"/>
      <c r="E1775" s="2672"/>
      <c r="F1775" s="2674"/>
      <c r="G1775" s="2244"/>
      <c r="H1775" s="2244"/>
      <c r="I1775" s="2357"/>
    </row>
    <row r="1776" spans="1:9" s="2352" customFormat="1" ht="11.85" customHeight="1">
      <c r="A1776" s="2070"/>
      <c r="B1776" s="2675"/>
      <c r="C1776" s="2672"/>
      <c r="D1776" s="2673"/>
      <c r="E1776" s="2672"/>
      <c r="F1776" s="2674"/>
      <c r="G1776" s="2244"/>
      <c r="H1776" s="2244"/>
      <c r="I1776" s="2357"/>
    </row>
    <row r="1777" spans="1:9" s="2352" customFormat="1" ht="11.85" customHeight="1">
      <c r="A1777" s="2070"/>
      <c r="B1777" s="2676"/>
      <c r="C1777" s="2672"/>
      <c r="D1777" s="2673"/>
      <c r="E1777" s="2672"/>
      <c r="F1777" s="2674"/>
      <c r="G1777" s="2244"/>
      <c r="H1777" s="2244"/>
      <c r="I1777" s="2357"/>
    </row>
    <row r="1778" spans="1:9" s="2352" customFormat="1" ht="11.85" customHeight="1">
      <c r="A1778" s="2070"/>
      <c r="B1778" s="2671"/>
      <c r="C1778" s="2672"/>
      <c r="D1778" s="2673"/>
      <c r="E1778" s="2678"/>
      <c r="F1778" s="2679"/>
      <c r="G1778" s="2244"/>
      <c r="H1778" s="2244"/>
      <c r="I1778" s="2357"/>
    </row>
    <row r="1779" spans="1:9" s="2352" customFormat="1" ht="11.85" customHeight="1">
      <c r="A1779" s="2070"/>
      <c r="B1779" s="2680"/>
      <c r="C1779" s="2681"/>
      <c r="D1779" s="2682"/>
      <c r="E1779" s="2683"/>
      <c r="F1779" s="3101"/>
      <c r="G1779" s="2244"/>
      <c r="H1779" s="2244"/>
      <c r="I1779" s="2357"/>
    </row>
    <row r="1780" spans="1:9" s="2352" customFormat="1" ht="11.85" customHeight="1">
      <c r="A1780" s="2070"/>
      <c r="B1780" s="3102"/>
      <c r="C1780" s="2567"/>
      <c r="D1780" s="2682"/>
      <c r="E1780" s="2683"/>
      <c r="F1780" s="3103"/>
      <c r="G1780" s="2244"/>
      <c r="H1780" s="2244"/>
      <c r="I1780" s="2357"/>
    </row>
    <row r="1781" spans="1:9" s="2352" customFormat="1" ht="11.85" customHeight="1">
      <c r="A1781" s="2070"/>
      <c r="B1781" s="2070"/>
      <c r="C1781" s="2093"/>
      <c r="D1781" s="2094"/>
      <c r="E1781" s="2093"/>
      <c r="F1781" s="2093"/>
      <c r="G1781" s="2244"/>
      <c r="H1781" s="2244"/>
      <c r="I1781" s="2357"/>
    </row>
    <row r="1782" spans="1:9" s="2352" customFormat="1" ht="11.85" customHeight="1">
      <c r="A1782" s="2070"/>
      <c r="B1782" s="2505"/>
      <c r="C1782" s="2583"/>
      <c r="D1782" s="2472"/>
      <c r="E1782" s="2472"/>
      <c r="F1782" s="2472"/>
      <c r="G1782" s="2244"/>
      <c r="H1782" s="2244"/>
      <c r="I1782" s="2357"/>
    </row>
    <row r="1783" spans="1:9" s="2352" customFormat="1" ht="11.85" customHeight="1">
      <c r="A1783" s="2070"/>
      <c r="B1783" s="2715"/>
      <c r="C1783" s="2589"/>
      <c r="D1783" s="2716"/>
      <c r="E1783" s="2717"/>
      <c r="F1783" s="2718"/>
      <c r="G1783" s="2244"/>
      <c r="H1783" s="2244"/>
      <c r="I1783" s="2357"/>
    </row>
    <row r="1784" spans="1:9" s="2352" customFormat="1" ht="11.85" customHeight="1">
      <c r="A1784" s="2070"/>
      <c r="B1784" s="2675"/>
      <c r="C1784" s="2589"/>
      <c r="D1784" s="2716"/>
      <c r="E1784" s="2717"/>
      <c r="F1784" s="2718"/>
      <c r="G1784" s="2244"/>
      <c r="H1784" s="2244"/>
      <c r="I1784" s="2357"/>
    </row>
    <row r="1785" spans="1:9" s="2352" customFormat="1" ht="11.85" customHeight="1">
      <c r="A1785" s="2070"/>
      <c r="B1785" s="2427"/>
      <c r="C1785" s="2589"/>
      <c r="D1785" s="2716"/>
      <c r="E1785" s="2717"/>
      <c r="F1785" s="2718"/>
      <c r="G1785" s="2244"/>
      <c r="H1785" s="2244"/>
      <c r="I1785" s="2357"/>
    </row>
    <row r="1786" spans="1:9" s="2352" customFormat="1" ht="11.85" customHeight="1">
      <c r="A1786" s="2070"/>
      <c r="B1786" s="2605"/>
      <c r="C1786" s="2589"/>
      <c r="D1786" s="2719"/>
      <c r="E1786" s="2717"/>
      <c r="F1786" s="2718"/>
      <c r="G1786" s="2244"/>
      <c r="H1786" s="2244"/>
      <c r="I1786" s="2357"/>
    </row>
    <row r="1787" spans="1:9" s="2352" customFormat="1" ht="11.85" customHeight="1">
      <c r="A1787" s="2070"/>
      <c r="B1787" s="2605"/>
      <c r="C1787" s="2589"/>
      <c r="D1787" s="2719"/>
      <c r="E1787" s="2717"/>
      <c r="F1787" s="2720"/>
      <c r="G1787" s="2244"/>
      <c r="H1787" s="2244"/>
      <c r="I1787" s="2357"/>
    </row>
    <row r="1788" spans="1:9" s="2352" customFormat="1" ht="11.85" customHeight="1">
      <c r="A1788" s="2070"/>
      <c r="B1788" s="2721"/>
      <c r="C1788" s="2589"/>
      <c r="D1788" s="2719"/>
      <c r="E1788" s="2722"/>
      <c r="F1788" s="2720"/>
      <c r="G1788" s="2244"/>
      <c r="H1788" s="2244"/>
      <c r="I1788" s="2357"/>
    </row>
    <row r="1789" spans="1:9" s="2352" customFormat="1" ht="11.85" customHeight="1">
      <c r="A1789" s="2070"/>
      <c r="B1789" s="2723"/>
      <c r="C1789" s="2724"/>
      <c r="D1789" s="2719"/>
      <c r="E1789" s="2725"/>
      <c r="F1789" s="2720"/>
      <c r="G1789" s="2244"/>
      <c r="H1789" s="2244"/>
      <c r="I1789" s="2357"/>
    </row>
    <row r="1790" spans="1:9" s="2352" customFormat="1" ht="11.85" customHeight="1">
      <c r="A1790" s="2070"/>
      <c r="B1790" s="3104"/>
      <c r="C1790" s="3105"/>
      <c r="D1790" s="3106"/>
      <c r="E1790" s="3107"/>
      <c r="F1790" s="3108"/>
      <c r="G1790" s="2244"/>
      <c r="H1790" s="2244"/>
      <c r="I1790" s="2357"/>
    </row>
    <row r="1791" spans="1:9" s="2352" customFormat="1" ht="11.85" customHeight="1">
      <c r="A1791" s="2070"/>
      <c r="B1791" s="2070"/>
      <c r="C1791" s="2093"/>
      <c r="D1791" s="2094"/>
      <c r="E1791" s="2093"/>
      <c r="F1791" s="2093"/>
      <c r="G1791" s="2244"/>
      <c r="H1791" s="2244"/>
      <c r="I1791" s="2357"/>
    </row>
    <row r="1792" spans="1:9" s="2352" customFormat="1" ht="11.85" customHeight="1">
      <c r="A1792" s="2070"/>
      <c r="B1792" s="2505"/>
      <c r="C1792" s="2583"/>
      <c r="D1792" s="2472"/>
      <c r="E1792" s="2472"/>
      <c r="F1792" s="2472"/>
      <c r="G1792" s="2244"/>
      <c r="H1792" s="2244"/>
      <c r="I1792" s="2357"/>
    </row>
    <row r="1793" spans="1:9" s="2352" customFormat="1" ht="11.85" customHeight="1">
      <c r="A1793" s="2070"/>
      <c r="B1793" s="2605"/>
      <c r="C1793" s="2589"/>
      <c r="D1793" s="2716"/>
      <c r="E1793" s="2717"/>
      <c r="F1793" s="2718"/>
      <c r="G1793" s="2244"/>
      <c r="H1793" s="2244"/>
      <c r="I1793" s="2357"/>
    </row>
    <row r="1794" spans="1:9" s="2352" customFormat="1" ht="11.85" customHeight="1">
      <c r="A1794" s="2070"/>
      <c r="B1794" s="2605"/>
      <c r="C1794" s="2589"/>
      <c r="D1794" s="2716"/>
      <c r="E1794" s="2717"/>
      <c r="F1794" s="2718"/>
      <c r="G1794" s="2244"/>
      <c r="H1794" s="2244"/>
      <c r="I1794" s="2357"/>
    </row>
    <row r="1795" spans="1:9" s="2352" customFormat="1" ht="11.85" customHeight="1">
      <c r="A1795" s="2070"/>
      <c r="B1795" s="2427"/>
      <c r="C1795" s="2589"/>
      <c r="D1795" s="2716"/>
      <c r="E1795" s="2717"/>
      <c r="F1795" s="2718"/>
      <c r="G1795" s="2244"/>
      <c r="H1795" s="2244"/>
      <c r="I1795" s="2357"/>
    </row>
    <row r="1796" spans="1:9" s="2352" customFormat="1" ht="11.85" customHeight="1">
      <c r="A1796" s="2070"/>
      <c r="B1796" s="2605"/>
      <c r="C1796" s="2589"/>
      <c r="D1796" s="2719"/>
      <c r="E1796" s="2717"/>
      <c r="F1796" s="2718"/>
      <c r="G1796" s="2244"/>
      <c r="H1796" s="2244"/>
      <c r="I1796" s="2357"/>
    </row>
    <row r="1797" spans="1:9" s="2352" customFormat="1" ht="11.85" customHeight="1">
      <c r="A1797" s="2070"/>
      <c r="B1797" s="2605"/>
      <c r="C1797" s="2589"/>
      <c r="D1797" s="2719"/>
      <c r="E1797" s="3109"/>
      <c r="F1797" s="2720"/>
      <c r="G1797" s="2244"/>
      <c r="H1797" s="2244"/>
      <c r="I1797" s="2357"/>
    </row>
    <row r="1798" spans="1:9" s="2352" customFormat="1" ht="11.85" customHeight="1">
      <c r="A1798" s="2070"/>
      <c r="B1798" s="3104"/>
      <c r="C1798" s="3110"/>
      <c r="D1798" s="3106"/>
      <c r="E1798" s="3107"/>
      <c r="F1798" s="3108"/>
      <c r="G1798" s="2244"/>
      <c r="H1798" s="2244"/>
      <c r="I1798" s="2357"/>
    </row>
    <row r="1799" spans="1:9" s="2352" customFormat="1" ht="11.85" customHeight="1">
      <c r="A1799" s="2070"/>
      <c r="B1799" s="2723"/>
      <c r="C1799" s="2732"/>
      <c r="D1799" s="3111"/>
      <c r="E1799" s="2725"/>
      <c r="F1799" s="3112"/>
      <c r="G1799" s="2244"/>
      <c r="H1799" s="2244"/>
      <c r="I1799" s="2357"/>
    </row>
    <row r="1800" spans="1:9" s="2352" customFormat="1" ht="11.85" customHeight="1">
      <c r="A1800" s="2070"/>
      <c r="B1800" s="2147"/>
      <c r="C1800" s="2250"/>
      <c r="D1800" s="2728"/>
      <c r="E1800" s="2250"/>
      <c r="F1800" s="2250"/>
      <c r="G1800" s="2244"/>
      <c r="H1800" s="2244"/>
      <c r="I1800" s="2357"/>
    </row>
    <row r="1801" spans="1:9" s="2352" customFormat="1" ht="11.85" customHeight="1">
      <c r="A1801" s="2070"/>
      <c r="B1801" s="2147"/>
      <c r="C1801" s="2250"/>
      <c r="D1801" s="2728"/>
      <c r="E1801" s="2250"/>
      <c r="F1801" s="2250"/>
      <c r="G1801" s="2244"/>
      <c r="H1801" s="2244"/>
      <c r="I1801" s="2357"/>
    </row>
    <row r="1802" spans="1:9" s="2352" customFormat="1" ht="11.85" customHeight="1">
      <c r="A1802" s="2070"/>
      <c r="B1802" s="2147"/>
      <c r="C1802" s="2093"/>
      <c r="D1802" s="2094"/>
      <c r="E1802" s="2093"/>
      <c r="F1802" s="2093"/>
      <c r="G1802" s="2244"/>
      <c r="H1802" s="2244"/>
      <c r="I1802" s="2357"/>
    </row>
    <row r="1803" spans="1:9" s="2352" customFormat="1" ht="11.85" customHeight="1">
      <c r="A1803" s="2070"/>
      <c r="B1803" s="2729"/>
      <c r="C1803" s="2589"/>
      <c r="D1803" s="2730"/>
      <c r="E1803" s="2717"/>
      <c r="F1803" s="2718"/>
      <c r="G1803" s="2244"/>
      <c r="H1803" s="2244"/>
      <c r="I1803" s="2357"/>
    </row>
    <row r="1804" spans="1:9" s="2352" customFormat="1" ht="11.85" customHeight="1">
      <c r="A1804" s="2070"/>
      <c r="B1804" s="2731"/>
      <c r="C1804" s="2589"/>
      <c r="D1804" s="2716"/>
      <c r="E1804" s="2717"/>
      <c r="F1804" s="2718"/>
      <c r="G1804" s="2244"/>
      <c r="H1804" s="2244"/>
      <c r="I1804" s="2357"/>
    </row>
    <row r="1805" spans="1:9" s="2352" customFormat="1" ht="11.85" customHeight="1">
      <c r="A1805" s="2070"/>
      <c r="B1805" s="2605"/>
      <c r="C1805" s="2589"/>
      <c r="D1805" s="2719"/>
      <c r="E1805" s="2732"/>
      <c r="F1805" s="2720"/>
      <c r="G1805" s="2244"/>
      <c r="H1805" s="2244"/>
      <c r="I1805" s="2357"/>
    </row>
    <row r="1806" spans="1:9" s="2352" customFormat="1" ht="11.85" customHeight="1">
      <c r="A1806" s="2070"/>
      <c r="B1806" s="2070"/>
      <c r="C1806" s="2093"/>
      <c r="D1806" s="2094"/>
      <c r="E1806" s="2093"/>
      <c r="F1806" s="2093"/>
      <c r="G1806" s="2244"/>
      <c r="H1806" s="2244"/>
      <c r="I1806" s="2357"/>
    </row>
    <row r="1807" spans="1:9" s="2352" customFormat="1" ht="11.85" customHeight="1">
      <c r="A1807" s="2070"/>
      <c r="B1807" s="3113"/>
      <c r="C1807" s="3114"/>
      <c r="D1807" s="3115"/>
      <c r="E1807" s="3114"/>
      <c r="F1807" s="3116"/>
      <c r="G1807" s="2244"/>
      <c r="H1807" s="2244"/>
      <c r="I1807" s="2357"/>
    </row>
    <row r="1808" spans="1:9" s="2352" customFormat="1" ht="11.85" customHeight="1">
      <c r="A1808" s="2070"/>
      <c r="B1808" s="3117"/>
      <c r="C1808" s="3117"/>
      <c r="D1808" s="3118"/>
      <c r="E1808" s="3117"/>
      <c r="F1808" s="3119"/>
      <c r="G1808" s="2244"/>
      <c r="H1808" s="2244"/>
      <c r="I1808" s="2357"/>
    </row>
    <row r="1809" spans="1:9" s="2352" customFormat="1" ht="11.85" customHeight="1">
      <c r="A1809" s="2070"/>
      <c r="B1809" s="3120"/>
      <c r="C1809" s="3117"/>
      <c r="D1809" s="3118"/>
      <c r="E1809" s="3117"/>
      <c r="F1809" s="3119"/>
      <c r="G1809" s="2244"/>
      <c r="H1809" s="2244"/>
      <c r="I1809" s="2357"/>
    </row>
    <row r="1810" spans="1:9" s="2352" customFormat="1" ht="11.85" customHeight="1">
      <c r="A1810" s="2070"/>
      <c r="B1810" s="3117"/>
      <c r="C1810" s="3117"/>
      <c r="D1810" s="3118"/>
      <c r="E1810" s="3117"/>
      <c r="F1810" s="3119"/>
      <c r="G1810" s="2244"/>
      <c r="H1810" s="2244"/>
      <c r="I1810" s="2357"/>
    </row>
    <row r="1811" spans="1:9" s="2352" customFormat="1" ht="11.85" customHeight="1">
      <c r="A1811" s="2070"/>
      <c r="B1811" s="3120"/>
      <c r="C1811" s="3117"/>
      <c r="D1811" s="3118"/>
      <c r="E1811" s="3117"/>
      <c r="F1811" s="3119"/>
      <c r="G1811" s="2244"/>
      <c r="H1811" s="2244"/>
      <c r="I1811" s="2357"/>
    </row>
    <row r="1812" spans="1:9" s="2352" customFormat="1" ht="11.85" customHeight="1">
      <c r="A1812" s="2070"/>
      <c r="B1812" s="3117"/>
      <c r="C1812" s="3117"/>
      <c r="D1812" s="3118"/>
      <c r="E1812" s="3117"/>
      <c r="F1812" s="3119"/>
      <c r="G1812" s="2244"/>
      <c r="H1812" s="2244"/>
      <c r="I1812" s="2357"/>
    </row>
    <row r="1813" spans="1:9" s="2352" customFormat="1" ht="11.85" customHeight="1">
      <c r="A1813" s="2070"/>
      <c r="B1813" s="3117"/>
      <c r="C1813" s="3121"/>
      <c r="D1813" s="3121"/>
      <c r="E1813" s="3117"/>
      <c r="F1813" s="3119"/>
      <c r="G1813" s="2244"/>
      <c r="H1813" s="2244"/>
      <c r="I1813" s="2357"/>
    </row>
    <row r="1814" spans="1:9" s="2352" customFormat="1" ht="11.85" customHeight="1">
      <c r="A1814" s="2070"/>
      <c r="B1814" s="3117"/>
      <c r="C1814" s="3122"/>
      <c r="D1814" s="3122"/>
      <c r="E1814" s="3122"/>
      <c r="F1814" s="3119"/>
      <c r="G1814" s="2244"/>
      <c r="H1814" s="2244"/>
      <c r="I1814" s="2357"/>
    </row>
    <row r="1815" spans="1:9" s="2352" customFormat="1" ht="11.85" customHeight="1">
      <c r="A1815" s="2070"/>
      <c r="B1815" s="3114"/>
      <c r="C1815" s="4911"/>
      <c r="D1815" s="4912"/>
      <c r="E1815" s="4913"/>
      <c r="F1815" s="3119"/>
      <c r="G1815" s="2244"/>
      <c r="H1815" s="2244"/>
      <c r="I1815" s="2357"/>
    </row>
    <row r="1816" spans="1:9" s="2352" customFormat="1" ht="11.85" customHeight="1">
      <c r="A1816" s="2070"/>
      <c r="B1816" s="3114"/>
      <c r="C1816" s="4911"/>
      <c r="D1816" s="4912"/>
      <c r="E1816" s="4913"/>
      <c r="F1816" s="3119"/>
      <c r="G1816" s="2244"/>
      <c r="H1816" s="2244"/>
      <c r="I1816" s="2357"/>
    </row>
    <row r="1817" spans="1:9" s="2352" customFormat="1" ht="11.85" customHeight="1">
      <c r="A1817" s="2070"/>
      <c r="B1817" s="3114"/>
      <c r="C1817" s="4914"/>
      <c r="D1817" s="4915"/>
      <c r="E1817" s="4916"/>
      <c r="F1817" s="3123"/>
      <c r="G1817" s="2244"/>
      <c r="H1817" s="2244"/>
      <c r="I1817" s="2357"/>
    </row>
    <row r="1818" spans="1:9" s="2352" customFormat="1" ht="11.85" customHeight="1">
      <c r="A1818" s="2070"/>
      <c r="B1818" s="8"/>
      <c r="C1818" s="4914"/>
      <c r="D1818" s="4915"/>
      <c r="E1818" s="4916"/>
      <c r="F1818" s="3123"/>
      <c r="G1818" s="2244"/>
      <c r="H1818" s="2244"/>
      <c r="I1818" s="2357"/>
    </row>
    <row r="1819" spans="1:9" s="2352" customFormat="1" ht="11.85" customHeight="1">
      <c r="A1819" s="2070"/>
      <c r="B1819" s="8"/>
      <c r="C1819" s="3124"/>
      <c r="D1819" s="3124"/>
      <c r="E1819" s="3124"/>
      <c r="F1819" s="3125"/>
      <c r="G1819" s="2244"/>
      <c r="H1819" s="2244"/>
      <c r="I1819" s="2357"/>
    </row>
    <row r="1820" spans="1:9" s="2352" customFormat="1" ht="11.85" customHeight="1">
      <c r="A1820" s="2070"/>
      <c r="B1820" s="2505"/>
      <c r="C1820" s="2583"/>
      <c r="D1820" s="2472"/>
      <c r="E1820" s="2472"/>
      <c r="F1820" s="2472"/>
      <c r="G1820" s="2244"/>
      <c r="H1820" s="2244"/>
      <c r="I1820" s="2357"/>
    </row>
    <row r="1821" spans="1:9" s="2352" customFormat="1" ht="11.85" customHeight="1">
      <c r="A1821" s="2070"/>
      <c r="B1821" s="2427"/>
      <c r="C1821" s="2589"/>
      <c r="D1821" s="2716"/>
      <c r="E1821" s="2717"/>
      <c r="F1821" s="2718"/>
      <c r="G1821" s="2244"/>
      <c r="H1821" s="2244"/>
      <c r="I1821" s="2357"/>
    </row>
    <row r="1822" spans="1:9" s="2352" customFormat="1" ht="11.85" customHeight="1">
      <c r="A1822" s="2070"/>
      <c r="B1822" s="2427"/>
      <c r="C1822" s="2589"/>
      <c r="D1822" s="2716"/>
      <c r="E1822" s="2717"/>
      <c r="F1822" s="2718"/>
      <c r="G1822" s="2244"/>
      <c r="H1822" s="2244"/>
      <c r="I1822" s="2357"/>
    </row>
    <row r="1823" spans="1:9" s="2352" customFormat="1" ht="11.85" customHeight="1">
      <c r="A1823" s="2070"/>
      <c r="B1823" s="2605"/>
      <c r="C1823" s="2589"/>
      <c r="D1823" s="2719"/>
      <c r="E1823" s="2717"/>
      <c r="F1823" s="2718"/>
      <c r="G1823" s="2244"/>
      <c r="H1823" s="2244"/>
      <c r="I1823" s="2357"/>
    </row>
    <row r="1824" spans="1:9" s="2352" customFormat="1" ht="11.85" customHeight="1">
      <c r="A1824" s="2070"/>
      <c r="B1824" s="2605"/>
      <c r="C1824" s="2589"/>
      <c r="D1824" s="2719"/>
      <c r="E1824" s="3109"/>
      <c r="F1824" s="2720"/>
      <c r="G1824" s="2244"/>
      <c r="H1824" s="2244"/>
      <c r="I1824" s="2357"/>
    </row>
    <row r="1825" spans="1:9" s="2352" customFormat="1" ht="11.85" customHeight="1">
      <c r="A1825" s="2070"/>
      <c r="B1825" s="3104"/>
      <c r="C1825" s="3110"/>
      <c r="D1825" s="3106"/>
      <c r="E1825" s="3107"/>
      <c r="F1825" s="3108"/>
      <c r="G1825" s="2244"/>
      <c r="H1825" s="2244"/>
      <c r="I1825" s="2357"/>
    </row>
    <row r="1826" spans="1:9" s="2352" customFormat="1" ht="11.85" customHeight="1">
      <c r="A1826" s="2070"/>
      <c r="B1826" s="2723"/>
      <c r="C1826" s="2732"/>
      <c r="D1826" s="3111"/>
      <c r="E1826" s="2725"/>
      <c r="F1826" s="3112"/>
      <c r="G1826" s="2244"/>
      <c r="H1826" s="2244"/>
      <c r="I1826" s="2357"/>
    </row>
    <row r="1827" spans="1:9" s="2352" customFormat="1" ht="11.85" customHeight="1">
      <c r="A1827" s="2070"/>
      <c r="B1827" s="2244"/>
      <c r="C1827" s="2244"/>
      <c r="D1827" s="2244"/>
      <c r="E1827" s="2244"/>
      <c r="F1827" s="2244"/>
      <c r="G1827" s="2244"/>
      <c r="H1827" s="2244"/>
      <c r="I1827" s="2357"/>
    </row>
    <row r="1828" spans="1:9" s="2352" customFormat="1" ht="11.85" customHeight="1">
      <c r="A1828" s="2070"/>
      <c r="B1828" s="2244"/>
      <c r="C1828" s="2244"/>
      <c r="D1828" s="2244"/>
      <c r="E1828" s="2244"/>
      <c r="F1828" s="2244"/>
      <c r="G1828" s="2244"/>
      <c r="H1828" s="2244"/>
      <c r="I1828" s="2357"/>
    </row>
    <row r="1829" spans="1:9" s="2352" customFormat="1" ht="11.85" customHeight="1">
      <c r="A1829" s="2070"/>
      <c r="B1829" s="2505"/>
      <c r="C1829" s="2583"/>
      <c r="D1829" s="2472"/>
      <c r="E1829" s="2472"/>
      <c r="F1829" s="2472"/>
      <c r="G1829" s="2244"/>
      <c r="H1829" s="2244"/>
      <c r="I1829" s="2357"/>
    </row>
    <row r="1830" spans="1:9" s="2352" customFormat="1" ht="11.85" customHeight="1">
      <c r="A1830" s="2070"/>
      <c r="B1830" s="2605"/>
      <c r="C1830" s="2589"/>
      <c r="D1830" s="2716"/>
      <c r="E1830" s="2717"/>
      <c r="F1830" s="2718"/>
      <c r="G1830" s="2244"/>
      <c r="H1830" s="2244"/>
      <c r="I1830" s="2357"/>
    </row>
    <row r="1831" spans="1:9" s="2352" customFormat="1" ht="11.85" customHeight="1">
      <c r="A1831" s="2070"/>
      <c r="B1831" s="2605"/>
      <c r="C1831" s="2589"/>
      <c r="D1831" s="2716"/>
      <c r="E1831" s="2717"/>
      <c r="F1831" s="2718"/>
      <c r="G1831" s="2244"/>
      <c r="H1831" s="2244"/>
      <c r="I1831" s="2357"/>
    </row>
    <row r="1832" spans="1:9" s="2352" customFormat="1" ht="11.85" customHeight="1">
      <c r="A1832" s="2070"/>
      <c r="B1832" s="2427"/>
      <c r="C1832" s="2589"/>
      <c r="D1832" s="2716"/>
      <c r="E1832" s="2717"/>
      <c r="F1832" s="2718"/>
      <c r="G1832" s="2244"/>
      <c r="H1832" s="2244"/>
      <c r="I1832" s="2357"/>
    </row>
    <row r="1833" spans="1:9" s="2352" customFormat="1" ht="11.85" customHeight="1">
      <c r="A1833" s="2070"/>
      <c r="B1833" s="2605"/>
      <c r="C1833" s="2589"/>
      <c r="D1833" s="2719"/>
      <c r="E1833" s="2717"/>
      <c r="F1833" s="2718"/>
      <c r="G1833" s="2244"/>
      <c r="H1833" s="2244"/>
      <c r="I1833" s="2357"/>
    </row>
    <row r="1834" spans="1:9" s="2352" customFormat="1" ht="11.85" customHeight="1">
      <c r="A1834" s="2070"/>
      <c r="B1834" s="2605"/>
      <c r="C1834" s="2589"/>
      <c r="D1834" s="2719"/>
      <c r="E1834" s="3109"/>
      <c r="F1834" s="2720"/>
      <c r="G1834" s="2244"/>
      <c r="H1834" s="2244"/>
      <c r="I1834" s="2357"/>
    </row>
    <row r="1835" spans="1:9" s="2352" customFormat="1" ht="11.85" customHeight="1">
      <c r="A1835" s="2070"/>
      <c r="B1835" s="3104"/>
      <c r="C1835" s="3105"/>
      <c r="D1835" s="3106"/>
      <c r="E1835" s="3107"/>
      <c r="F1835" s="3108"/>
      <c r="G1835" s="2244"/>
      <c r="H1835" s="2244"/>
      <c r="I1835" s="2357"/>
    </row>
    <row r="1836" spans="1:9" s="2352" customFormat="1" ht="11.85" customHeight="1">
      <c r="A1836" s="2070"/>
      <c r="B1836" s="2505"/>
      <c r="C1836" s="2583"/>
      <c r="D1836" s="2472"/>
      <c r="E1836" s="2472"/>
      <c r="F1836" s="2472"/>
      <c r="G1836" s="2244"/>
      <c r="H1836" s="2244"/>
      <c r="I1836" s="2357"/>
    </row>
    <row r="1837" spans="1:9" s="2352" customFormat="1" ht="11.85" customHeight="1">
      <c r="A1837" s="2070"/>
      <c r="B1837" s="2605"/>
      <c r="C1837" s="2589"/>
      <c r="D1837" s="2716"/>
      <c r="E1837" s="2717"/>
      <c r="F1837" s="2718"/>
      <c r="G1837" s="2244"/>
      <c r="H1837" s="2244"/>
      <c r="I1837" s="2357"/>
    </row>
    <row r="1838" spans="1:9" s="2352" customFormat="1" ht="11.85" customHeight="1">
      <c r="A1838" s="2070"/>
      <c r="B1838" s="2605"/>
      <c r="C1838" s="2589"/>
      <c r="D1838" s="2716"/>
      <c r="E1838" s="2717"/>
      <c r="F1838" s="2718"/>
      <c r="G1838" s="2244"/>
      <c r="H1838" s="2244"/>
      <c r="I1838" s="2357"/>
    </row>
    <row r="1839" spans="1:9" s="2352" customFormat="1" ht="11.85" customHeight="1">
      <c r="A1839" s="2070"/>
      <c r="B1839" s="2427"/>
      <c r="C1839" s="2589"/>
      <c r="D1839" s="2716"/>
      <c r="E1839" s="2717"/>
      <c r="F1839" s="2718"/>
      <c r="G1839" s="2244"/>
      <c r="H1839" s="2244"/>
      <c r="I1839" s="2357"/>
    </row>
    <row r="1840" spans="1:9" s="2352" customFormat="1" ht="11.85" customHeight="1">
      <c r="A1840" s="2070"/>
      <c r="B1840" s="2605"/>
      <c r="C1840" s="2589"/>
      <c r="D1840" s="2719"/>
      <c r="E1840" s="2717"/>
      <c r="F1840" s="2718"/>
      <c r="G1840" s="2244"/>
      <c r="H1840" s="2244"/>
      <c r="I1840" s="2357"/>
    </row>
    <row r="1841" spans="1:9" s="2352" customFormat="1" ht="11.85" customHeight="1">
      <c r="A1841" s="2070"/>
      <c r="B1841" s="2605"/>
      <c r="C1841" s="2589"/>
      <c r="D1841" s="2719"/>
      <c r="E1841" s="3109"/>
      <c r="F1841" s="2720"/>
      <c r="G1841" s="2244"/>
      <c r="H1841" s="2244"/>
      <c r="I1841" s="2357"/>
    </row>
    <row r="1842" spans="1:9" s="2352" customFormat="1" ht="11.85" customHeight="1">
      <c r="A1842" s="2070"/>
      <c r="B1842" s="2472"/>
      <c r="C1842" s="2473"/>
      <c r="D1842" s="2474"/>
      <c r="E1842" s="2475"/>
      <c r="F1842" s="2475"/>
      <c r="G1842" s="2244"/>
      <c r="H1842" s="2244"/>
      <c r="I1842" s="2357"/>
    </row>
    <row r="1843" spans="1:9" s="2352" customFormat="1" ht="11.85" customHeight="1">
      <c r="A1843" s="2070"/>
      <c r="B1843" s="2472"/>
      <c r="C1843" s="2473"/>
      <c r="D1843" s="2474"/>
      <c r="E1843" s="2475"/>
      <c r="F1843" s="2475"/>
      <c r="G1843" s="2244"/>
      <c r="H1843" s="2244"/>
      <c r="I1843" s="2357"/>
    </row>
    <row r="1844" spans="1:9" s="2352" customFormat="1" ht="11.85" customHeight="1" thickBot="1">
      <c r="A1844" s="2070"/>
      <c r="B1844" s="2476"/>
      <c r="C1844" s="2477"/>
      <c r="D1844" s="2477"/>
      <c r="E1844" s="2477"/>
      <c r="F1844" s="2477"/>
      <c r="G1844" s="2244"/>
      <c r="H1844" s="2244"/>
      <c r="I1844" s="2357"/>
    </row>
    <row r="1845" spans="1:9" s="2352" customFormat="1" ht="11.85" customHeight="1" thickTop="1">
      <c r="A1845" s="2070"/>
      <c r="B1845" s="2478"/>
      <c r="C1845" s="2479"/>
      <c r="D1845" s="2480"/>
      <c r="E1845" s="2481"/>
      <c r="F1845" s="2482"/>
      <c r="G1845" s="2244"/>
      <c r="H1845" s="2244"/>
      <c r="I1845" s="2357"/>
    </row>
    <row r="1846" spans="1:9" s="2352" customFormat="1" ht="11.85" customHeight="1">
      <c r="A1846" s="2070"/>
      <c r="B1846" s="2483"/>
      <c r="C1846" s="2484"/>
      <c r="D1846" s="2485"/>
      <c r="E1846" s="2484"/>
      <c r="F1846" s="2486"/>
      <c r="G1846" s="2244"/>
      <c r="H1846" s="2244"/>
      <c r="I1846" s="2357"/>
    </row>
    <row r="1847" spans="1:9" s="2352" customFormat="1" ht="11.85" customHeight="1">
      <c r="A1847" s="2070"/>
      <c r="B1847" s="2483"/>
      <c r="C1847" s="2484"/>
      <c r="D1847" s="2485"/>
      <c r="E1847" s="2484"/>
      <c r="F1847" s="2486"/>
      <c r="G1847" s="2244"/>
      <c r="H1847" s="2244"/>
      <c r="I1847" s="2357"/>
    </row>
    <row r="1848" spans="1:9" s="2352" customFormat="1" ht="11.85" customHeight="1">
      <c r="A1848" s="2070"/>
      <c r="B1848" s="2483"/>
      <c r="C1848" s="2484"/>
      <c r="D1848" s="2487"/>
      <c r="E1848" s="2488"/>
      <c r="F1848" s="2486"/>
      <c r="G1848" s="2244"/>
      <c r="H1848" s="2244"/>
      <c r="I1848" s="2357"/>
    </row>
    <row r="1849" spans="1:9" s="2352" customFormat="1" ht="11.85" customHeight="1" thickBot="1">
      <c r="A1849" s="2070"/>
      <c r="B1849" s="2489"/>
      <c r="C1849" s="2490"/>
      <c r="D1849" s="2490"/>
      <c r="E1849" s="2491"/>
      <c r="F1849" s="2492"/>
      <c r="G1849" s="2244"/>
      <c r="H1849" s="2244"/>
      <c r="I1849" s="2357"/>
    </row>
    <row r="1850" spans="1:9" s="2352" customFormat="1" ht="11.85" customHeight="1" thickTop="1" thickBot="1">
      <c r="A1850" s="2070"/>
      <c r="B1850" s="2476"/>
      <c r="C1850" s="2477"/>
      <c r="D1850" s="2477"/>
      <c r="E1850" s="2477"/>
      <c r="F1850" s="2477"/>
      <c r="G1850" s="2244"/>
      <c r="H1850" s="2244"/>
      <c r="I1850" s="2357"/>
    </row>
    <row r="1851" spans="1:9" s="2352" customFormat="1" ht="11.85" customHeight="1" thickTop="1">
      <c r="A1851" s="2070"/>
      <c r="B1851" s="2478"/>
      <c r="C1851" s="2479"/>
      <c r="D1851" s="2480"/>
      <c r="E1851" s="2481"/>
      <c r="F1851" s="2482"/>
      <c r="G1851" s="2244"/>
      <c r="H1851" s="2244"/>
      <c r="I1851" s="2357"/>
    </row>
    <row r="1852" spans="1:9" s="2352" customFormat="1" ht="11.85" customHeight="1">
      <c r="A1852" s="2070"/>
      <c r="B1852" s="2483"/>
      <c r="C1852" s="2484"/>
      <c r="D1852" s="2485"/>
      <c r="E1852" s="2484"/>
      <c r="F1852" s="2486"/>
      <c r="G1852" s="2244"/>
      <c r="H1852" s="2244"/>
      <c r="I1852" s="2357"/>
    </row>
    <row r="1853" spans="1:9" s="2352" customFormat="1" ht="11.85" customHeight="1">
      <c r="A1853" s="2070"/>
      <c r="B1853" s="2483"/>
      <c r="C1853" s="2484"/>
      <c r="D1853" s="2485"/>
      <c r="E1853" s="2484"/>
      <c r="F1853" s="2486"/>
      <c r="G1853" s="2244"/>
      <c r="H1853" s="2244"/>
      <c r="I1853" s="2357"/>
    </row>
    <row r="1854" spans="1:9" s="2352" customFormat="1" ht="11.85" customHeight="1">
      <c r="A1854" s="2070"/>
      <c r="B1854" s="2483"/>
      <c r="C1854" s="2484"/>
      <c r="D1854" s="2487"/>
      <c r="E1854" s="2488"/>
      <c r="F1854" s="2486"/>
      <c r="G1854" s="2244"/>
      <c r="H1854" s="2244"/>
      <c r="I1854" s="2357"/>
    </row>
    <row r="1855" spans="1:9" s="2352" customFormat="1" ht="11.85" customHeight="1" thickBot="1">
      <c r="A1855" s="2070"/>
      <c r="B1855" s="2489"/>
      <c r="C1855" s="2490"/>
      <c r="D1855" s="2490"/>
      <c r="E1855" s="2491"/>
      <c r="F1855" s="2492"/>
      <c r="G1855" s="2244"/>
      <c r="H1855" s="2244"/>
      <c r="I1855" s="2357"/>
    </row>
    <row r="1856" spans="1:9" s="2352" customFormat="1" ht="11.85" customHeight="1" thickTop="1">
      <c r="A1856" s="2070"/>
      <c r="B1856" s="2493"/>
      <c r="C1856" s="2494"/>
      <c r="D1856" s="2494"/>
      <c r="E1856" s="2494"/>
      <c r="F1856" s="2494"/>
      <c r="G1856" s="2244"/>
      <c r="H1856" s="2244"/>
      <c r="I1856" s="2357"/>
    </row>
    <row r="1857" spans="1:9" s="2352" customFormat="1" ht="11.85" customHeight="1">
      <c r="A1857" s="2070"/>
      <c r="B1857" s="2495"/>
      <c r="C1857" s="2496"/>
      <c r="D1857" s="2496"/>
      <c r="E1857" s="2497"/>
      <c r="F1857" s="2498"/>
      <c r="G1857" s="2244"/>
      <c r="H1857" s="2244"/>
      <c r="I1857" s="2357"/>
    </row>
    <row r="1858" spans="1:9" s="2352" customFormat="1" ht="11.85" customHeight="1">
      <c r="A1858" s="2070"/>
      <c r="B1858" s="2499"/>
      <c r="C1858" s="2498"/>
      <c r="D1858" s="2500"/>
      <c r="E1858" s="2500"/>
      <c r="F1858" s="2501"/>
      <c r="G1858" s="2244"/>
      <c r="H1858" s="2244"/>
      <c r="I1858" s="2357"/>
    </row>
    <row r="1859" spans="1:9" s="2352" customFormat="1" ht="11.85" customHeight="1">
      <c r="A1859" s="2070"/>
      <c r="B1859" s="2502"/>
      <c r="C1859" s="2503"/>
      <c r="D1859" s="2504"/>
      <c r="E1859" s="2503"/>
      <c r="F1859" s="2503"/>
      <c r="G1859" s="2244"/>
      <c r="H1859" s="2244"/>
      <c r="I1859" s="2357"/>
    </row>
    <row r="1860" spans="1:9" s="2352" customFormat="1" ht="11.85" customHeight="1" thickBot="1">
      <c r="A1860" s="2070"/>
      <c r="B1860" s="2476"/>
      <c r="C1860" s="2477"/>
      <c r="D1860" s="2477"/>
      <c r="E1860" s="2477"/>
      <c r="F1860" s="2477"/>
      <c r="G1860" s="2244"/>
      <c r="H1860" s="2244"/>
      <c r="I1860" s="2357"/>
    </row>
    <row r="1861" spans="1:9" s="2352" customFormat="1" ht="11.85" customHeight="1" thickTop="1">
      <c r="A1861" s="2070"/>
      <c r="B1861" s="2478"/>
      <c r="C1861" s="2479"/>
      <c r="D1861" s="2480"/>
      <c r="E1861" s="2481"/>
      <c r="F1861" s="2482"/>
      <c r="G1861" s="2244"/>
      <c r="H1861" s="2244"/>
      <c r="I1861" s="2357"/>
    </row>
    <row r="1862" spans="1:9" s="2352" customFormat="1" ht="11.85" customHeight="1">
      <c r="A1862" s="2070"/>
      <c r="B1862" s="2483"/>
      <c r="C1862" s="2484"/>
      <c r="D1862" s="2485"/>
      <c r="E1862" s="2484"/>
      <c r="F1862" s="2486"/>
      <c r="G1862" s="2244"/>
      <c r="H1862" s="2244"/>
      <c r="I1862" s="2357"/>
    </row>
    <row r="1863" spans="1:9" s="2352" customFormat="1" ht="11.85" customHeight="1">
      <c r="A1863" s="2070"/>
      <c r="B1863" s="2483"/>
      <c r="C1863" s="2484"/>
      <c r="D1863" s="2485"/>
      <c r="E1863" s="2484"/>
      <c r="F1863" s="2486"/>
      <c r="G1863" s="2244"/>
      <c r="H1863" s="2244"/>
      <c r="I1863" s="2357"/>
    </row>
    <row r="1864" spans="1:9" s="2352" customFormat="1" ht="11.85" customHeight="1">
      <c r="A1864" s="2070"/>
      <c r="B1864" s="2483"/>
      <c r="C1864" s="2484"/>
      <c r="D1864" s="2487"/>
      <c r="E1864" s="2488"/>
      <c r="F1864" s="2486"/>
      <c r="G1864" s="2244"/>
      <c r="H1864" s="2244"/>
      <c r="I1864" s="2357"/>
    </row>
    <row r="1865" spans="1:9" s="2352" customFormat="1" ht="11.85" customHeight="1" thickBot="1">
      <c r="A1865" s="2070"/>
      <c r="B1865" s="2489"/>
      <c r="C1865" s="2490"/>
      <c r="D1865" s="2490"/>
      <c r="E1865" s="2491"/>
      <c r="F1865" s="2492"/>
      <c r="G1865" s="2244"/>
      <c r="H1865" s="2244"/>
      <c r="I1865" s="2357"/>
    </row>
    <row r="1866" spans="1:9" s="2352" customFormat="1" ht="11.85" customHeight="1" thickTop="1">
      <c r="A1866" s="2070"/>
      <c r="B1866" s="2505"/>
      <c r="C1866" s="2473"/>
      <c r="D1866" s="2474"/>
      <c r="E1866" s="2473"/>
      <c r="F1866" s="2473"/>
      <c r="G1866" s="2244"/>
      <c r="H1866" s="2244"/>
      <c r="I1866" s="2357"/>
    </row>
    <row r="1867" spans="1:9" s="2352" customFormat="1" ht="11.85" customHeight="1">
      <c r="A1867" s="2070"/>
      <c r="B1867" s="2244"/>
      <c r="C1867" s="2244"/>
      <c r="D1867" s="2244"/>
      <c r="E1867" s="2244"/>
      <c r="F1867" s="2244"/>
      <c r="G1867" s="2244"/>
      <c r="H1867" s="2244"/>
      <c r="I1867" s="2357"/>
    </row>
    <row r="1868" spans="1:9" s="2352" customFormat="1" ht="11.85" customHeight="1">
      <c r="A1868" s="2070"/>
      <c r="B1868" s="2244"/>
      <c r="C1868" s="2244"/>
      <c r="D1868" s="2244"/>
      <c r="E1868" s="2244"/>
      <c r="F1868" s="2244"/>
      <c r="G1868" s="2244"/>
      <c r="H1868" s="2244"/>
      <c r="I1868" s="2357"/>
    </row>
  </sheetData>
  <customSheetViews>
    <customSheetView guid="{43BC9397-3E8C-478C-B548-E4A845A7F82B}" hiddenRows="1" state="hidden">
      <selection sqref="A1:F1"/>
      <pageMargins left="0.7" right="0.7" top="0.75" bottom="0.75" header="0.3" footer="0.3"/>
      <pageSetup paperSize="9" orientation="portrait" horizontalDpi="2400" verticalDpi="2400" r:id="rId1"/>
      <headerFooter>
        <oddFooter>1</oddFooter>
      </headerFooter>
    </customSheetView>
  </customSheetViews>
  <mergeCells count="36">
    <mergeCell ref="C661:E661"/>
    <mergeCell ref="B617:F617"/>
    <mergeCell ref="B1482:F1482"/>
    <mergeCell ref="B1606:F1606"/>
    <mergeCell ref="C1815:E1815"/>
    <mergeCell ref="C679:E679"/>
    <mergeCell ref="B780:F780"/>
    <mergeCell ref="C860:E860"/>
    <mergeCell ref="C889:E889"/>
    <mergeCell ref="C903:E903"/>
    <mergeCell ref="C930:E930"/>
    <mergeCell ref="C1816:E1816"/>
    <mergeCell ref="C1817:E1817"/>
    <mergeCell ref="C1818:E1818"/>
    <mergeCell ref="C931:E931"/>
    <mergeCell ref="C940:E940"/>
    <mergeCell ref="C941:E941"/>
    <mergeCell ref="C942:E942"/>
    <mergeCell ref="B1181:F1181"/>
    <mergeCell ref="B1480:F1480"/>
    <mergeCell ref="B268:F268"/>
    <mergeCell ref="B368:E368"/>
    <mergeCell ref="B369:E369"/>
    <mergeCell ref="B405:F405"/>
    <mergeCell ref="B12:F12"/>
    <mergeCell ref="B56:F56"/>
    <mergeCell ref="B94:F94"/>
    <mergeCell ref="B146:F146"/>
    <mergeCell ref="D213:E213"/>
    <mergeCell ref="D214:E214"/>
    <mergeCell ref="B9:D9"/>
    <mergeCell ref="A1:F1"/>
    <mergeCell ref="A2:F2"/>
    <mergeCell ref="A3:F3"/>
    <mergeCell ref="A4:F4"/>
    <mergeCell ref="B7:D7"/>
  </mergeCells>
  <dataValidations disablePrompts="1" count="2">
    <dataValidation type="list" allowBlank="1" showInputMessage="1" showErrorMessage="1" sqref="B8">
      <formula1>$IS$2:$IS$33</formula1>
    </dataValidation>
    <dataValidation type="list" allowBlank="1" showInputMessage="1" showErrorMessage="1" sqref="E1094">
      <formula1>$V$1097:$V$1098</formula1>
    </dataValidation>
  </dataValidations>
  <pageMargins left="0.7" right="0.7" top="0.75" bottom="0.75" header="0.3" footer="0.3"/>
  <pageSetup paperSize="9" orientation="portrait" horizontalDpi="2400" verticalDpi="2400" r:id="rId2"/>
  <headerFooter>
    <oddFooter>1</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2:J1408"/>
  <sheetViews>
    <sheetView topLeftCell="A745" workbookViewId="0">
      <selection activeCell="F803" sqref="F803"/>
    </sheetView>
  </sheetViews>
  <sheetFormatPr baseColWidth="10" defaultColWidth="11.42578125" defaultRowHeight="12.75"/>
  <cols>
    <col min="1" max="1" width="4" customWidth="1"/>
    <col min="2" max="2" width="46"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1545</v>
      </c>
      <c r="C5" t="s">
        <v>1026</v>
      </c>
      <c r="D5">
        <v>1</v>
      </c>
      <c r="E5">
        <v>271.02</v>
      </c>
      <c r="F5">
        <f t="shared" si="0"/>
        <v>271.02</v>
      </c>
    </row>
    <row r="6" spans="2:6">
      <c r="B6" t="s">
        <v>1027</v>
      </c>
      <c r="C6" t="s">
        <v>2</v>
      </c>
      <c r="D6">
        <v>1</v>
      </c>
      <c r="E6">
        <v>1100</v>
      </c>
      <c r="F6">
        <f t="shared" si="0"/>
        <v>1100</v>
      </c>
    </row>
    <row r="7" spans="2:6">
      <c r="B7" t="s">
        <v>1028</v>
      </c>
      <c r="C7" t="s">
        <v>2</v>
      </c>
      <c r="D7">
        <v>1</v>
      </c>
      <c r="E7">
        <v>1200</v>
      </c>
      <c r="F7">
        <f t="shared" si="0"/>
        <v>1200</v>
      </c>
    </row>
    <row r="8" spans="2:6" ht="24" customHeight="1">
      <c r="B8" t="s">
        <v>1029</v>
      </c>
      <c r="C8" t="s">
        <v>2</v>
      </c>
      <c r="D8">
        <v>1</v>
      </c>
      <c r="E8">
        <v>1100</v>
      </c>
      <c r="F8">
        <f t="shared" si="0"/>
        <v>1100</v>
      </c>
    </row>
    <row r="9" spans="2:6">
      <c r="B9" t="s">
        <v>1546</v>
      </c>
      <c r="C9" t="s">
        <v>127</v>
      </c>
      <c r="D9">
        <v>1</v>
      </c>
      <c r="E9">
        <v>1</v>
      </c>
      <c r="F9">
        <f t="shared" si="0"/>
        <v>1</v>
      </c>
    </row>
    <row r="10" spans="2:6">
      <c r="B10" t="s">
        <v>8</v>
      </c>
      <c r="C10" t="s">
        <v>127</v>
      </c>
      <c r="D10">
        <v>1</v>
      </c>
      <c r="E10">
        <v>12.5</v>
      </c>
      <c r="F10">
        <f t="shared" si="0"/>
        <v>12.5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B20" t="s">
        <v>131</v>
      </c>
      <c r="C20" t="s">
        <v>2</v>
      </c>
      <c r="D20">
        <v>1</v>
      </c>
      <c r="E20">
        <v>15</v>
      </c>
      <c r="F20">
        <f>E20*D20</f>
        <v>15</v>
      </c>
    </row>
    <row r="21" spans="2:6">
      <c r="C21" t="s">
        <v>315</v>
      </c>
      <c r="F21">
        <f>SUM(F19:F20)</f>
        <v>1215</v>
      </c>
    </row>
    <row r="23" spans="2:6">
      <c r="B23" t="s">
        <v>1030</v>
      </c>
    </row>
    <row r="24" spans="2:6">
      <c r="B24" t="s">
        <v>1547</v>
      </c>
      <c r="C24" t="s">
        <v>2</v>
      </c>
      <c r="D24">
        <v>1.02</v>
      </c>
      <c r="E24">
        <v>7995</v>
      </c>
      <c r="F24">
        <f>E24*D24</f>
        <v>8154.9</v>
      </c>
    </row>
    <row r="25" spans="2:6">
      <c r="E25" t="s">
        <v>1031</v>
      </c>
      <c r="F25">
        <f>SUM(F24:F24)</f>
        <v>8154.9</v>
      </c>
    </row>
    <row r="27" spans="2:6">
      <c r="B27" t="s">
        <v>1032</v>
      </c>
    </row>
    <row r="28" spans="2:6">
      <c r="B28" t="s">
        <v>122</v>
      </c>
      <c r="C28" t="s">
        <v>2</v>
      </c>
      <c r="D28">
        <v>0.45</v>
      </c>
      <c r="E28">
        <f>+F16</f>
        <v>1115</v>
      </c>
      <c r="F28">
        <f>E28*D28</f>
        <v>501.75</v>
      </c>
    </row>
    <row r="29" spans="2:6">
      <c r="B29" t="s">
        <v>124</v>
      </c>
      <c r="C29" t="s">
        <v>2</v>
      </c>
      <c r="D29">
        <v>0.9</v>
      </c>
      <c r="E29">
        <f>+F21</f>
        <v>1215</v>
      </c>
      <c r="F29">
        <f>E29*D29</f>
        <v>1093.5</v>
      </c>
    </row>
    <row r="30" spans="2:6">
      <c r="B30" t="s">
        <v>142</v>
      </c>
      <c r="C30" t="s">
        <v>1026</v>
      </c>
      <c r="D30">
        <v>13</v>
      </c>
      <c r="E30">
        <f>+F4</f>
        <v>325</v>
      </c>
      <c r="F30">
        <f>E30*D30</f>
        <v>4225</v>
      </c>
    </row>
    <row r="31" spans="2:6">
      <c r="B31" t="s">
        <v>117</v>
      </c>
      <c r="C31" t="s">
        <v>118</v>
      </c>
      <c r="D31">
        <v>60</v>
      </c>
      <c r="E31">
        <f>+F3</f>
        <v>2.5</v>
      </c>
      <c r="F31">
        <f>E31*D31</f>
        <v>150</v>
      </c>
    </row>
    <row r="32" spans="2:6">
      <c r="B32" t="s">
        <v>139</v>
      </c>
      <c r="C32" t="s">
        <v>2</v>
      </c>
      <c r="D32">
        <v>1</v>
      </c>
      <c r="E32">
        <v>950</v>
      </c>
      <c r="F32">
        <f>E32*D32</f>
        <v>950</v>
      </c>
    </row>
    <row r="33" spans="2:6">
      <c r="B33" t="s">
        <v>140</v>
      </c>
      <c r="F33">
        <f>SUM(F28+F29+F30+F31)*0.02</f>
        <v>119.405</v>
      </c>
    </row>
    <row r="34" spans="2:6">
      <c r="E34" t="s">
        <v>1031</v>
      </c>
      <c r="F34">
        <f>SUM(F28:F33)</f>
        <v>7039.6549999999997</v>
      </c>
    </row>
    <row r="36" spans="2:6">
      <c r="B36" t="s">
        <v>1565</v>
      </c>
    </row>
    <row r="37" spans="2:6">
      <c r="B37" t="s">
        <v>122</v>
      </c>
      <c r="C37" t="s">
        <v>2</v>
      </c>
      <c r="D37">
        <v>0.45</v>
      </c>
      <c r="E37">
        <f>+E28</f>
        <v>1115</v>
      </c>
      <c r="F37">
        <f>E37*D37</f>
        <v>501.75</v>
      </c>
    </row>
    <row r="38" spans="2:6">
      <c r="B38" t="s">
        <v>124</v>
      </c>
      <c r="C38" t="s">
        <v>2</v>
      </c>
      <c r="D38">
        <v>0.9</v>
      </c>
      <c r="E38">
        <f>+E29</f>
        <v>1215</v>
      </c>
      <c r="F38">
        <f>E38*D38</f>
        <v>1093.5</v>
      </c>
    </row>
    <row r="39" spans="2:6">
      <c r="B39" t="s">
        <v>142</v>
      </c>
      <c r="C39" t="s">
        <v>1026</v>
      </c>
      <c r="D39">
        <v>7</v>
      </c>
      <c r="E39">
        <f>+E30</f>
        <v>325</v>
      </c>
      <c r="F39">
        <f>E39*D39</f>
        <v>2275</v>
      </c>
    </row>
    <row r="40" spans="2:6">
      <c r="B40" t="s">
        <v>117</v>
      </c>
      <c r="C40" t="s">
        <v>118</v>
      </c>
      <c r="D40">
        <v>60</v>
      </c>
      <c r="E40">
        <f>+E31</f>
        <v>2.5</v>
      </c>
      <c r="F40">
        <f>E40*D40</f>
        <v>150</v>
      </c>
    </row>
    <row r="41" spans="2:6">
      <c r="B41" t="s">
        <v>139</v>
      </c>
      <c r="C41" t="s">
        <v>2</v>
      </c>
      <c r="D41">
        <v>1</v>
      </c>
      <c r="E41">
        <v>950</v>
      </c>
      <c r="F41">
        <f>E41*D41</f>
        <v>950</v>
      </c>
    </row>
    <row r="42" spans="2:6">
      <c r="B42" t="s">
        <v>140</v>
      </c>
      <c r="F42">
        <f>SUM(F37+F38+F39+F40)*0.02</f>
        <v>80.405000000000001</v>
      </c>
    </row>
    <row r="43" spans="2:6">
      <c r="E43" t="s">
        <v>1031</v>
      </c>
      <c r="F43">
        <f>SUM(F37:F42)</f>
        <v>5050.6549999999997</v>
      </c>
    </row>
    <row r="45" spans="2:6">
      <c r="B45" t="s">
        <v>1565</v>
      </c>
    </row>
    <row r="46" spans="2:6">
      <c r="B46" t="s">
        <v>1566</v>
      </c>
      <c r="C46" t="s">
        <v>2</v>
      </c>
      <c r="D46">
        <v>1.02</v>
      </c>
      <c r="E46">
        <v>6925</v>
      </c>
      <c r="F46">
        <f>E46*D46</f>
        <v>7063.5</v>
      </c>
    </row>
    <row r="47" spans="2:6">
      <c r="E47" t="s">
        <v>1031</v>
      </c>
      <c r="F47">
        <f>SUM(F46:F46)</f>
        <v>7063.5</v>
      </c>
    </row>
    <row r="49" spans="2:6">
      <c r="B49" t="s">
        <v>1033</v>
      </c>
    </row>
    <row r="50" spans="2:6">
      <c r="B50" t="s">
        <v>122</v>
      </c>
      <c r="C50" t="s">
        <v>2</v>
      </c>
      <c r="D50">
        <v>0.52</v>
      </c>
      <c r="E50">
        <f>SUM(F16)</f>
        <v>1115</v>
      </c>
      <c r="F50">
        <f>E50*D50</f>
        <v>579.79999999999995</v>
      </c>
    </row>
    <row r="51" spans="2:6">
      <c r="B51" t="s">
        <v>124</v>
      </c>
      <c r="C51" t="s">
        <v>2</v>
      </c>
      <c r="D51">
        <v>0.85</v>
      </c>
      <c r="E51">
        <f>F21</f>
        <v>1215</v>
      </c>
      <c r="F51">
        <f>E51*D51</f>
        <v>1032.75</v>
      </c>
    </row>
    <row r="52" spans="2:6">
      <c r="B52" t="s">
        <v>135</v>
      </c>
      <c r="C52" t="s">
        <v>1026</v>
      </c>
      <c r="D52">
        <v>6.44</v>
      </c>
      <c r="E52">
        <f>F4</f>
        <v>325</v>
      </c>
      <c r="F52">
        <f>E52*D52</f>
        <v>2093</v>
      </c>
    </row>
    <row r="53" spans="2:6">
      <c r="B53" t="s">
        <v>117</v>
      </c>
      <c r="C53" t="s">
        <v>118</v>
      </c>
      <c r="D53">
        <v>60</v>
      </c>
      <c r="E53">
        <f>F3</f>
        <v>2.5</v>
      </c>
      <c r="F53">
        <f>E53*D53</f>
        <v>150</v>
      </c>
    </row>
    <row r="54" spans="2:6">
      <c r="B54" t="s">
        <v>139</v>
      </c>
      <c r="C54" t="s">
        <v>2</v>
      </c>
      <c r="D54">
        <v>1</v>
      </c>
      <c r="E54">
        <v>850</v>
      </c>
      <c r="F54">
        <f>E54*D54</f>
        <v>850</v>
      </c>
    </row>
    <row r="55" spans="2:6">
      <c r="B55" t="s">
        <v>140</v>
      </c>
      <c r="F55">
        <f>SUM(F50+F51+F52+F53)*0.02</f>
        <v>77.111000000000004</v>
      </c>
    </row>
    <row r="56" spans="2:6">
      <c r="E56" t="s">
        <v>1031</v>
      </c>
      <c r="F56">
        <f>SUM(F50:F55)</f>
        <v>4782.6610000000001</v>
      </c>
    </row>
    <row r="58" spans="2:6">
      <c r="B58" t="s">
        <v>1043</v>
      </c>
    </row>
    <row r="59" spans="2:6">
      <c r="B59" t="s">
        <v>181</v>
      </c>
      <c r="C59" t="s">
        <v>126</v>
      </c>
      <c r="D59">
        <v>1</v>
      </c>
      <c r="E59">
        <v>2500</v>
      </c>
      <c r="F59">
        <f>E59*D59</f>
        <v>2500</v>
      </c>
    </row>
    <row r="60" spans="2:6">
      <c r="B60" t="s">
        <v>41</v>
      </c>
      <c r="C60" t="s">
        <v>126</v>
      </c>
      <c r="D60">
        <v>1</v>
      </c>
      <c r="E60">
        <v>323</v>
      </c>
      <c r="F60">
        <f>E60*D60</f>
        <v>323</v>
      </c>
    </row>
    <row r="61" spans="2:6">
      <c r="B61" t="s">
        <v>1044</v>
      </c>
      <c r="C61" t="s">
        <v>183</v>
      </c>
      <c r="D61">
        <v>2</v>
      </c>
      <c r="E61">
        <v>45</v>
      </c>
      <c r="F61">
        <f>E61*D61</f>
        <v>90</v>
      </c>
    </row>
    <row r="62" spans="2:6">
      <c r="E62" t="s">
        <v>1031</v>
      </c>
      <c r="F62">
        <f>SUM(F59:F61)</f>
        <v>2913</v>
      </c>
    </row>
    <row r="64" spans="2:6">
      <c r="B64" t="s">
        <v>1034</v>
      </c>
    </row>
    <row r="65" spans="2:6">
      <c r="B65" t="s">
        <v>145</v>
      </c>
      <c r="C65" t="s">
        <v>2</v>
      </c>
      <c r="D65">
        <v>1</v>
      </c>
      <c r="E65">
        <f>+F8</f>
        <v>1100</v>
      </c>
      <c r="F65">
        <f>E65*D65</f>
        <v>1100</v>
      </c>
    </row>
    <row r="66" spans="2:6">
      <c r="B66" t="s">
        <v>131</v>
      </c>
      <c r="C66" t="s">
        <v>2</v>
      </c>
      <c r="D66">
        <v>1</v>
      </c>
      <c r="E66">
        <v>15</v>
      </c>
      <c r="F66">
        <f>E66*D66</f>
        <v>15</v>
      </c>
    </row>
    <row r="67" spans="2:6">
      <c r="E67" t="s">
        <v>1031</v>
      </c>
      <c r="F67">
        <f>SUM(F65:F66)</f>
        <v>1115</v>
      </c>
    </row>
    <row r="69" spans="2:6">
      <c r="B69" t="s">
        <v>146</v>
      </c>
    </row>
    <row r="70" spans="2:6">
      <c r="B70" t="s">
        <v>122</v>
      </c>
      <c r="C70" t="s">
        <v>2</v>
      </c>
      <c r="D70">
        <v>1.02</v>
      </c>
      <c r="E70">
        <f>+$F$67</f>
        <v>1115</v>
      </c>
      <c r="F70">
        <f>E70*D70</f>
        <v>1137.3</v>
      </c>
    </row>
    <row r="71" spans="2:6">
      <c r="B71" t="s">
        <v>135</v>
      </c>
      <c r="C71" t="s">
        <v>1026</v>
      </c>
      <c r="D71">
        <v>9.4600000000000009</v>
      </c>
      <c r="E71">
        <f>F4</f>
        <v>325</v>
      </c>
      <c r="F71">
        <f>E71*D71</f>
        <v>3074.5</v>
      </c>
    </row>
    <row r="72" spans="2:6">
      <c r="B72" t="s">
        <v>117</v>
      </c>
      <c r="C72" t="s">
        <v>118</v>
      </c>
      <c r="D72">
        <v>50</v>
      </c>
      <c r="E72">
        <f>$F$3</f>
        <v>2.5</v>
      </c>
      <c r="F72">
        <f>E72*D72</f>
        <v>125</v>
      </c>
    </row>
    <row r="73" spans="2:6">
      <c r="B73" t="s">
        <v>121</v>
      </c>
      <c r="C73" t="s">
        <v>1026</v>
      </c>
      <c r="D73">
        <v>3.07</v>
      </c>
      <c r="E73">
        <f>$F$5</f>
        <v>271.02</v>
      </c>
      <c r="F73">
        <f>E73*D73</f>
        <v>832.03139999999996</v>
      </c>
    </row>
    <row r="74" spans="2:6">
      <c r="B74" t="s">
        <v>147</v>
      </c>
      <c r="C74" t="s">
        <v>148</v>
      </c>
      <c r="D74">
        <v>0.5</v>
      </c>
      <c r="E74">
        <v>659</v>
      </c>
      <c r="F74">
        <f>E74*D74</f>
        <v>329.5</v>
      </c>
    </row>
    <row r="75" spans="2:6">
      <c r="B75" t="s">
        <v>149</v>
      </c>
      <c r="F75">
        <f>SUM(F71+F72+F70+F73)*0.03</f>
        <v>155.064942</v>
      </c>
    </row>
    <row r="76" spans="2:6">
      <c r="B76" t="s">
        <v>43</v>
      </c>
      <c r="E76" t="s">
        <v>1031</v>
      </c>
      <c r="F76">
        <f>SUM(F70:F75)</f>
        <v>5653.396342</v>
      </c>
    </row>
    <row r="78" spans="2:6">
      <c r="B78" t="s">
        <v>150</v>
      </c>
    </row>
    <row r="79" spans="2:6">
      <c r="B79" t="s">
        <v>151</v>
      </c>
      <c r="C79" t="s">
        <v>2</v>
      </c>
      <c r="D79">
        <v>0.998</v>
      </c>
      <c r="E79">
        <f>+$F$67</f>
        <v>1115</v>
      </c>
      <c r="F79">
        <f>E79*D79</f>
        <v>1112.77</v>
      </c>
    </row>
    <row r="80" spans="2:6">
      <c r="B80" t="s">
        <v>117</v>
      </c>
      <c r="C80" t="s">
        <v>118</v>
      </c>
      <c r="D80">
        <v>69.040000000000006</v>
      </c>
      <c r="E80">
        <f>$F$3</f>
        <v>2.5</v>
      </c>
      <c r="F80">
        <f>E80*D80</f>
        <v>172.6</v>
      </c>
    </row>
    <row r="81" spans="2:6">
      <c r="B81" t="s">
        <v>135</v>
      </c>
      <c r="C81" t="s">
        <v>1026</v>
      </c>
      <c r="D81">
        <v>11.51</v>
      </c>
      <c r="E81">
        <f>$F$4</f>
        <v>325</v>
      </c>
      <c r="F81">
        <f>E81*D81</f>
        <v>3740.75</v>
      </c>
    </row>
    <row r="82" spans="2:6">
      <c r="B82" t="s">
        <v>147</v>
      </c>
      <c r="C82" t="s">
        <v>148</v>
      </c>
      <c r="D82">
        <v>0.5</v>
      </c>
      <c r="E82">
        <v>659</v>
      </c>
      <c r="F82">
        <f>E82*D82</f>
        <v>329.5</v>
      </c>
    </row>
    <row r="83" spans="2:6">
      <c r="B83" t="s">
        <v>149</v>
      </c>
      <c r="F83">
        <f>SUM(F79+F80+F78+F81)*0.03</f>
        <v>150.78360000000001</v>
      </c>
    </row>
    <row r="84" spans="2:6">
      <c r="E84" t="s">
        <v>1031</v>
      </c>
      <c r="F84">
        <f>SUM(F79:F83)</f>
        <v>5506.4035999999996</v>
      </c>
    </row>
    <row r="86" spans="2:6">
      <c r="B86" t="s">
        <v>1534</v>
      </c>
    </row>
    <row r="87" spans="2:6">
      <c r="B87" t="s">
        <v>1097</v>
      </c>
      <c r="C87">
        <v>1.05</v>
      </c>
      <c r="D87" t="s">
        <v>2</v>
      </c>
      <c r="E87">
        <f>+$F$25</f>
        <v>8154.9</v>
      </c>
      <c r="F87">
        <f>C87*E87</f>
        <v>8562.6450000000004</v>
      </c>
    </row>
    <row r="88" spans="2:6">
      <c r="B88" t="s">
        <v>272</v>
      </c>
      <c r="C88">
        <v>2.81</v>
      </c>
      <c r="D88" t="s">
        <v>126</v>
      </c>
      <c r="E88">
        <f>+$F$62</f>
        <v>2913</v>
      </c>
      <c r="F88">
        <f>C88*E88</f>
        <v>8185.53</v>
      </c>
    </row>
    <row r="89" spans="2:6">
      <c r="B89" t="s">
        <v>1089</v>
      </c>
      <c r="C89">
        <f>1/0.4</f>
        <v>2.5</v>
      </c>
      <c r="D89" t="s">
        <v>1100</v>
      </c>
      <c r="E89">
        <f>1200</f>
        <v>1200</v>
      </c>
      <c r="F89">
        <f>C89*E89</f>
        <v>3000</v>
      </c>
    </row>
    <row r="90" spans="2:6">
      <c r="E90" t="s">
        <v>1031</v>
      </c>
      <c r="F90">
        <f>ROUND(SUM(F87:F89),2)</f>
        <v>19748.18</v>
      </c>
    </row>
    <row r="92" spans="2:6">
      <c r="B92" t="s">
        <v>1532</v>
      </c>
    </row>
    <row r="93" spans="2:6">
      <c r="B93" t="s">
        <v>1085</v>
      </c>
      <c r="C93">
        <v>1.05</v>
      </c>
      <c r="D93" t="s">
        <v>2</v>
      </c>
      <c r="E93">
        <f>+$F$25</f>
        <v>8154.9</v>
      </c>
      <c r="F93">
        <f>C93*E93</f>
        <v>8562.6450000000004</v>
      </c>
    </row>
    <row r="94" spans="2:6">
      <c r="B94" t="s">
        <v>1087</v>
      </c>
      <c r="C94">
        <v>1.35</v>
      </c>
      <c r="D94" t="s">
        <v>126</v>
      </c>
      <c r="E94">
        <f>+$F$62</f>
        <v>2913</v>
      </c>
      <c r="F94">
        <f>C94*E94</f>
        <v>3932.55</v>
      </c>
    </row>
    <row r="95" spans="2:6">
      <c r="B95" t="s">
        <v>1089</v>
      </c>
      <c r="C95">
        <f>1/0.45</f>
        <v>2.2222222222222201</v>
      </c>
      <c r="D95" t="s">
        <v>11</v>
      </c>
      <c r="E95">
        <v>1200</v>
      </c>
      <c r="F95">
        <f>C95*E95</f>
        <v>2666.6666666666601</v>
      </c>
    </row>
    <row r="96" spans="2:6">
      <c r="E96" t="s">
        <v>1031</v>
      </c>
      <c r="F96">
        <f>ROUND(SUM(F93:F95),2)</f>
        <v>15161.86</v>
      </c>
    </row>
    <row r="99" spans="2:6">
      <c r="B99" t="s">
        <v>1522</v>
      </c>
    </row>
    <row r="100" spans="2:6">
      <c r="B100" t="s">
        <v>1085</v>
      </c>
      <c r="C100">
        <v>1.05</v>
      </c>
      <c r="D100" t="s">
        <v>2</v>
      </c>
      <c r="E100">
        <f>+$F$25</f>
        <v>8154.9</v>
      </c>
      <c r="F100">
        <f>C100*E100</f>
        <v>8562.6450000000004</v>
      </c>
    </row>
    <row r="101" spans="2:6">
      <c r="B101" t="s">
        <v>1087</v>
      </c>
      <c r="C101">
        <v>2.4700000000000002</v>
      </c>
      <c r="D101" t="s">
        <v>126</v>
      </c>
      <c r="E101">
        <f>+$F$62</f>
        <v>2913</v>
      </c>
      <c r="F101">
        <f>C101*E101</f>
        <v>7195.11</v>
      </c>
    </row>
    <row r="102" spans="2:6">
      <c r="B102" t="s">
        <v>1089</v>
      </c>
      <c r="C102">
        <f>1/0.3</f>
        <v>3.3333333333333299</v>
      </c>
      <c r="D102" t="s">
        <v>11</v>
      </c>
      <c r="E102">
        <v>1200</v>
      </c>
      <c r="F102">
        <f>C102*E102</f>
        <v>4000</v>
      </c>
    </row>
    <row r="103" spans="2:6">
      <c r="E103" t="s">
        <v>1031</v>
      </c>
      <c r="F103">
        <f>ROUND(SUM(F100:F102),2)</f>
        <v>19757.759999999998</v>
      </c>
    </row>
    <row r="105" spans="2:6">
      <c r="B105" t="s">
        <v>1523</v>
      </c>
    </row>
    <row r="106" spans="2:6">
      <c r="B106" t="s">
        <v>1085</v>
      </c>
      <c r="C106">
        <v>1.05</v>
      </c>
      <c r="D106" t="s">
        <v>2</v>
      </c>
      <c r="E106">
        <f>+$F$25</f>
        <v>8154.9</v>
      </c>
      <c r="F106">
        <f>C106*E106</f>
        <v>8562.6450000000004</v>
      </c>
    </row>
    <row r="107" spans="2:6">
      <c r="B107" t="s">
        <v>1087</v>
      </c>
      <c r="C107">
        <v>0.51</v>
      </c>
      <c r="D107" t="s">
        <v>126</v>
      </c>
      <c r="E107">
        <f>+$F$62</f>
        <v>2913</v>
      </c>
      <c r="F107">
        <f>C107*E107</f>
        <v>1485.63</v>
      </c>
    </row>
    <row r="108" spans="2:6">
      <c r="B108" t="s">
        <v>1089</v>
      </c>
      <c r="C108">
        <f>1/0.3</f>
        <v>3.3333333333333299</v>
      </c>
      <c r="D108" t="s">
        <v>11</v>
      </c>
      <c r="E108">
        <v>1200</v>
      </c>
      <c r="F108">
        <f>C108*E108</f>
        <v>4000</v>
      </c>
    </row>
    <row r="109" spans="2:6">
      <c r="E109" t="s">
        <v>1031</v>
      </c>
      <c r="F109">
        <f>ROUND(SUM(F106:F108),2)</f>
        <v>14048.28</v>
      </c>
    </row>
    <row r="111" spans="2:6">
      <c r="B111" t="s">
        <v>1524</v>
      </c>
    </row>
    <row r="112" spans="2:6">
      <c r="B112" t="s">
        <v>1085</v>
      </c>
      <c r="C112">
        <v>1.05</v>
      </c>
      <c r="D112" t="s">
        <v>2</v>
      </c>
      <c r="E112">
        <f>+$F$25</f>
        <v>8154.9</v>
      </c>
      <c r="F112">
        <f>C112*E112</f>
        <v>8562.6450000000004</v>
      </c>
    </row>
    <row r="113" spans="2:6">
      <c r="B113" t="s">
        <v>1087</v>
      </c>
      <c r="C113">
        <v>2.81</v>
      </c>
      <c r="D113" t="s">
        <v>126</v>
      </c>
      <c r="E113">
        <f>+$F$62</f>
        <v>2913</v>
      </c>
      <c r="F113">
        <f>C113*E113</f>
        <v>8185.53</v>
      </c>
    </row>
    <row r="114" spans="2:6">
      <c r="B114" t="s">
        <v>1089</v>
      </c>
      <c r="C114">
        <f>1/0.25</f>
        <v>4</v>
      </c>
      <c r="D114" t="s">
        <v>11</v>
      </c>
      <c r="E114">
        <v>1200</v>
      </c>
      <c r="F114">
        <f>C114*E114</f>
        <v>4800</v>
      </c>
    </row>
    <row r="115" spans="2:6">
      <c r="E115" t="s">
        <v>1031</v>
      </c>
      <c r="F115">
        <f>ROUND(SUM(F112:F114),2)</f>
        <v>21548.18</v>
      </c>
    </row>
    <row r="117" spans="2:6">
      <c r="B117" t="s">
        <v>1524</v>
      </c>
    </row>
    <row r="118" spans="2:6">
      <c r="B118" t="s">
        <v>1085</v>
      </c>
      <c r="C118">
        <v>1.05</v>
      </c>
      <c r="D118" t="s">
        <v>2</v>
      </c>
      <c r="E118">
        <f>+$F$25</f>
        <v>8154.9</v>
      </c>
      <c r="F118">
        <f>C118*E118</f>
        <v>8562.6450000000004</v>
      </c>
    </row>
    <row r="119" spans="2:6">
      <c r="B119" t="s">
        <v>1087</v>
      </c>
      <c r="C119">
        <v>2.81</v>
      </c>
      <c r="D119" t="s">
        <v>126</v>
      </c>
      <c r="E119">
        <f>+$F$62</f>
        <v>2913</v>
      </c>
      <c r="F119">
        <f>C119*E119</f>
        <v>8185.53</v>
      </c>
    </row>
    <row r="120" spans="2:6">
      <c r="B120" t="s">
        <v>1089</v>
      </c>
      <c r="C120">
        <f>1/0.25</f>
        <v>4</v>
      </c>
      <c r="D120" t="s">
        <v>11</v>
      </c>
      <c r="E120">
        <v>120</v>
      </c>
      <c r="F120">
        <f>C120*E120</f>
        <v>480</v>
      </c>
    </row>
    <row r="121" spans="2:6">
      <c r="E121" t="s">
        <v>1031</v>
      </c>
      <c r="F121">
        <f>ROUND(SUM(F118:F120),2)</f>
        <v>17228.18</v>
      </c>
    </row>
    <row r="123" spans="2:6">
      <c r="B123" t="s">
        <v>1525</v>
      </c>
    </row>
    <row r="124" spans="2:6">
      <c r="B124" t="s">
        <v>1085</v>
      </c>
      <c r="C124">
        <v>1.05</v>
      </c>
      <c r="D124" t="s">
        <v>2</v>
      </c>
      <c r="E124">
        <f>+$F$25</f>
        <v>8154.9</v>
      </c>
      <c r="F124">
        <f>C124*E124</f>
        <v>8562.6450000000004</v>
      </c>
    </row>
    <row r="125" spans="2:6">
      <c r="B125" t="s">
        <v>1087</v>
      </c>
      <c r="C125">
        <v>1.44</v>
      </c>
      <c r="D125" t="s">
        <v>126</v>
      </c>
      <c r="E125">
        <f>+$F$62</f>
        <v>2913</v>
      </c>
      <c r="F125">
        <f>C125*E125</f>
        <v>4194.72</v>
      </c>
    </row>
    <row r="126" spans="2:6">
      <c r="B126" t="s">
        <v>1089</v>
      </c>
      <c r="C126">
        <f>1/0.2</f>
        <v>5</v>
      </c>
      <c r="D126" t="s">
        <v>1</v>
      </c>
      <c r="E126">
        <v>1200</v>
      </c>
      <c r="F126">
        <f>C126*E126</f>
        <v>6000</v>
      </c>
    </row>
    <row r="127" spans="2:6">
      <c r="E127" t="s">
        <v>1031</v>
      </c>
      <c r="F127">
        <f>ROUND(SUM(F124:F126),2)</f>
        <v>18757.37</v>
      </c>
    </row>
    <row r="129" spans="2:6">
      <c r="B129" t="s">
        <v>1526</v>
      </c>
    </row>
    <row r="130" spans="2:6">
      <c r="B130" t="s">
        <v>1085</v>
      </c>
      <c r="C130">
        <v>1.05</v>
      </c>
      <c r="D130" t="s">
        <v>2</v>
      </c>
      <c r="E130">
        <f>+$F$25</f>
        <v>8154.9</v>
      </c>
      <c r="F130">
        <f>C130*E130</f>
        <v>8562.6450000000004</v>
      </c>
    </row>
    <row r="131" spans="2:6">
      <c r="B131" t="s">
        <v>1087</v>
      </c>
      <c r="C131">
        <v>2.59</v>
      </c>
      <c r="D131" t="s">
        <v>126</v>
      </c>
      <c r="E131">
        <f>+$F$62</f>
        <v>2913</v>
      </c>
      <c r="F131">
        <f>C131*E131</f>
        <v>7544.67</v>
      </c>
    </row>
    <row r="132" spans="2:6">
      <c r="B132" t="s">
        <v>1089</v>
      </c>
      <c r="C132">
        <f>1/0.2</f>
        <v>5</v>
      </c>
      <c r="D132" t="s">
        <v>11</v>
      </c>
      <c r="E132">
        <v>1200</v>
      </c>
      <c r="F132">
        <f>C132*E132</f>
        <v>6000</v>
      </c>
    </row>
    <row r="133" spans="2:6">
      <c r="E133" t="s">
        <v>1031</v>
      </c>
      <c r="F133">
        <f>ROUND(SUM(F130:F132),2)</f>
        <v>22107.32</v>
      </c>
    </row>
    <row r="135" spans="2:6">
      <c r="B135" t="s">
        <v>1550</v>
      </c>
    </row>
    <row r="136" spans="2:6">
      <c r="B136" t="s">
        <v>1085</v>
      </c>
      <c r="C136">
        <v>1.05</v>
      </c>
      <c r="D136" t="s">
        <v>2</v>
      </c>
      <c r="E136">
        <f>+$F$25</f>
        <v>8154.9</v>
      </c>
      <c r="F136">
        <f>C136*E136</f>
        <v>8562.6450000000004</v>
      </c>
    </row>
    <row r="137" spans="2:6">
      <c r="B137" t="s">
        <v>1087</v>
      </c>
      <c r="C137">
        <v>4.24</v>
      </c>
      <c r="D137" t="s">
        <v>126</v>
      </c>
      <c r="E137">
        <f>+$F$62</f>
        <v>2913</v>
      </c>
      <c r="F137">
        <f>C137*E137</f>
        <v>12351.12</v>
      </c>
    </row>
    <row r="138" spans="2:6">
      <c r="B138" t="s">
        <v>1089</v>
      </c>
      <c r="C138">
        <f>1/0.2</f>
        <v>5</v>
      </c>
      <c r="D138" t="s">
        <v>11</v>
      </c>
      <c r="E138">
        <v>1200</v>
      </c>
      <c r="F138">
        <f>C138*E138</f>
        <v>6000</v>
      </c>
    </row>
    <row r="139" spans="2:6">
      <c r="E139" t="s">
        <v>1031</v>
      </c>
      <c r="F139">
        <f>ROUND(SUM(F136:F138),2)</f>
        <v>26913.77</v>
      </c>
    </row>
    <row r="141" spans="2:6">
      <c r="B141" t="s">
        <v>1528</v>
      </c>
    </row>
    <row r="142" spans="2:6">
      <c r="B142" t="s">
        <v>1085</v>
      </c>
      <c r="C142">
        <v>1.05</v>
      </c>
      <c r="D142" t="s">
        <v>2</v>
      </c>
      <c r="E142">
        <f>+$F$25</f>
        <v>8154.9</v>
      </c>
      <c r="F142">
        <f>C142*E142</f>
        <v>8562.6450000000004</v>
      </c>
    </row>
    <row r="143" spans="2:6">
      <c r="B143" t="s">
        <v>1087</v>
      </c>
      <c r="C143">
        <v>2.11</v>
      </c>
      <c r="D143" t="s">
        <v>126</v>
      </c>
      <c r="E143">
        <f>+$F$62</f>
        <v>2913</v>
      </c>
      <c r="F143">
        <f>C143*E143</f>
        <v>6146.43</v>
      </c>
    </row>
    <row r="144" spans="2:6">
      <c r="B144" t="s">
        <v>1089</v>
      </c>
      <c r="C144">
        <f>1/0.2</f>
        <v>5</v>
      </c>
      <c r="D144" t="s">
        <v>11</v>
      </c>
      <c r="E144">
        <v>1200</v>
      </c>
      <c r="F144">
        <f>C144*E144</f>
        <v>6000</v>
      </c>
    </row>
    <row r="145" spans="2:6">
      <c r="E145" t="s">
        <v>1031</v>
      </c>
      <c r="F145">
        <f>ROUND(SUM(F142:F144),2)</f>
        <v>20709.080000000002</v>
      </c>
    </row>
    <row r="147" spans="2:6">
      <c r="B147" t="s">
        <v>1529</v>
      </c>
    </row>
    <row r="148" spans="2:6">
      <c r="B148" t="s">
        <v>1085</v>
      </c>
      <c r="C148">
        <v>1.05</v>
      </c>
      <c r="D148" t="s">
        <v>2</v>
      </c>
      <c r="E148">
        <f>+$F$25</f>
        <v>8154.9</v>
      </c>
      <c r="F148">
        <f>C148*E148</f>
        <v>8562.6450000000004</v>
      </c>
    </row>
    <row r="149" spans="2:6">
      <c r="B149" t="s">
        <v>1087</v>
      </c>
      <c r="C149">
        <v>1.27</v>
      </c>
      <c r="D149" t="s">
        <v>126</v>
      </c>
      <c r="E149">
        <f>+$F$62</f>
        <v>2913</v>
      </c>
      <c r="F149">
        <f>C149*E149</f>
        <v>3699.51</v>
      </c>
    </row>
    <row r="150" spans="2:6">
      <c r="B150" t="s">
        <v>1089</v>
      </c>
      <c r="C150">
        <f>1/0.2</f>
        <v>5</v>
      </c>
      <c r="D150" t="s">
        <v>11</v>
      </c>
      <c r="E150">
        <v>1200</v>
      </c>
      <c r="F150">
        <f>C150*E150</f>
        <v>6000</v>
      </c>
    </row>
    <row r="151" spans="2:6">
      <c r="E151" t="s">
        <v>1031</v>
      </c>
      <c r="F151">
        <f>ROUND(SUM(F148:F150),2)</f>
        <v>18262.16</v>
      </c>
    </row>
    <row r="153" spans="2:6">
      <c r="B153" t="s">
        <v>1530</v>
      </c>
    </row>
    <row r="154" spans="2:6">
      <c r="B154" t="s">
        <v>1085</v>
      </c>
      <c r="C154">
        <v>1.05</v>
      </c>
      <c r="D154" t="s">
        <v>2</v>
      </c>
      <c r="E154">
        <f>+$F$25</f>
        <v>8154.9</v>
      </c>
      <c r="F154">
        <f>C154*E154</f>
        <v>8562.6450000000004</v>
      </c>
    </row>
    <row r="155" spans="2:6">
      <c r="B155" t="s">
        <v>1087</v>
      </c>
      <c r="C155">
        <v>1.57</v>
      </c>
      <c r="D155" t="s">
        <v>126</v>
      </c>
      <c r="E155">
        <f>+$F$62</f>
        <v>2913</v>
      </c>
      <c r="F155">
        <f>C155*E155</f>
        <v>4573.41</v>
      </c>
    </row>
    <row r="156" spans="2:6">
      <c r="B156" t="s">
        <v>1089</v>
      </c>
      <c r="C156">
        <f>1/0.15</f>
        <v>6.6666666666666696</v>
      </c>
      <c r="D156" t="s">
        <v>11</v>
      </c>
      <c r="E156">
        <v>1000</v>
      </c>
      <c r="F156">
        <f>C156*E156</f>
        <v>6666.6666666666697</v>
      </c>
    </row>
    <row r="157" spans="2:6">
      <c r="E157" t="s">
        <v>1031</v>
      </c>
      <c r="F157">
        <f>ROUND(SUM(F154:F156),2)</f>
        <v>19802.72</v>
      </c>
    </row>
    <row r="159" spans="2:6">
      <c r="B159" t="s">
        <v>1531</v>
      </c>
    </row>
    <row r="160" spans="2:6">
      <c r="B160" t="s">
        <v>1085</v>
      </c>
      <c r="C160">
        <v>1.05</v>
      </c>
      <c r="D160" t="s">
        <v>2</v>
      </c>
      <c r="E160">
        <f>+$F$25</f>
        <v>8154.9</v>
      </c>
      <c r="F160">
        <f>C160*E160</f>
        <v>8562.6450000000004</v>
      </c>
    </row>
    <row r="161" spans="2:6">
      <c r="B161" t="s">
        <v>1087</v>
      </c>
      <c r="C161">
        <v>2.25</v>
      </c>
      <c r="D161" t="s">
        <v>126</v>
      </c>
      <c r="E161">
        <f>+$F$62</f>
        <v>2913</v>
      </c>
      <c r="F161">
        <f>C161*E161</f>
        <v>6554.25</v>
      </c>
    </row>
    <row r="162" spans="2:6">
      <c r="B162" t="s">
        <v>1089</v>
      </c>
      <c r="C162">
        <f>1/0.15</f>
        <v>6.6666666666666696</v>
      </c>
      <c r="D162" t="s">
        <v>11</v>
      </c>
      <c r="E162">
        <v>1200</v>
      </c>
      <c r="F162">
        <f>C162*E162</f>
        <v>8000</v>
      </c>
    </row>
    <row r="163" spans="2:6">
      <c r="E163" t="s">
        <v>1031</v>
      </c>
      <c r="F163">
        <f>ROUND(SUM(F160:F162),2)</f>
        <v>23116.9</v>
      </c>
    </row>
    <row r="165" spans="2:6">
      <c r="B165" t="s">
        <v>1539</v>
      </c>
    </row>
    <row r="166" spans="2:6">
      <c r="B166" t="s">
        <v>1085</v>
      </c>
      <c r="C166">
        <v>1.05</v>
      </c>
      <c r="D166" t="s">
        <v>2</v>
      </c>
      <c r="E166">
        <f>+$F$25</f>
        <v>8154.9</v>
      </c>
      <c r="F166">
        <f>C166*E166</f>
        <v>8562.6450000000004</v>
      </c>
    </row>
    <row r="167" spans="2:6">
      <c r="B167" t="s">
        <v>1087</v>
      </c>
      <c r="C167">
        <v>1.37</v>
      </c>
      <c r="D167" t="s">
        <v>126</v>
      </c>
      <c r="E167">
        <f>+$F$62</f>
        <v>2913</v>
      </c>
      <c r="F167">
        <f>C167*E167</f>
        <v>3990.81</v>
      </c>
    </row>
    <row r="169" spans="2:6">
      <c r="E169" t="s">
        <v>1031</v>
      </c>
      <c r="F169">
        <f>ROUND(SUM(F166:F168),2)</f>
        <v>12553.46</v>
      </c>
    </row>
    <row r="171" spans="2:6">
      <c r="B171" t="s">
        <v>1533</v>
      </c>
    </row>
    <row r="172" spans="2:6">
      <c r="B172" t="s">
        <v>1085</v>
      </c>
      <c r="C172">
        <v>1.05</v>
      </c>
      <c r="D172" t="s">
        <v>2</v>
      </c>
      <c r="E172">
        <f>+$F$25</f>
        <v>8154.9</v>
      </c>
      <c r="F172">
        <f>C172*E172</f>
        <v>8562.6450000000004</v>
      </c>
    </row>
    <row r="173" spans="2:6">
      <c r="B173" t="s">
        <v>1087</v>
      </c>
      <c r="C173">
        <v>2.4500000000000002</v>
      </c>
      <c r="D173" t="s">
        <v>126</v>
      </c>
      <c r="E173">
        <f>+$F$62</f>
        <v>2913</v>
      </c>
      <c r="F173">
        <f>C173*E173</f>
        <v>7136.85</v>
      </c>
    </row>
    <row r="175" spans="2:6">
      <c r="E175" t="s">
        <v>1031</v>
      </c>
      <c r="F175">
        <f>ROUND(SUM(F172:F174),2)</f>
        <v>15699.5</v>
      </c>
    </row>
    <row r="177" spans="2:6">
      <c r="B177" t="s">
        <v>1535</v>
      </c>
    </row>
    <row r="178" spans="2:6">
      <c r="B178" t="s">
        <v>1085</v>
      </c>
      <c r="C178">
        <v>1.05</v>
      </c>
      <c r="D178" t="s">
        <v>2</v>
      </c>
      <c r="E178">
        <f>+$F$25</f>
        <v>8154.9</v>
      </c>
      <c r="F178">
        <f>C178*E178</f>
        <v>8562.6450000000004</v>
      </c>
    </row>
    <row r="179" spans="2:6">
      <c r="B179" t="s">
        <v>1087</v>
      </c>
      <c r="C179">
        <v>1.32</v>
      </c>
      <c r="D179" t="s">
        <v>126</v>
      </c>
      <c r="E179">
        <f>+$F$62</f>
        <v>2913</v>
      </c>
      <c r="F179">
        <f>C179*E179</f>
        <v>3845.16</v>
      </c>
    </row>
    <row r="181" spans="2:6">
      <c r="E181" t="s">
        <v>1031</v>
      </c>
      <c r="F181">
        <f>ROUND(SUM(F178:F180),2)</f>
        <v>12407.81</v>
      </c>
    </row>
    <row r="183" spans="2:6">
      <c r="B183" t="s">
        <v>1536</v>
      </c>
    </row>
    <row r="184" spans="2:6">
      <c r="B184" t="s">
        <v>1085</v>
      </c>
      <c r="C184">
        <v>1.05</v>
      </c>
      <c r="D184" t="s">
        <v>2</v>
      </c>
      <c r="E184">
        <f>+$F$25</f>
        <v>8154.9</v>
      </c>
      <c r="F184">
        <f>C184*E184</f>
        <v>8562.6450000000004</v>
      </c>
    </row>
    <row r="185" spans="2:6">
      <c r="B185" t="s">
        <v>1087</v>
      </c>
      <c r="C185">
        <v>1.1599999999999999</v>
      </c>
      <c r="D185" t="s">
        <v>126</v>
      </c>
      <c r="E185">
        <f>+$F$62</f>
        <v>2913</v>
      </c>
      <c r="F185">
        <f>C185*E185</f>
        <v>3379.08</v>
      </c>
    </row>
    <row r="187" spans="2:6">
      <c r="E187" t="s">
        <v>1031</v>
      </c>
      <c r="F187">
        <f>ROUND(SUM(F184:F186),2)</f>
        <v>11941.73</v>
      </c>
    </row>
    <row r="189" spans="2:6">
      <c r="B189" t="s">
        <v>1537</v>
      </c>
    </row>
    <row r="190" spans="2:6">
      <c r="B190" t="s">
        <v>1085</v>
      </c>
      <c r="C190">
        <v>1.05</v>
      </c>
      <c r="D190" t="s">
        <v>2</v>
      </c>
      <c r="E190">
        <f>+$F$25</f>
        <v>8154.9</v>
      </c>
      <c r="F190">
        <f>C190*E190</f>
        <v>8562.6450000000004</v>
      </c>
    </row>
    <row r="191" spans="2:6">
      <c r="B191" t="s">
        <v>1087</v>
      </c>
      <c r="C191">
        <v>1.38</v>
      </c>
      <c r="D191" t="s">
        <v>126</v>
      </c>
      <c r="E191">
        <f>+$F$62</f>
        <v>2913</v>
      </c>
      <c r="F191">
        <f>C191*E191</f>
        <v>4019.94</v>
      </c>
    </row>
    <row r="193" spans="2:6">
      <c r="E193" t="s">
        <v>1031</v>
      </c>
      <c r="F193">
        <f>ROUND(SUM(F190:F192),2)</f>
        <v>12582.59</v>
      </c>
    </row>
    <row r="195" spans="2:6">
      <c r="B195" t="s">
        <v>1537</v>
      </c>
    </row>
    <row r="196" spans="2:6">
      <c r="B196" t="s">
        <v>1085</v>
      </c>
      <c r="C196">
        <v>1.05</v>
      </c>
      <c r="D196" t="s">
        <v>2</v>
      </c>
      <c r="E196">
        <f>+$F$25</f>
        <v>8154.9</v>
      </c>
      <c r="F196">
        <f>C196*E196</f>
        <v>8562.6450000000004</v>
      </c>
    </row>
    <row r="197" spans="2:6">
      <c r="B197" t="s">
        <v>1087</v>
      </c>
      <c r="C197">
        <v>1.38</v>
      </c>
      <c r="D197" t="s">
        <v>126</v>
      </c>
      <c r="E197">
        <f>+$F$62</f>
        <v>2913</v>
      </c>
      <c r="F197">
        <f>C197*E197</f>
        <v>4019.94</v>
      </c>
    </row>
    <row r="199" spans="2:6">
      <c r="E199" t="s">
        <v>1031</v>
      </c>
      <c r="F199">
        <f>ROUND(SUM(F196:F198),2)</f>
        <v>12582.59</v>
      </c>
    </row>
    <row r="201" spans="2:6">
      <c r="B201" t="s">
        <v>1538</v>
      </c>
    </row>
    <row r="202" spans="2:6">
      <c r="B202" t="s">
        <v>1085</v>
      </c>
      <c r="C202">
        <v>1.05</v>
      </c>
      <c r="D202" t="s">
        <v>2</v>
      </c>
      <c r="E202">
        <f>+$F$25</f>
        <v>8154.9</v>
      </c>
      <c r="F202">
        <f>C202*E202</f>
        <v>8562.6450000000004</v>
      </c>
    </row>
    <row r="203" spans="2:6">
      <c r="B203" t="s">
        <v>1087</v>
      </c>
      <c r="C203">
        <v>1.6</v>
      </c>
      <c r="D203" t="s">
        <v>126</v>
      </c>
      <c r="E203">
        <f>+$F$62</f>
        <v>2913</v>
      </c>
      <c r="F203">
        <f>C203*E203</f>
        <v>4660.8</v>
      </c>
    </row>
    <row r="205" spans="2:6">
      <c r="E205" t="s">
        <v>1031</v>
      </c>
      <c r="F205">
        <f>ROUND(SUM(F202:F204),2)</f>
        <v>13223.45</v>
      </c>
    </row>
    <row r="207" spans="2:6">
      <c r="B207" t="s">
        <v>1540</v>
      </c>
    </row>
    <row r="208" spans="2:6">
      <c r="B208" t="s">
        <v>1085</v>
      </c>
      <c r="C208">
        <v>1.05</v>
      </c>
      <c r="D208" t="s">
        <v>2</v>
      </c>
      <c r="E208">
        <f>+$F$25</f>
        <v>8154.9</v>
      </c>
      <c r="F208">
        <f>C208*E208</f>
        <v>8562.6450000000004</v>
      </c>
    </row>
    <row r="209" spans="2:6">
      <c r="B209" t="s">
        <v>1087</v>
      </c>
      <c r="C209">
        <v>0.87</v>
      </c>
      <c r="D209" t="s">
        <v>126</v>
      </c>
      <c r="E209">
        <f>+F59+F61</f>
        <v>2590</v>
      </c>
      <c r="F209">
        <f>C209*E209</f>
        <v>2253.3000000000002</v>
      </c>
    </row>
    <row r="210" spans="2:6">
      <c r="B210" t="s">
        <v>1089</v>
      </c>
      <c r="C210">
        <f>1/(0.9*0.35)</f>
        <v>3.17460317460317</v>
      </c>
      <c r="D210" t="s">
        <v>1</v>
      </c>
      <c r="E210">
        <v>110</v>
      </c>
      <c r="F210">
        <f>C210*E210</f>
        <v>349.20634920634899</v>
      </c>
    </row>
    <row r="211" spans="2:6">
      <c r="E211" t="s">
        <v>1031</v>
      </c>
      <c r="F211">
        <f>ROUND(SUM(F208:F210),2)</f>
        <v>11165.15</v>
      </c>
    </row>
    <row r="213" spans="2:6">
      <c r="B213" t="s">
        <v>1542</v>
      </c>
    </row>
    <row r="214" spans="2:6">
      <c r="B214" t="s">
        <v>1085</v>
      </c>
      <c r="C214">
        <v>1.05</v>
      </c>
      <c r="D214" t="s">
        <v>2</v>
      </c>
      <c r="E214">
        <f>+$F$25</f>
        <v>8154.9</v>
      </c>
      <c r="F214">
        <f>C214*E214</f>
        <v>8562.6450000000004</v>
      </c>
    </row>
    <row r="215" spans="2:6">
      <c r="B215" t="s">
        <v>1087</v>
      </c>
      <c r="C215">
        <v>0.61</v>
      </c>
      <c r="D215" t="s">
        <v>126</v>
      </c>
      <c r="E215">
        <f>+E209</f>
        <v>2590</v>
      </c>
      <c r="F215">
        <f>C215*E215</f>
        <v>1579.9</v>
      </c>
    </row>
    <row r="216" spans="2:6">
      <c r="B216" t="s">
        <v>1089</v>
      </c>
      <c r="C216">
        <f>1/(0.9*0.35)</f>
        <v>3.17460317460317</v>
      </c>
      <c r="D216" t="s">
        <v>1</v>
      </c>
      <c r="E216">
        <v>110</v>
      </c>
      <c r="F216">
        <f>C216*E216</f>
        <v>349.20634920634899</v>
      </c>
    </row>
    <row r="217" spans="2:6">
      <c r="E217" t="s">
        <v>1031</v>
      </c>
      <c r="F217">
        <f>ROUND(SUM(F214:F216),2)</f>
        <v>10491.75</v>
      </c>
    </row>
    <row r="219" spans="2:6">
      <c r="B219" t="s">
        <v>1541</v>
      </c>
    </row>
    <row r="220" spans="2:6">
      <c r="B220" t="s">
        <v>1085</v>
      </c>
      <c r="C220">
        <v>1.05</v>
      </c>
      <c r="D220" t="s">
        <v>2</v>
      </c>
      <c r="E220">
        <f>+$F$25</f>
        <v>8154.9</v>
      </c>
      <c r="F220">
        <f>C220*E220</f>
        <v>8562.6450000000004</v>
      </c>
    </row>
    <row r="221" spans="2:6">
      <c r="B221" t="s">
        <v>1087</v>
      </c>
      <c r="C221">
        <v>1.27</v>
      </c>
      <c r="D221" t="s">
        <v>126</v>
      </c>
      <c r="E221">
        <f>+E203</f>
        <v>2913</v>
      </c>
      <c r="F221">
        <f>C221*E221</f>
        <v>3699.51</v>
      </c>
    </row>
    <row r="222" spans="2:6">
      <c r="B222" t="s">
        <v>1089</v>
      </c>
      <c r="C222">
        <f>1/0.15</f>
        <v>6.6666666666666696</v>
      </c>
      <c r="D222" t="s">
        <v>11</v>
      </c>
      <c r="E222">
        <v>350</v>
      </c>
      <c r="F222">
        <f>C222*E222</f>
        <v>2333.3333333333298</v>
      </c>
    </row>
    <row r="223" spans="2:6">
      <c r="E223" t="s">
        <v>1031</v>
      </c>
      <c r="F223">
        <f>ROUND(SUM(F220:F222),2)</f>
        <v>14595.49</v>
      </c>
    </row>
    <row r="225" spans="2:6">
      <c r="B225" t="s">
        <v>1543</v>
      </c>
    </row>
    <row r="226" spans="2:6">
      <c r="B226" t="s">
        <v>1085</v>
      </c>
      <c r="C226">
        <v>1.05</v>
      </c>
      <c r="D226" t="s">
        <v>2</v>
      </c>
      <c r="E226">
        <f>+$F$25</f>
        <v>8154.9</v>
      </c>
      <c r="F226">
        <f>C226*E226</f>
        <v>8562.6450000000004</v>
      </c>
    </row>
    <row r="227" spans="2:6">
      <c r="B227" t="s">
        <v>1087</v>
      </c>
      <c r="C227">
        <v>1.89</v>
      </c>
      <c r="D227" t="s">
        <v>126</v>
      </c>
      <c r="E227">
        <f>+$F$62</f>
        <v>2913</v>
      </c>
      <c r="F227">
        <f>C227*E227</f>
        <v>5505.57</v>
      </c>
    </row>
    <row r="228" spans="2:6">
      <c r="B228" t="s">
        <v>1089</v>
      </c>
      <c r="C228">
        <f>1/0.15</f>
        <v>6.6666666666666696</v>
      </c>
      <c r="D228" t="s">
        <v>11</v>
      </c>
      <c r="E228">
        <f>+E222</f>
        <v>350</v>
      </c>
      <c r="F228">
        <f>C228*E228</f>
        <v>2333.3333333333298</v>
      </c>
    </row>
    <row r="229" spans="2:6">
      <c r="E229" t="s">
        <v>1031</v>
      </c>
      <c r="F229">
        <f>ROUND(SUM(F226:F228),2)</f>
        <v>16401.55</v>
      </c>
    </row>
    <row r="231" spans="2:6">
      <c r="B231" t="s">
        <v>587</v>
      </c>
    </row>
    <row r="232" spans="2:6">
      <c r="B232" t="s">
        <v>171</v>
      </c>
      <c r="C232" t="s">
        <v>2</v>
      </c>
      <c r="D232">
        <v>6.3E-2</v>
      </c>
      <c r="E232">
        <f>+F84</f>
        <v>5506.4035999999996</v>
      </c>
      <c r="F232">
        <f t="shared" ref="F232:F237" si="1">E232*D232</f>
        <v>346.90342679999998</v>
      </c>
    </row>
    <row r="233" spans="2:6">
      <c r="B233" t="s">
        <v>154</v>
      </c>
      <c r="C233" t="s">
        <v>155</v>
      </c>
      <c r="D233">
        <v>0.33</v>
      </c>
      <c r="E233">
        <v>45</v>
      </c>
      <c r="F233">
        <f t="shared" si="1"/>
        <v>14.85</v>
      </c>
    </row>
    <row r="234" spans="2:6">
      <c r="B234" t="s">
        <v>156</v>
      </c>
      <c r="C234" t="s">
        <v>42</v>
      </c>
      <c r="D234">
        <v>1</v>
      </c>
      <c r="E234">
        <v>10</v>
      </c>
      <c r="F234">
        <f t="shared" si="1"/>
        <v>10</v>
      </c>
    </row>
    <row r="235" spans="2:6">
      <c r="B235" t="s">
        <v>172</v>
      </c>
      <c r="C235" t="s">
        <v>42</v>
      </c>
      <c r="D235">
        <v>1</v>
      </c>
      <c r="E235">
        <v>10</v>
      </c>
      <c r="F235">
        <f t="shared" si="1"/>
        <v>10</v>
      </c>
    </row>
    <row r="236" spans="2:6">
      <c r="B236" t="s">
        <v>2225</v>
      </c>
      <c r="C236" t="s">
        <v>11</v>
      </c>
      <c r="D236">
        <v>1</v>
      </c>
      <c r="E236">
        <v>120</v>
      </c>
      <c r="F236">
        <f t="shared" si="1"/>
        <v>120</v>
      </c>
    </row>
    <row r="237" spans="2:6">
      <c r="B237" t="s">
        <v>167</v>
      </c>
      <c r="C237" t="s">
        <v>1026</v>
      </c>
      <c r="D237">
        <v>5.2999999999999999E-2</v>
      </c>
      <c r="E237">
        <f>+E251</f>
        <v>325</v>
      </c>
      <c r="F237">
        <f t="shared" si="1"/>
        <v>17.225000000000001</v>
      </c>
    </row>
    <row r="238" spans="2:6">
      <c r="C238" t="s">
        <v>1037</v>
      </c>
      <c r="E238" t="s">
        <v>1038</v>
      </c>
      <c r="F238">
        <f>SUM(F232:F237)</f>
        <v>518.97842679999997</v>
      </c>
    </row>
    <row r="240" spans="2:6">
      <c r="B240" t="s">
        <v>174</v>
      </c>
    </row>
    <row r="241" spans="2:6">
      <c r="B241" t="s">
        <v>175</v>
      </c>
      <c r="C241" t="s">
        <v>2</v>
      </c>
      <c r="D241">
        <v>6.3E-2</v>
      </c>
      <c r="E241">
        <f>+F84</f>
        <v>5506.4035999999996</v>
      </c>
      <c r="F241">
        <f>E241*D241</f>
        <v>346.90342679999998</v>
      </c>
    </row>
    <row r="242" spans="2:6">
      <c r="B242" t="s">
        <v>154</v>
      </c>
      <c r="C242" t="s">
        <v>155</v>
      </c>
      <c r="D242">
        <v>0.33</v>
      </c>
      <c r="E242">
        <v>45</v>
      </c>
      <c r="F242">
        <f>E242*D242</f>
        <v>14.85</v>
      </c>
    </row>
    <row r="243" spans="2:6">
      <c r="B243" t="s">
        <v>176</v>
      </c>
      <c r="C243" t="s">
        <v>42</v>
      </c>
      <c r="D243">
        <v>1</v>
      </c>
      <c r="E243">
        <v>10</v>
      </c>
      <c r="F243">
        <f>E243*D243</f>
        <v>10</v>
      </c>
    </row>
    <row r="244" spans="2:6">
      <c r="B244" t="s">
        <v>41</v>
      </c>
      <c r="C244" t="s">
        <v>11</v>
      </c>
      <c r="D244">
        <v>1</v>
      </c>
      <c r="E244">
        <v>130</v>
      </c>
      <c r="F244">
        <f>E244*D244</f>
        <v>130</v>
      </c>
    </row>
    <row r="245" spans="2:6">
      <c r="C245" t="s">
        <v>1037</v>
      </c>
      <c r="E245" t="s">
        <v>1031</v>
      </c>
      <c r="F245">
        <f>+SUM(F241:F244)</f>
        <v>501.7534268</v>
      </c>
    </row>
    <row r="247" spans="2:6">
      <c r="B247" t="s">
        <v>165</v>
      </c>
    </row>
    <row r="248" spans="2:6">
      <c r="B248" t="s">
        <v>166</v>
      </c>
      <c r="C248" t="s">
        <v>2</v>
      </c>
      <c r="D248">
        <v>2.5999999999999999E-2</v>
      </c>
      <c r="E248">
        <f>+$F$76</f>
        <v>5653.396342</v>
      </c>
      <c r="F248">
        <f>+E248*D248</f>
        <v>146.988304892</v>
      </c>
    </row>
    <row r="249" spans="2:6">
      <c r="B249" t="s">
        <v>154</v>
      </c>
      <c r="C249" t="s">
        <v>155</v>
      </c>
      <c r="D249">
        <v>3.3000000000000002E-2</v>
      </c>
      <c r="E249">
        <v>45</v>
      </c>
      <c r="F249">
        <f>E249*D249</f>
        <v>1.4850000000000001</v>
      </c>
    </row>
    <row r="250" spans="2:6">
      <c r="B250" t="s">
        <v>156</v>
      </c>
      <c r="C250" t="s">
        <v>42</v>
      </c>
      <c r="D250">
        <v>1</v>
      </c>
      <c r="E250">
        <v>10</v>
      </c>
      <c r="F250">
        <f>E250*D250</f>
        <v>10</v>
      </c>
    </row>
    <row r="251" spans="2:6">
      <c r="B251" t="s">
        <v>167</v>
      </c>
      <c r="C251" t="s">
        <v>1026</v>
      </c>
      <c r="D251">
        <v>5.2999999999999999E-2</v>
      </c>
      <c r="E251">
        <f>$F$4</f>
        <v>325</v>
      </c>
      <c r="F251">
        <f>E251*D251</f>
        <v>17.225000000000001</v>
      </c>
    </row>
    <row r="252" spans="2:6">
      <c r="B252" t="s">
        <v>162</v>
      </c>
      <c r="C252" t="s">
        <v>11</v>
      </c>
      <c r="D252">
        <v>1</v>
      </c>
      <c r="E252">
        <v>137</v>
      </c>
      <c r="F252">
        <f>E252*D252</f>
        <v>137</v>
      </c>
    </row>
    <row r="253" spans="2:6">
      <c r="E253" t="s">
        <v>1031</v>
      </c>
      <c r="F253">
        <f>SUM(F248:F252)</f>
        <v>312.69830489200001</v>
      </c>
    </row>
    <row r="254" spans="2:6">
      <c r="B254" t="s">
        <v>158</v>
      </c>
      <c r="D254">
        <f>F253-F251</f>
        <v>295.47330489199999</v>
      </c>
      <c r="F254">
        <f>+F253-F251</f>
        <v>295.47330489199999</v>
      </c>
    </row>
    <row r="256" spans="2:6">
      <c r="B256" t="s">
        <v>1035</v>
      </c>
    </row>
    <row r="257" spans="2:6">
      <c r="B257" t="s">
        <v>153</v>
      </c>
      <c r="C257" t="s">
        <v>2</v>
      </c>
      <c r="D257">
        <v>2.5999999999999999E-2</v>
      </c>
      <c r="E257">
        <f>+$F$76</f>
        <v>5653.396342</v>
      </c>
      <c r="F257">
        <f>E257*D257</f>
        <v>146.988304892</v>
      </c>
    </row>
    <row r="258" spans="2:6">
      <c r="B258" t="s">
        <v>154</v>
      </c>
      <c r="C258" t="s">
        <v>155</v>
      </c>
      <c r="D258">
        <v>3.3000000000000002E-2</v>
      </c>
      <c r="E258">
        <v>45</v>
      </c>
      <c r="F258">
        <f>E258*D258</f>
        <v>1.4850000000000001</v>
      </c>
    </row>
    <row r="259" spans="2:6">
      <c r="B259" t="s">
        <v>156</v>
      </c>
      <c r="C259" t="s">
        <v>42</v>
      </c>
      <c r="D259">
        <v>1</v>
      </c>
      <c r="E259">
        <v>10</v>
      </c>
      <c r="F259">
        <f>E259*D259</f>
        <v>10</v>
      </c>
    </row>
    <row r="260" spans="2:6">
      <c r="B260" t="s">
        <v>41</v>
      </c>
      <c r="C260" t="s">
        <v>11</v>
      </c>
      <c r="D260">
        <v>1</v>
      </c>
      <c r="E260">
        <v>173</v>
      </c>
      <c r="F260">
        <f>E260*D260</f>
        <v>173</v>
      </c>
    </row>
    <row r="261" spans="2:6">
      <c r="E261" t="s">
        <v>1031</v>
      </c>
      <c r="F261">
        <f>SUM(F257:F260)</f>
        <v>331.47330489199999</v>
      </c>
    </row>
    <row r="263" spans="2:6">
      <c r="B263" t="s">
        <v>177</v>
      </c>
    </row>
    <row r="264" spans="2:6">
      <c r="B264" t="s">
        <v>178</v>
      </c>
      <c r="C264" t="s">
        <v>2</v>
      </c>
      <c r="D264">
        <v>4.3E-3</v>
      </c>
      <c r="E264">
        <f>+$F$76</f>
        <v>5653.396342</v>
      </c>
      <c r="F264">
        <f>E264*D264</f>
        <v>24.309604270600001</v>
      </c>
    </row>
    <row r="265" spans="2:6">
      <c r="B265" t="s">
        <v>154</v>
      </c>
      <c r="C265" t="s">
        <v>155</v>
      </c>
      <c r="D265">
        <v>0.109</v>
      </c>
      <c r="E265">
        <v>45</v>
      </c>
      <c r="F265">
        <f>E265*D265</f>
        <v>4.9050000000000002</v>
      </c>
    </row>
    <row r="266" spans="2:6">
      <c r="B266" t="s">
        <v>41</v>
      </c>
      <c r="C266" t="s">
        <v>2</v>
      </c>
      <c r="D266">
        <v>1</v>
      </c>
      <c r="E266">
        <v>53</v>
      </c>
      <c r="F266">
        <f>E266*D266</f>
        <v>53</v>
      </c>
    </row>
    <row r="267" spans="2:6">
      <c r="C267" t="s">
        <v>1037</v>
      </c>
      <c r="E267" t="s">
        <v>1039</v>
      </c>
      <c r="F267">
        <f>SUM(F264:F266)</f>
        <v>82.214604270600006</v>
      </c>
    </row>
    <row r="269" spans="2:6">
      <c r="B269" t="s">
        <v>862</v>
      </c>
    </row>
    <row r="270" spans="2:6">
      <c r="B270" t="s">
        <v>1071</v>
      </c>
      <c r="C270" t="s">
        <v>976</v>
      </c>
      <c r="D270">
        <v>0.2</v>
      </c>
      <c r="E270">
        <f>+F552</f>
        <v>920.16885732000003</v>
      </c>
      <c r="F270">
        <f>E270*D270</f>
        <v>184.03377146400001</v>
      </c>
    </row>
    <row r="271" spans="2:6">
      <c r="B271" t="s">
        <v>259</v>
      </c>
      <c r="C271" t="s">
        <v>11</v>
      </c>
      <c r="D271">
        <v>0.55000000000000004</v>
      </c>
      <c r="E271">
        <f>+F261</f>
        <v>331.47330489199999</v>
      </c>
      <c r="F271">
        <f>E271*D271</f>
        <v>182.31031769059999</v>
      </c>
    </row>
    <row r="272" spans="2:6">
      <c r="B272" t="s">
        <v>618</v>
      </c>
      <c r="C272" t="s">
        <v>1</v>
      </c>
      <c r="D272">
        <v>2</v>
      </c>
      <c r="E272">
        <f>+F267</f>
        <v>82.214604270600006</v>
      </c>
      <c r="F272">
        <f>E272*D272</f>
        <v>164.42920854120001</v>
      </c>
    </row>
    <row r="273" spans="2:6">
      <c r="E273" t="s">
        <v>1031</v>
      </c>
      <c r="F273">
        <f>SUM(F270:F272)</f>
        <v>530.77329769580001</v>
      </c>
    </row>
    <row r="275" spans="2:6">
      <c r="B275" t="s">
        <v>1229</v>
      </c>
    </row>
    <row r="276" spans="2:6">
      <c r="B276" t="s">
        <v>1059</v>
      </c>
      <c r="C276" t="s">
        <v>11</v>
      </c>
      <c r="D276">
        <v>1</v>
      </c>
      <c r="E276">
        <v>18</v>
      </c>
      <c r="F276">
        <f>E276*D276</f>
        <v>18</v>
      </c>
    </row>
    <row r="277" spans="2:6">
      <c r="B277" t="s">
        <v>2234</v>
      </c>
      <c r="C277" t="s">
        <v>2</v>
      </c>
      <c r="D277">
        <v>0.105</v>
      </c>
      <c r="E277">
        <f>+F43</f>
        <v>5050.6549999999997</v>
      </c>
      <c r="F277">
        <f>E277*D277</f>
        <v>530.31877499999996</v>
      </c>
    </row>
    <row r="278" spans="2:6">
      <c r="B278" t="s">
        <v>154</v>
      </c>
      <c r="C278" t="s">
        <v>155</v>
      </c>
      <c r="D278">
        <v>2.1999999999999999E-2</v>
      </c>
      <c r="E278">
        <v>45</v>
      </c>
      <c r="F278">
        <f>E278*D278</f>
        <v>0.99</v>
      </c>
    </row>
    <row r="279" spans="2:6">
      <c r="B279" t="s">
        <v>1061</v>
      </c>
      <c r="C279" t="s">
        <v>11</v>
      </c>
      <c r="D279">
        <v>1</v>
      </c>
      <c r="E279">
        <v>125</v>
      </c>
      <c r="F279">
        <f>E279*D279</f>
        <v>125</v>
      </c>
    </row>
    <row r="280" spans="2:6">
      <c r="B280" t="s">
        <v>1062</v>
      </c>
      <c r="C280" t="s">
        <v>1</v>
      </c>
      <c r="D280">
        <f>1/0.8</f>
        <v>1.25</v>
      </c>
      <c r="E280">
        <f>+F267</f>
        <v>82.214604270600006</v>
      </c>
      <c r="F280">
        <f>E280*D280</f>
        <v>102.76825533825</v>
      </c>
    </row>
    <row r="281" spans="2:6">
      <c r="E281" t="s">
        <v>1031</v>
      </c>
      <c r="F281">
        <f>SUM(F276:F280)</f>
        <v>777.07703033824998</v>
      </c>
    </row>
    <row r="282" spans="2:6">
      <c r="E282">
        <v>0.8</v>
      </c>
      <c r="F282">
        <f>ROUND(F281-F280+E280*1/0.8,2)</f>
        <v>777.08</v>
      </c>
    </row>
    <row r="283" spans="2:6">
      <c r="E283">
        <v>1</v>
      </c>
    </row>
    <row r="284" spans="2:6">
      <c r="B284" t="s">
        <v>781</v>
      </c>
    </row>
    <row r="285" spans="2:6">
      <c r="B285" t="s">
        <v>1225</v>
      </c>
      <c r="C285">
        <v>1.05</v>
      </c>
      <c r="D285" t="s">
        <v>2</v>
      </c>
      <c r="E285" t="e">
        <f>+E503</f>
        <v>#REF!</v>
      </c>
      <c r="F285" t="e">
        <f>C285*E285</f>
        <v>#REF!</v>
      </c>
    </row>
    <row r="286" spans="2:6">
      <c r="B286" t="s">
        <v>1087</v>
      </c>
      <c r="C286">
        <v>4.4800000000000004</v>
      </c>
      <c r="D286" t="s">
        <v>126</v>
      </c>
      <c r="E286">
        <f>+E504</f>
        <v>2913</v>
      </c>
      <c r="F286">
        <f>C286*E286</f>
        <v>13050.24</v>
      </c>
    </row>
    <row r="287" spans="2:6">
      <c r="B287" t="s">
        <v>1089</v>
      </c>
      <c r="C287">
        <f>1/(0.2*0.15)</f>
        <v>33.3333333333333</v>
      </c>
      <c r="D287" t="s">
        <v>1</v>
      </c>
      <c r="E287">
        <v>1000</v>
      </c>
      <c r="F287">
        <f>C287*E287</f>
        <v>33333.333333333299</v>
      </c>
    </row>
    <row r="288" spans="2:6">
      <c r="E288" t="s">
        <v>1031</v>
      </c>
      <c r="F288" t="e">
        <f>ROUND(SUM(F285:F287),2)</f>
        <v>#REF!</v>
      </c>
    </row>
    <row r="290" spans="2:6">
      <c r="B290" t="s">
        <v>597</v>
      </c>
    </row>
    <row r="291" spans="2:6">
      <c r="B291" t="s">
        <v>1225</v>
      </c>
      <c r="C291">
        <v>1.05</v>
      </c>
      <c r="D291" t="s">
        <v>2</v>
      </c>
      <c r="E291" t="e">
        <f>+#REF!</f>
        <v>#REF!</v>
      </c>
      <c r="F291" t="e">
        <f>C291*E291</f>
        <v>#REF!</v>
      </c>
    </row>
    <row r="292" spans="2:6">
      <c r="B292" t="s">
        <v>272</v>
      </c>
      <c r="C292">
        <v>0.99</v>
      </c>
      <c r="D292" t="s">
        <v>126</v>
      </c>
      <c r="E292">
        <f>+F530</f>
        <v>2590</v>
      </c>
      <c r="F292">
        <f>C292*E292</f>
        <v>2564.1</v>
      </c>
    </row>
    <row r="293" spans="2:6">
      <c r="E293" t="s">
        <v>1031</v>
      </c>
      <c r="F293" t="e">
        <f>ROUND(SUM(F291:F292),2)</f>
        <v>#REF!</v>
      </c>
    </row>
    <row r="295" spans="2:6">
      <c r="B295" t="s">
        <v>599</v>
      </c>
    </row>
    <row r="296" spans="2:6">
      <c r="B296" t="s">
        <v>1225</v>
      </c>
      <c r="C296">
        <v>1.05</v>
      </c>
      <c r="D296" t="s">
        <v>2</v>
      </c>
      <c r="E296" t="e">
        <f>+E291</f>
        <v>#REF!</v>
      </c>
      <c r="F296" t="e">
        <f>C296*E296</f>
        <v>#REF!</v>
      </c>
    </row>
    <row r="297" spans="2:6">
      <c r="B297" t="s">
        <v>1087</v>
      </c>
      <c r="C297">
        <v>2.5</v>
      </c>
      <c r="D297" t="s">
        <v>126</v>
      </c>
      <c r="E297">
        <f>+E611</f>
        <v>2913</v>
      </c>
      <c r="F297">
        <f>C297*E297</f>
        <v>7282.5</v>
      </c>
    </row>
    <row r="298" spans="2:6">
      <c r="B298" t="s">
        <v>1089</v>
      </c>
      <c r="C298">
        <f>1/0.15</f>
        <v>6.6666666666666696</v>
      </c>
      <c r="D298" t="s">
        <v>1</v>
      </c>
      <c r="E298">
        <v>1000</v>
      </c>
      <c r="F298">
        <f>C298*E298</f>
        <v>6666.6666666666697</v>
      </c>
    </row>
    <row r="299" spans="2:6">
      <c r="E299" t="s">
        <v>1031</v>
      </c>
      <c r="F299" t="e">
        <f>ROUND(SUM(F296:F298),2)</f>
        <v>#REF!</v>
      </c>
    </row>
    <row r="301" spans="2:6">
      <c r="B301" t="s">
        <v>141</v>
      </c>
    </row>
    <row r="302" spans="2:6">
      <c r="B302" t="s">
        <v>1770</v>
      </c>
      <c r="C302" t="s">
        <v>2</v>
      </c>
      <c r="D302">
        <v>1.02</v>
      </c>
      <c r="E302">
        <v>7384</v>
      </c>
      <c r="F302">
        <f>E302*D302</f>
        <v>7531.68</v>
      </c>
    </row>
    <row r="303" spans="2:6">
      <c r="E303" t="s">
        <v>1031</v>
      </c>
      <c r="F303">
        <f>SUM(F302:F302)</f>
        <v>7531.68</v>
      </c>
    </row>
    <row r="305" spans="2:6" ht="12" customHeight="1"/>
    <row r="306" spans="2:6" hidden="1">
      <c r="B306" t="s">
        <v>607</v>
      </c>
    </row>
    <row r="307" spans="2:6" hidden="1"/>
    <row r="308" spans="2:6" hidden="1">
      <c r="B308" t="s">
        <v>609</v>
      </c>
    </row>
    <row r="309" spans="2:6" hidden="1">
      <c r="B309" t="s">
        <v>1225</v>
      </c>
      <c r="C309">
        <v>1.05</v>
      </c>
      <c r="D309" t="s">
        <v>2</v>
      </c>
      <c r="E309" t="e">
        <f>+E296</f>
        <v>#REF!</v>
      </c>
      <c r="F309" t="e">
        <f>C309*E309</f>
        <v>#REF!</v>
      </c>
    </row>
    <row r="310" spans="2:6" hidden="1">
      <c r="B310" t="s">
        <v>272</v>
      </c>
      <c r="C310">
        <v>0.99</v>
      </c>
      <c r="D310" t="s">
        <v>126</v>
      </c>
      <c r="E310">
        <f>+E297</f>
        <v>2913</v>
      </c>
      <c r="F310">
        <f>C310*E310</f>
        <v>2883.87</v>
      </c>
    </row>
    <row r="311" spans="2:6" hidden="1">
      <c r="E311" t="s">
        <v>1031</v>
      </c>
      <c r="F311" t="e">
        <f>ROUND(SUM(F309:F310),2)</f>
        <v>#REF!</v>
      </c>
    </row>
    <row r="312" spans="2:6" hidden="1"/>
    <row r="313" spans="2:6" hidden="1">
      <c r="B313" t="s">
        <v>611</v>
      </c>
    </row>
    <row r="314" spans="2:6" hidden="1">
      <c r="B314" t="s">
        <v>1225</v>
      </c>
      <c r="C314">
        <v>1.05</v>
      </c>
      <c r="D314" t="s">
        <v>2</v>
      </c>
      <c r="E314" t="e">
        <f>+E309</f>
        <v>#REF!</v>
      </c>
      <c r="F314" t="e">
        <f>C314*E314</f>
        <v>#REF!</v>
      </c>
    </row>
    <row r="315" spans="2:6" hidden="1">
      <c r="B315" t="s">
        <v>1087</v>
      </c>
      <c r="C315">
        <v>2.5</v>
      </c>
      <c r="D315" t="s">
        <v>126</v>
      </c>
      <c r="E315">
        <f>+E297</f>
        <v>2913</v>
      </c>
      <c r="F315">
        <f>C315*E315</f>
        <v>7282.5</v>
      </c>
    </row>
    <row r="316" spans="2:6" hidden="1">
      <c r="B316" t="s">
        <v>1089</v>
      </c>
      <c r="C316">
        <f>1/0.3</f>
        <v>3.3333333333333299</v>
      </c>
      <c r="D316" t="s">
        <v>1</v>
      </c>
      <c r="E316">
        <v>1000</v>
      </c>
      <c r="F316">
        <f>C316*E316</f>
        <v>3333.3333333333298</v>
      </c>
    </row>
    <row r="317" spans="2:6" hidden="1">
      <c r="E317" t="s">
        <v>1031</v>
      </c>
      <c r="F317" t="e">
        <f>ROUND(SUM(F314:F316),2)</f>
        <v>#REF!</v>
      </c>
    </row>
    <row r="318" spans="2:6" hidden="1"/>
    <row r="319" spans="2:6" hidden="1">
      <c r="B319" t="s">
        <v>613</v>
      </c>
    </row>
    <row r="320" spans="2:6" hidden="1">
      <c r="B320" t="s">
        <v>1225</v>
      </c>
      <c r="C320">
        <v>1.05</v>
      </c>
      <c r="D320" t="s">
        <v>2</v>
      </c>
      <c r="E320" t="e">
        <f>+E314</f>
        <v>#REF!</v>
      </c>
      <c r="F320" t="e">
        <f>C320*E320</f>
        <v>#REF!</v>
      </c>
    </row>
    <row r="321" spans="2:6" hidden="1">
      <c r="B321" t="s">
        <v>1087</v>
      </c>
      <c r="C321">
        <v>3.06</v>
      </c>
      <c r="D321" t="s">
        <v>126</v>
      </c>
      <c r="E321">
        <f>+E315</f>
        <v>2913</v>
      </c>
      <c r="F321">
        <f>C321*E321</f>
        <v>8913.7800000000007</v>
      </c>
    </row>
    <row r="322" spans="2:6" hidden="1">
      <c r="B322" t="s">
        <v>1089</v>
      </c>
      <c r="C322">
        <f>1/0.25</f>
        <v>4</v>
      </c>
      <c r="D322" t="s">
        <v>1</v>
      </c>
      <c r="E322">
        <v>1000</v>
      </c>
      <c r="F322">
        <f>C322*E322</f>
        <v>4000</v>
      </c>
    </row>
    <row r="323" spans="2:6" hidden="1">
      <c r="E323" t="s">
        <v>1031</v>
      </c>
      <c r="F323" t="e">
        <f>ROUND(SUM(F320:F322),2)</f>
        <v>#REF!</v>
      </c>
    </row>
    <row r="324" spans="2:6" hidden="1"/>
    <row r="325" spans="2:6" hidden="1">
      <c r="B325" t="s">
        <v>626</v>
      </c>
    </row>
    <row r="326" spans="2:6" hidden="1"/>
    <row r="327" spans="2:6" hidden="1">
      <c r="B327" t="s">
        <v>629</v>
      </c>
    </row>
    <row r="328" spans="2:6" hidden="1">
      <c r="B328" t="s">
        <v>1225</v>
      </c>
      <c r="C328">
        <v>1.05</v>
      </c>
      <c r="D328" t="s">
        <v>2</v>
      </c>
      <c r="E328" t="e">
        <f>+E320</f>
        <v>#REF!</v>
      </c>
      <c r="F328" t="e">
        <f>C328*E328</f>
        <v>#REF!</v>
      </c>
    </row>
    <row r="329" spans="2:6" hidden="1">
      <c r="B329" t="s">
        <v>272</v>
      </c>
      <c r="C329">
        <v>1.42</v>
      </c>
      <c r="D329" t="s">
        <v>126</v>
      </c>
      <c r="E329">
        <f>+E321</f>
        <v>2913</v>
      </c>
      <c r="F329">
        <f>C329*E329</f>
        <v>4136.46</v>
      </c>
    </row>
    <row r="330" spans="2:6" hidden="1">
      <c r="E330" t="s">
        <v>1031</v>
      </c>
      <c r="F330" t="e">
        <f>ROUND(SUM(F328:F329),2)</f>
        <v>#REF!</v>
      </c>
    </row>
    <row r="331" spans="2:6" hidden="1"/>
    <row r="332" spans="2:6" hidden="1">
      <c r="B332" t="s">
        <v>633</v>
      </c>
    </row>
    <row r="333" spans="2:6" hidden="1"/>
    <row r="334" spans="2:6" hidden="1">
      <c r="B334" t="s">
        <v>629</v>
      </c>
    </row>
    <row r="335" spans="2:6" hidden="1">
      <c r="B335" t="s">
        <v>1225</v>
      </c>
      <c r="C335">
        <v>1.05</v>
      </c>
      <c r="D335" t="s">
        <v>2</v>
      </c>
      <c r="E335" t="e">
        <f>+E328</f>
        <v>#REF!</v>
      </c>
      <c r="F335" t="e">
        <f>C335*E335</f>
        <v>#REF!</v>
      </c>
    </row>
    <row r="336" spans="2:6" hidden="1">
      <c r="B336" t="s">
        <v>272</v>
      </c>
      <c r="C336">
        <v>1.42</v>
      </c>
      <c r="D336" t="s">
        <v>126</v>
      </c>
      <c r="E336">
        <f>+E329</f>
        <v>2913</v>
      </c>
      <c r="F336">
        <f>C336*E336</f>
        <v>4136.46</v>
      </c>
    </row>
    <row r="337" spans="2:6" hidden="1">
      <c r="E337" t="s">
        <v>1031</v>
      </c>
      <c r="F337" t="e">
        <f>ROUND(SUM(F335:F336),2)</f>
        <v>#REF!</v>
      </c>
    </row>
    <row r="338" spans="2:6" hidden="1"/>
    <row r="339" spans="2:6" hidden="1">
      <c r="B339" t="s">
        <v>642</v>
      </c>
    </row>
    <row r="340" spans="2:6" hidden="1"/>
    <row r="341" spans="2:6" hidden="1">
      <c r="B341" t="s">
        <v>609</v>
      </c>
    </row>
    <row r="342" spans="2:6" hidden="1">
      <c r="B342" t="s">
        <v>1225</v>
      </c>
      <c r="C342">
        <v>1.05</v>
      </c>
      <c r="D342" t="s">
        <v>2</v>
      </c>
      <c r="E342" t="e">
        <f>+E335</f>
        <v>#REF!</v>
      </c>
      <c r="F342" t="e">
        <f>C342*E342</f>
        <v>#REF!</v>
      </c>
    </row>
    <row r="343" spans="2:6" hidden="1">
      <c r="B343" t="s">
        <v>272</v>
      </c>
      <c r="C343">
        <v>0.99</v>
      </c>
      <c r="D343" t="s">
        <v>126</v>
      </c>
      <c r="E343">
        <f>+E336</f>
        <v>2913</v>
      </c>
      <c r="F343">
        <f>C343*E343</f>
        <v>2883.87</v>
      </c>
    </row>
    <row r="344" spans="2:6" hidden="1">
      <c r="E344" t="s">
        <v>1031</v>
      </c>
      <c r="F344" t="e">
        <f>ROUND(SUM(F342:F343),2)</f>
        <v>#REF!</v>
      </c>
    </row>
    <row r="345" spans="2:6" hidden="1"/>
    <row r="346" spans="2:6" hidden="1">
      <c r="B346" t="s">
        <v>611</v>
      </c>
    </row>
    <row r="347" spans="2:6" hidden="1">
      <c r="B347" t="s">
        <v>1225</v>
      </c>
      <c r="C347">
        <v>1.05</v>
      </c>
      <c r="D347" t="s">
        <v>2</v>
      </c>
      <c r="E347" t="e">
        <f>+E342</f>
        <v>#REF!</v>
      </c>
      <c r="F347" t="e">
        <f>C347*E347</f>
        <v>#REF!</v>
      </c>
    </row>
    <row r="348" spans="2:6" hidden="1">
      <c r="B348" t="s">
        <v>1087</v>
      </c>
      <c r="C348">
        <v>2.5</v>
      </c>
      <c r="D348" t="s">
        <v>126</v>
      </c>
      <c r="E348">
        <f>+E343</f>
        <v>2913</v>
      </c>
      <c r="F348">
        <f>C348*E348</f>
        <v>7282.5</v>
      </c>
    </row>
    <row r="349" spans="2:6" hidden="1">
      <c r="B349" t="s">
        <v>1089</v>
      </c>
      <c r="C349">
        <f>1/0.3</f>
        <v>3.3333333333333299</v>
      </c>
      <c r="D349" t="s">
        <v>1</v>
      </c>
      <c r="E349">
        <v>1000</v>
      </c>
      <c r="F349">
        <f>C349*E349</f>
        <v>3333.3333333333298</v>
      </c>
    </row>
    <row r="350" spans="2:6" hidden="1">
      <c r="E350" t="s">
        <v>1031</v>
      </c>
      <c r="F350" t="e">
        <f>ROUND(SUM(F347:F349),2)</f>
        <v>#REF!</v>
      </c>
    </row>
    <row r="351" spans="2:6" hidden="1"/>
    <row r="352" spans="2:6" hidden="1">
      <c r="B352" t="s">
        <v>645</v>
      </c>
    </row>
    <row r="353" spans="2:6" hidden="1">
      <c r="B353" t="s">
        <v>1225</v>
      </c>
      <c r="C353">
        <v>1.05</v>
      </c>
      <c r="D353" t="s">
        <v>2</v>
      </c>
      <c r="E353" t="e">
        <f>+E347</f>
        <v>#REF!</v>
      </c>
      <c r="F353" t="e">
        <f>C353*E353</f>
        <v>#REF!</v>
      </c>
    </row>
    <row r="354" spans="2:6" hidden="1">
      <c r="B354" t="s">
        <v>1087</v>
      </c>
      <c r="C354">
        <v>2.3199999999999998</v>
      </c>
      <c r="D354" t="s">
        <v>126</v>
      </c>
      <c r="E354">
        <f>+E348</f>
        <v>2913</v>
      </c>
      <c r="F354">
        <f>C354*E354</f>
        <v>6758.16</v>
      </c>
    </row>
    <row r="355" spans="2:6" hidden="1">
      <c r="B355" t="s">
        <v>1089</v>
      </c>
      <c r="C355">
        <f>1/0.25</f>
        <v>4</v>
      </c>
      <c r="D355" t="s">
        <v>1</v>
      </c>
      <c r="E355">
        <v>1000</v>
      </c>
      <c r="F355">
        <f>C355*E355</f>
        <v>4000</v>
      </c>
    </row>
    <row r="356" spans="2:6" hidden="1">
      <c r="E356" t="s">
        <v>1031</v>
      </c>
      <c r="F356" t="e">
        <f>ROUND(SUM(F353:F355),2)</f>
        <v>#REF!</v>
      </c>
    </row>
    <row r="357" spans="2:6" hidden="1"/>
    <row r="358" spans="2:6" hidden="1">
      <c r="B358" t="s">
        <v>629</v>
      </c>
    </row>
    <row r="359" spans="2:6" hidden="1">
      <c r="B359" t="s">
        <v>1225</v>
      </c>
      <c r="C359">
        <v>1.05</v>
      </c>
      <c r="D359" t="s">
        <v>2</v>
      </c>
      <c r="E359" t="e">
        <f>+E335</f>
        <v>#REF!</v>
      </c>
      <c r="F359" t="e">
        <f>C359*E359</f>
        <v>#REF!</v>
      </c>
    </row>
    <row r="360" spans="2:6" hidden="1">
      <c r="B360" t="s">
        <v>272</v>
      </c>
      <c r="C360">
        <v>1.42</v>
      </c>
      <c r="D360" t="s">
        <v>126</v>
      </c>
      <c r="E360">
        <f>+E336</f>
        <v>2913</v>
      </c>
      <c r="F360">
        <f>C360*E360</f>
        <v>4136.46</v>
      </c>
    </row>
    <row r="361" spans="2:6" hidden="1">
      <c r="E361" t="s">
        <v>1031</v>
      </c>
      <c r="F361" t="e">
        <f>ROUND(SUM(F359:F360),2)</f>
        <v>#REF!</v>
      </c>
    </row>
    <row r="362" spans="2:6" hidden="1"/>
    <row r="363" spans="2:6" hidden="1">
      <c r="B363" t="s">
        <v>662</v>
      </c>
    </row>
    <row r="364" spans="2:6" hidden="1"/>
    <row r="365" spans="2:6" hidden="1">
      <c r="B365" t="s">
        <v>629</v>
      </c>
    </row>
    <row r="366" spans="2:6" hidden="1">
      <c r="B366" t="s">
        <v>1225</v>
      </c>
      <c r="C366">
        <v>1.05</v>
      </c>
      <c r="D366" t="s">
        <v>2</v>
      </c>
      <c r="E366" t="e">
        <f>+E342</f>
        <v>#REF!</v>
      </c>
      <c r="F366" t="e">
        <f>C366*E366</f>
        <v>#REF!</v>
      </c>
    </row>
    <row r="367" spans="2:6" hidden="1">
      <c r="B367" t="s">
        <v>272</v>
      </c>
      <c r="C367">
        <v>1.42</v>
      </c>
      <c r="D367" t="s">
        <v>126</v>
      </c>
      <c r="E367">
        <f>+E343</f>
        <v>2913</v>
      </c>
      <c r="F367">
        <f>C367*E367</f>
        <v>4136.46</v>
      </c>
    </row>
    <row r="368" spans="2:6" hidden="1">
      <c r="E368" t="s">
        <v>1031</v>
      </c>
      <c r="F368" t="e">
        <f>ROUND(SUM(F366:F367),2)</f>
        <v>#REF!</v>
      </c>
    </row>
    <row r="369" spans="2:6" hidden="1"/>
    <row r="370" spans="2:6" hidden="1">
      <c r="B370" t="s">
        <v>1227</v>
      </c>
    </row>
    <row r="371" spans="2:6" hidden="1">
      <c r="B371" t="s">
        <v>1225</v>
      </c>
      <c r="C371">
        <v>1.05</v>
      </c>
      <c r="D371" t="s">
        <v>2</v>
      </c>
      <c r="E371" t="e">
        <f>+E366</f>
        <v>#REF!</v>
      </c>
      <c r="F371" t="e">
        <f>C371*E371</f>
        <v>#REF!</v>
      </c>
    </row>
    <row r="372" spans="2:6" hidden="1">
      <c r="B372" t="s">
        <v>1087</v>
      </c>
      <c r="C372">
        <v>3.06</v>
      </c>
      <c r="D372" t="s">
        <v>126</v>
      </c>
      <c r="E372">
        <f>+E367</f>
        <v>2913</v>
      </c>
      <c r="F372">
        <f>C372*E372</f>
        <v>8913.7800000000007</v>
      </c>
    </row>
    <row r="373" spans="2:6" hidden="1">
      <c r="B373" t="s">
        <v>1089</v>
      </c>
      <c r="C373">
        <f>1/0.25</f>
        <v>4</v>
      </c>
      <c r="D373" t="s">
        <v>1</v>
      </c>
      <c r="E373">
        <v>1000</v>
      </c>
      <c r="F373">
        <f>C373*E373</f>
        <v>4000</v>
      </c>
    </row>
    <row r="374" spans="2:6" hidden="1">
      <c r="E374" t="s">
        <v>1031</v>
      </c>
      <c r="F374" t="e">
        <f>ROUND(SUM(F371:F373),2)</f>
        <v>#REF!</v>
      </c>
    </row>
    <row r="375" spans="2:6" hidden="1"/>
    <row r="376" spans="2:6" hidden="1">
      <c r="B376" t="s">
        <v>666</v>
      </c>
    </row>
    <row r="377" spans="2:6" hidden="1"/>
    <row r="378" spans="2:6" hidden="1">
      <c r="B378" t="s">
        <v>668</v>
      </c>
    </row>
    <row r="379" spans="2:6" hidden="1">
      <c r="B379" t="s">
        <v>1225</v>
      </c>
      <c r="C379">
        <v>1.05</v>
      </c>
      <c r="D379" t="s">
        <v>2</v>
      </c>
      <c r="E379" t="e">
        <f>+E366</f>
        <v>#REF!</v>
      </c>
      <c r="F379" t="e">
        <f>C379*E379</f>
        <v>#REF!</v>
      </c>
    </row>
    <row r="380" spans="2:6" hidden="1">
      <c r="B380" t="s">
        <v>272</v>
      </c>
      <c r="C380">
        <v>0.99</v>
      </c>
      <c r="D380" t="s">
        <v>126</v>
      </c>
      <c r="E380">
        <f>+E367</f>
        <v>2913</v>
      </c>
      <c r="F380">
        <f>C380*E380</f>
        <v>2883.87</v>
      </c>
    </row>
    <row r="381" spans="2:6" hidden="1">
      <c r="E381" t="s">
        <v>1031</v>
      </c>
      <c r="F381" t="e">
        <f>ROUND(SUM(F379:F380),2)</f>
        <v>#REF!</v>
      </c>
    </row>
    <row r="382" spans="2:6" hidden="1"/>
    <row r="383" spans="2:6" hidden="1">
      <c r="B383" t="s">
        <v>671</v>
      </c>
    </row>
    <row r="384" spans="2:6" hidden="1"/>
    <row r="385" spans="2:6" hidden="1">
      <c r="B385" t="s">
        <v>629</v>
      </c>
    </row>
    <row r="386" spans="2:6" hidden="1">
      <c r="B386" t="s">
        <v>1225</v>
      </c>
      <c r="C386">
        <v>1.05</v>
      </c>
      <c r="D386" t="s">
        <v>2</v>
      </c>
      <c r="E386" t="e">
        <f>+E379</f>
        <v>#REF!</v>
      </c>
      <c r="F386" t="e">
        <f>C386*E386</f>
        <v>#REF!</v>
      </c>
    </row>
    <row r="387" spans="2:6" hidden="1">
      <c r="B387" t="s">
        <v>272</v>
      </c>
      <c r="C387">
        <v>1.42</v>
      </c>
      <c r="D387" t="s">
        <v>126</v>
      </c>
      <c r="E387">
        <f>+E380</f>
        <v>2913</v>
      </c>
      <c r="F387">
        <f>C387*E387</f>
        <v>4136.46</v>
      </c>
    </row>
    <row r="388" spans="2:6" hidden="1">
      <c r="E388" t="s">
        <v>1031</v>
      </c>
      <c r="F388" t="e">
        <f>ROUND(SUM(F386:F387),2)</f>
        <v>#REF!</v>
      </c>
    </row>
    <row r="389" spans="2:6" hidden="1"/>
    <row r="390" spans="2:6" hidden="1">
      <c r="B390" t="s">
        <v>673</v>
      </c>
    </row>
    <row r="391" spans="2:6" hidden="1"/>
    <row r="392" spans="2:6" hidden="1">
      <c r="B392" t="s">
        <v>609</v>
      </c>
    </row>
    <row r="393" spans="2:6" hidden="1">
      <c r="B393" t="s">
        <v>1225</v>
      </c>
      <c r="C393">
        <v>1.05</v>
      </c>
      <c r="D393" t="s">
        <v>2</v>
      </c>
      <c r="E393" t="e">
        <f>+E386</f>
        <v>#REF!</v>
      </c>
      <c r="F393" t="e">
        <f>C393*E393</f>
        <v>#REF!</v>
      </c>
    </row>
    <row r="394" spans="2:6" hidden="1">
      <c r="B394" t="s">
        <v>272</v>
      </c>
      <c r="C394">
        <v>0.99</v>
      </c>
      <c r="D394" t="s">
        <v>126</v>
      </c>
      <c r="E394">
        <f>+E387</f>
        <v>2913</v>
      </c>
      <c r="F394">
        <f>C394*E394</f>
        <v>2883.87</v>
      </c>
    </row>
    <row r="395" spans="2:6" hidden="1">
      <c r="E395" t="s">
        <v>1031</v>
      </c>
      <c r="F395" t="e">
        <f>ROUND(SUM(F393:F394),2)</f>
        <v>#REF!</v>
      </c>
    </row>
    <row r="396" spans="2:6" hidden="1"/>
    <row r="397" spans="2:6" hidden="1">
      <c r="B397" t="s">
        <v>611</v>
      </c>
    </row>
    <row r="398" spans="2:6" hidden="1">
      <c r="B398" t="s">
        <v>1225</v>
      </c>
      <c r="C398">
        <v>1.05</v>
      </c>
      <c r="D398" t="s">
        <v>2</v>
      </c>
      <c r="E398" t="e">
        <f>+E393</f>
        <v>#REF!</v>
      </c>
      <c r="F398" t="e">
        <f>C398*E398</f>
        <v>#REF!</v>
      </c>
    </row>
    <row r="399" spans="2:6" hidden="1">
      <c r="B399" t="s">
        <v>1087</v>
      </c>
      <c r="C399">
        <v>2.5</v>
      </c>
      <c r="D399" t="s">
        <v>126</v>
      </c>
      <c r="E399">
        <f>+E394</f>
        <v>2913</v>
      </c>
      <c r="F399">
        <f>C399*E399</f>
        <v>7282.5</v>
      </c>
    </row>
    <row r="400" spans="2:6" hidden="1">
      <c r="B400" t="s">
        <v>1089</v>
      </c>
      <c r="C400">
        <f>1/0.3</f>
        <v>3.3333333333333299</v>
      </c>
      <c r="D400" t="s">
        <v>1</v>
      </c>
      <c r="E400">
        <v>1000</v>
      </c>
      <c r="F400">
        <f>C400*E400</f>
        <v>3333.3333333333298</v>
      </c>
    </row>
    <row r="401" spans="2:6" hidden="1">
      <c r="E401" t="s">
        <v>1031</v>
      </c>
      <c r="F401" t="e">
        <f>ROUND(SUM(F398:F400),2)</f>
        <v>#REF!</v>
      </c>
    </row>
    <row r="402" spans="2:6" hidden="1"/>
    <row r="403" spans="2:6" hidden="1">
      <c r="B403" t="s">
        <v>613</v>
      </c>
    </row>
    <row r="404" spans="2:6" hidden="1">
      <c r="B404" t="s">
        <v>1225</v>
      </c>
      <c r="C404">
        <v>1.05</v>
      </c>
      <c r="D404" t="s">
        <v>2</v>
      </c>
      <c r="E404" t="e">
        <f>+E398</f>
        <v>#REF!</v>
      </c>
      <c r="F404" t="e">
        <f>C404*E404</f>
        <v>#REF!</v>
      </c>
    </row>
    <row r="405" spans="2:6" hidden="1">
      <c r="B405" t="s">
        <v>1087</v>
      </c>
      <c r="C405">
        <v>3.06</v>
      </c>
      <c r="D405" t="s">
        <v>126</v>
      </c>
      <c r="E405">
        <f>+E399</f>
        <v>2913</v>
      </c>
      <c r="F405">
        <f>C405*E405</f>
        <v>8913.7800000000007</v>
      </c>
    </row>
    <row r="406" spans="2:6" hidden="1">
      <c r="B406" t="s">
        <v>1089</v>
      </c>
      <c r="C406">
        <f>1/0.25</f>
        <v>4</v>
      </c>
      <c r="D406" t="s">
        <v>1</v>
      </c>
      <c r="E406">
        <v>1000</v>
      </c>
      <c r="F406">
        <f>C406*E406</f>
        <v>4000</v>
      </c>
    </row>
    <row r="407" spans="2:6" hidden="1">
      <c r="E407" t="s">
        <v>1031</v>
      </c>
      <c r="F407" t="e">
        <f>ROUND(SUM(F404:F406),2)</f>
        <v>#REF!</v>
      </c>
    </row>
    <row r="408" spans="2:6" hidden="1"/>
    <row r="409" spans="2:6" hidden="1">
      <c r="B409" t="s">
        <v>676</v>
      </c>
    </row>
    <row r="410" spans="2:6" hidden="1">
      <c r="B410" t="s">
        <v>1225</v>
      </c>
      <c r="C410">
        <v>1.05</v>
      </c>
      <c r="D410" t="s">
        <v>2</v>
      </c>
      <c r="E410" t="e">
        <f>+E404</f>
        <v>#REF!</v>
      </c>
      <c r="F410" t="e">
        <f>C410*E410</f>
        <v>#REF!</v>
      </c>
    </row>
    <row r="411" spans="2:6" hidden="1">
      <c r="B411" t="s">
        <v>1087</v>
      </c>
      <c r="C411">
        <v>2.75</v>
      </c>
      <c r="D411" t="s">
        <v>126</v>
      </c>
      <c r="E411">
        <f>+E405</f>
        <v>2913</v>
      </c>
      <c r="F411">
        <f>C411*E411</f>
        <v>8010.75</v>
      </c>
    </row>
    <row r="412" spans="2:6" hidden="1">
      <c r="B412" t="s">
        <v>1089</v>
      </c>
      <c r="C412">
        <f>1/0.15</f>
        <v>6.6666666666666696</v>
      </c>
      <c r="D412" t="s">
        <v>1</v>
      </c>
      <c r="E412">
        <v>1000</v>
      </c>
      <c r="F412">
        <f>C412*E412</f>
        <v>6666.6666666666697</v>
      </c>
    </row>
    <row r="413" spans="2:6" hidden="1">
      <c r="E413" t="s">
        <v>1031</v>
      </c>
      <c r="F413" t="e">
        <f>ROUND(SUM(F410:F412),2)</f>
        <v>#REF!</v>
      </c>
    </row>
    <row r="414" spans="2:6" hidden="1"/>
    <row r="415" spans="2:6" hidden="1">
      <c r="B415" t="s">
        <v>678</v>
      </c>
    </row>
    <row r="416" spans="2:6" hidden="1"/>
    <row r="417" spans="2:6" hidden="1">
      <c r="B417" t="s">
        <v>681</v>
      </c>
    </row>
    <row r="418" spans="2:6" hidden="1">
      <c r="B418" t="s">
        <v>1225</v>
      </c>
      <c r="C418">
        <v>1.05</v>
      </c>
      <c r="D418" t="s">
        <v>2</v>
      </c>
      <c r="E418" t="e">
        <f>+E410</f>
        <v>#REF!</v>
      </c>
      <c r="F418" t="e">
        <f>C418*E418</f>
        <v>#REF!</v>
      </c>
    </row>
    <row r="419" spans="2:6" hidden="1">
      <c r="B419" t="s">
        <v>272</v>
      </c>
      <c r="C419">
        <v>2.08</v>
      </c>
      <c r="D419" t="s">
        <v>126</v>
      </c>
      <c r="E419">
        <f>+E411</f>
        <v>2913</v>
      </c>
      <c r="F419">
        <f>C419*E419</f>
        <v>6059.04</v>
      </c>
    </row>
    <row r="420" spans="2:6" hidden="1">
      <c r="E420" t="s">
        <v>1031</v>
      </c>
      <c r="F420" t="e">
        <f>ROUND(SUM(F418:F419),2)</f>
        <v>#REF!</v>
      </c>
    </row>
    <row r="421" spans="2:6" hidden="1"/>
    <row r="422" spans="2:6" hidden="1">
      <c r="B422" t="s">
        <v>683</v>
      </c>
    </row>
    <row r="423" spans="2:6" hidden="1">
      <c r="B423" t="s">
        <v>1225</v>
      </c>
      <c r="C423">
        <v>1.05</v>
      </c>
      <c r="D423" t="s">
        <v>2</v>
      </c>
      <c r="E423" t="e">
        <f>+E418</f>
        <v>#REF!</v>
      </c>
      <c r="F423" t="e">
        <f>C423*E423</f>
        <v>#REF!</v>
      </c>
    </row>
    <row r="424" spans="2:6" hidden="1">
      <c r="B424" t="s">
        <v>1087</v>
      </c>
      <c r="C424">
        <v>4.18</v>
      </c>
      <c r="D424" t="s">
        <v>126</v>
      </c>
      <c r="E424">
        <f>+E419</f>
        <v>2913</v>
      </c>
      <c r="F424">
        <f>C424*E424</f>
        <v>12176.34</v>
      </c>
    </row>
    <row r="425" spans="2:6" hidden="1">
      <c r="B425" t="s">
        <v>1089</v>
      </c>
      <c r="C425">
        <f>1/0.1</f>
        <v>10</v>
      </c>
      <c r="D425" t="s">
        <v>1</v>
      </c>
      <c r="E425">
        <v>1000</v>
      </c>
      <c r="F425">
        <f>C425*E425</f>
        <v>10000</v>
      </c>
    </row>
    <row r="426" spans="2:6" hidden="1">
      <c r="E426" t="s">
        <v>1031</v>
      </c>
      <c r="F426" t="e">
        <f>ROUND(SUM(F423:F425),2)</f>
        <v>#REF!</v>
      </c>
    </row>
    <row r="427" spans="2:6" hidden="1"/>
    <row r="428" spans="2:6" hidden="1">
      <c r="B428" t="s">
        <v>715</v>
      </c>
    </row>
    <row r="429" spans="2:6" hidden="1"/>
    <row r="430" spans="2:6" hidden="1">
      <c r="B430" t="s">
        <v>629</v>
      </c>
    </row>
    <row r="431" spans="2:6" hidden="1">
      <c r="B431" t="s">
        <v>1225</v>
      </c>
      <c r="C431">
        <v>1.05</v>
      </c>
      <c r="D431" t="s">
        <v>2</v>
      </c>
      <c r="E431" t="e">
        <f>+E423</f>
        <v>#REF!</v>
      </c>
      <c r="F431" t="e">
        <f>C431*E431</f>
        <v>#REF!</v>
      </c>
    </row>
    <row r="432" spans="2:6" hidden="1">
      <c r="B432" t="s">
        <v>272</v>
      </c>
      <c r="C432">
        <v>1.42</v>
      </c>
      <c r="D432" t="s">
        <v>126</v>
      </c>
      <c r="E432">
        <f>+E424</f>
        <v>2913</v>
      </c>
      <c r="F432">
        <f>C432*E432</f>
        <v>4136.46</v>
      </c>
    </row>
    <row r="433" spans="2:6" hidden="1">
      <c r="E433" t="s">
        <v>1031</v>
      </c>
      <c r="F433" t="e">
        <f>ROUND(SUM(F431:F432),2)</f>
        <v>#REF!</v>
      </c>
    </row>
    <row r="434" spans="2:6" hidden="1"/>
    <row r="435" spans="2:6" hidden="1">
      <c r="B435" t="s">
        <v>719</v>
      </c>
    </row>
    <row r="436" spans="2:6" hidden="1"/>
    <row r="437" spans="2:6" hidden="1">
      <c r="B437" t="s">
        <v>629</v>
      </c>
    </row>
    <row r="438" spans="2:6" hidden="1">
      <c r="B438" t="s">
        <v>1225</v>
      </c>
      <c r="C438">
        <v>1.05</v>
      </c>
      <c r="D438" t="s">
        <v>2</v>
      </c>
      <c r="E438" t="e">
        <f>+E431</f>
        <v>#REF!</v>
      </c>
      <c r="F438" t="e">
        <f>C438*E438</f>
        <v>#REF!</v>
      </c>
    </row>
    <row r="439" spans="2:6" hidden="1">
      <c r="B439" t="s">
        <v>272</v>
      </c>
      <c r="C439">
        <v>1.42</v>
      </c>
      <c r="D439" t="s">
        <v>126</v>
      </c>
      <c r="E439">
        <f>+E432</f>
        <v>2913</v>
      </c>
      <c r="F439">
        <f>C439*E439</f>
        <v>4136.46</v>
      </c>
    </row>
    <row r="440" spans="2:6" hidden="1">
      <c r="E440" t="s">
        <v>1031</v>
      </c>
      <c r="F440" t="e">
        <f>ROUND(SUM(F438:F439),2)</f>
        <v>#REF!</v>
      </c>
    </row>
    <row r="441" spans="2:6" hidden="1"/>
    <row r="442" spans="2:6" hidden="1"/>
    <row r="443" spans="2:6" hidden="1">
      <c r="B443" t="s">
        <v>723</v>
      </c>
    </row>
    <row r="444" spans="2:6" hidden="1"/>
    <row r="445" spans="2:6" hidden="1">
      <c r="B445" t="s">
        <v>629</v>
      </c>
    </row>
    <row r="446" spans="2:6" hidden="1">
      <c r="B446" t="s">
        <v>1225</v>
      </c>
      <c r="C446">
        <v>1.05</v>
      </c>
      <c r="D446" t="s">
        <v>2</v>
      </c>
      <c r="E446" t="e">
        <f>+E438</f>
        <v>#REF!</v>
      </c>
      <c r="F446" t="e">
        <f>C446*E446</f>
        <v>#REF!</v>
      </c>
    </row>
    <row r="447" spans="2:6" hidden="1">
      <c r="B447" t="s">
        <v>272</v>
      </c>
      <c r="C447">
        <v>1.42</v>
      </c>
      <c r="D447" t="s">
        <v>126</v>
      </c>
      <c r="E447">
        <f>+E439</f>
        <v>2913</v>
      </c>
      <c r="F447">
        <f>C447*E447</f>
        <v>4136.46</v>
      </c>
    </row>
    <row r="448" spans="2:6" hidden="1">
      <c r="E448" t="s">
        <v>1031</v>
      </c>
      <c r="F448" t="e">
        <f>ROUND(SUM(F446:F447),2)</f>
        <v>#REF!</v>
      </c>
    </row>
    <row r="449" spans="2:6" hidden="1"/>
    <row r="450" spans="2:6" hidden="1">
      <c r="B450" t="s">
        <v>678</v>
      </c>
    </row>
    <row r="451" spans="2:6" hidden="1"/>
    <row r="452" spans="2:6" hidden="1">
      <c r="B452" t="s">
        <v>730</v>
      </c>
    </row>
    <row r="453" spans="2:6" hidden="1">
      <c r="B453" t="s">
        <v>1225</v>
      </c>
      <c r="C453">
        <v>1.05</v>
      </c>
      <c r="D453" t="s">
        <v>2</v>
      </c>
      <c r="E453" t="e">
        <f>+E446</f>
        <v>#REF!</v>
      </c>
      <c r="F453" t="e">
        <f>C453*E453</f>
        <v>#REF!</v>
      </c>
    </row>
    <row r="454" spans="2:6" hidden="1">
      <c r="B454" t="s">
        <v>272</v>
      </c>
      <c r="C454">
        <v>0.56000000000000005</v>
      </c>
      <c r="D454" t="s">
        <v>126</v>
      </c>
      <c r="E454">
        <f>+E447</f>
        <v>2913</v>
      </c>
      <c r="F454">
        <f>C454*E454</f>
        <v>1631.28</v>
      </c>
    </row>
    <row r="455" spans="2:6" hidden="1">
      <c r="E455" t="s">
        <v>1031</v>
      </c>
      <c r="F455" t="e">
        <f>ROUND(SUM(F453:F454),2)</f>
        <v>#REF!</v>
      </c>
    </row>
    <row r="456" spans="2:6" hidden="1"/>
    <row r="457" spans="2:6" hidden="1">
      <c r="B457" t="s">
        <v>732</v>
      </c>
    </row>
    <row r="458" spans="2:6" hidden="1">
      <c r="B458" t="s">
        <v>1225</v>
      </c>
      <c r="C458">
        <v>1.05</v>
      </c>
      <c r="D458" t="s">
        <v>2</v>
      </c>
      <c r="E458" t="e">
        <f>+E453</f>
        <v>#REF!</v>
      </c>
      <c r="F458" t="e">
        <f>C458*E458</f>
        <v>#REF!</v>
      </c>
    </row>
    <row r="459" spans="2:6" hidden="1">
      <c r="B459" t="s">
        <v>1087</v>
      </c>
      <c r="C459">
        <v>2.5</v>
      </c>
      <c r="D459" t="s">
        <v>126</v>
      </c>
      <c r="E459">
        <f>+E454</f>
        <v>2913</v>
      </c>
      <c r="F459">
        <f>C459*E459</f>
        <v>7282.5</v>
      </c>
    </row>
    <row r="460" spans="2:6" hidden="1">
      <c r="B460" t="s">
        <v>1089</v>
      </c>
      <c r="C460">
        <f>1/0.25</f>
        <v>4</v>
      </c>
      <c r="D460" t="s">
        <v>1</v>
      </c>
      <c r="E460">
        <v>1000</v>
      </c>
      <c r="F460">
        <f>C460*E460</f>
        <v>4000</v>
      </c>
    </row>
    <row r="461" spans="2:6" hidden="1">
      <c r="E461" t="s">
        <v>1031</v>
      </c>
      <c r="F461" t="e">
        <f>ROUND(SUM(F458:F460),2)</f>
        <v>#REF!</v>
      </c>
    </row>
    <row r="462" spans="2:6" hidden="1"/>
    <row r="463" spans="2:6" hidden="1">
      <c r="B463" t="s">
        <v>736</v>
      </c>
    </row>
    <row r="464" spans="2:6" hidden="1"/>
    <row r="465" spans="2:6" hidden="1">
      <c r="B465" t="s">
        <v>738</v>
      </c>
    </row>
    <row r="466" spans="2:6" hidden="1">
      <c r="B466" t="s">
        <v>1225</v>
      </c>
      <c r="C466">
        <v>1.05</v>
      </c>
      <c r="D466" t="s">
        <v>2</v>
      </c>
      <c r="E466" t="e">
        <f>+E458</f>
        <v>#REF!</v>
      </c>
      <c r="F466" t="e">
        <f>C466*E466</f>
        <v>#REF!</v>
      </c>
    </row>
    <row r="467" spans="2:6" hidden="1">
      <c r="B467" t="s">
        <v>272</v>
      </c>
      <c r="C467">
        <v>1.65</v>
      </c>
      <c r="D467" t="s">
        <v>126</v>
      </c>
      <c r="E467">
        <f>+E459</f>
        <v>2913</v>
      </c>
      <c r="F467">
        <f>C467*E467</f>
        <v>4806.45</v>
      </c>
    </row>
    <row r="468" spans="2:6" hidden="1">
      <c r="E468" t="s">
        <v>1031</v>
      </c>
      <c r="F468" t="e">
        <f>ROUND(SUM(F466:F467),2)</f>
        <v>#REF!</v>
      </c>
    </row>
    <row r="469" spans="2:6" hidden="1"/>
    <row r="470" spans="2:6" hidden="1">
      <c r="B470" t="s">
        <v>741</v>
      </c>
    </row>
    <row r="471" spans="2:6" hidden="1"/>
    <row r="472" spans="2:6" hidden="1">
      <c r="B472" t="s">
        <v>584</v>
      </c>
    </row>
    <row r="473" spans="2:6" hidden="1">
      <c r="B473" t="s">
        <v>1225</v>
      </c>
      <c r="C473">
        <v>1.05</v>
      </c>
      <c r="D473" t="s">
        <v>2</v>
      </c>
      <c r="E473" t="e">
        <f>+E466</f>
        <v>#REF!</v>
      </c>
      <c r="F473" t="e">
        <f>C473*E473</f>
        <v>#REF!</v>
      </c>
    </row>
    <row r="474" spans="2:6" hidden="1">
      <c r="B474" t="s">
        <v>272</v>
      </c>
      <c r="C474">
        <v>1.79</v>
      </c>
      <c r="D474" t="s">
        <v>126</v>
      </c>
      <c r="E474">
        <f>+E467</f>
        <v>2913</v>
      </c>
      <c r="F474">
        <f>C474*E474</f>
        <v>5214.2700000000004</v>
      </c>
    </row>
    <row r="475" spans="2:6" hidden="1">
      <c r="E475" t="s">
        <v>1031</v>
      </c>
      <c r="F475" t="e">
        <f>ROUND(SUM(F473:F474),2)</f>
        <v>#REF!</v>
      </c>
    </row>
    <row r="476" spans="2:6" hidden="1"/>
    <row r="477" spans="2:6" hidden="1">
      <c r="B477" t="s">
        <v>585</v>
      </c>
    </row>
    <row r="478" spans="2:6" hidden="1">
      <c r="B478" t="s">
        <v>1225</v>
      </c>
      <c r="C478">
        <v>1.05</v>
      </c>
      <c r="D478" t="s">
        <v>2</v>
      </c>
      <c r="E478" t="e">
        <f>+E473</f>
        <v>#REF!</v>
      </c>
      <c r="F478" t="e">
        <f>C478*E478</f>
        <v>#REF!</v>
      </c>
    </row>
    <row r="479" spans="2:6" hidden="1">
      <c r="B479" t="s">
        <v>1087</v>
      </c>
      <c r="C479">
        <v>1.6</v>
      </c>
      <c r="D479" t="s">
        <v>126</v>
      </c>
      <c r="E479">
        <f>+E474</f>
        <v>2913</v>
      </c>
      <c r="F479">
        <f>C479*E479</f>
        <v>4660.8</v>
      </c>
    </row>
    <row r="480" spans="2:6" hidden="1">
      <c r="B480" t="s">
        <v>1089</v>
      </c>
      <c r="C480">
        <f>1/0.2</f>
        <v>5</v>
      </c>
      <c r="D480" t="s">
        <v>1</v>
      </c>
      <c r="E480">
        <v>1000</v>
      </c>
      <c r="F480">
        <f>C480*E480</f>
        <v>5000</v>
      </c>
    </row>
    <row r="481" spans="2:6" hidden="1">
      <c r="E481" t="s">
        <v>1031</v>
      </c>
      <c r="F481" t="e">
        <f>ROUND(SUM(F478:F480),2)</f>
        <v>#REF!</v>
      </c>
    </row>
    <row r="482" spans="2:6" hidden="1"/>
    <row r="483" spans="2:6" hidden="1">
      <c r="B483" t="s">
        <v>1230</v>
      </c>
    </row>
    <row r="484" spans="2:6" hidden="1"/>
    <row r="485" spans="2:6" hidden="1">
      <c r="B485" t="s">
        <v>777</v>
      </c>
    </row>
    <row r="486" spans="2:6" hidden="1">
      <c r="B486" t="s">
        <v>1225</v>
      </c>
      <c r="C486">
        <v>1.05</v>
      </c>
      <c r="D486" t="s">
        <v>2</v>
      </c>
      <c r="E486" t="e">
        <f>+E478</f>
        <v>#REF!</v>
      </c>
      <c r="F486" t="e">
        <f>C486*E486</f>
        <v>#REF!</v>
      </c>
    </row>
    <row r="487" spans="2:6" hidden="1">
      <c r="B487" t="s">
        <v>272</v>
      </c>
      <c r="C487">
        <v>0.78</v>
      </c>
      <c r="D487" t="s">
        <v>126</v>
      </c>
      <c r="E487">
        <f>+E474</f>
        <v>2913</v>
      </c>
      <c r="F487">
        <f>C487*E487</f>
        <v>2272.14</v>
      </c>
    </row>
    <row r="488" spans="2:6" hidden="1">
      <c r="E488" t="s">
        <v>1031</v>
      </c>
      <c r="F488" t="e">
        <f>ROUND(SUM(F486:F487),2)</f>
        <v>#REF!</v>
      </c>
    </row>
    <row r="489" spans="2:6" hidden="1"/>
    <row r="490" spans="2:6" hidden="1">
      <c r="B490" t="s">
        <v>778</v>
      </c>
    </row>
    <row r="491" spans="2:6" hidden="1">
      <c r="B491" t="s">
        <v>1225</v>
      </c>
      <c r="C491">
        <v>1.05</v>
      </c>
      <c r="D491" t="s">
        <v>2</v>
      </c>
      <c r="E491" t="e">
        <f>+E486</f>
        <v>#REF!</v>
      </c>
      <c r="F491" t="e">
        <f>C491*E491</f>
        <v>#REF!</v>
      </c>
    </row>
    <row r="492" spans="2:6" hidden="1">
      <c r="B492" t="s">
        <v>272</v>
      </c>
      <c r="C492">
        <v>1.39</v>
      </c>
      <c r="D492" t="s">
        <v>126</v>
      </c>
      <c r="E492">
        <f>+E487</f>
        <v>2913</v>
      </c>
      <c r="F492">
        <f>C492*E492</f>
        <v>4049.07</v>
      </c>
    </row>
    <row r="493" spans="2:6" hidden="1">
      <c r="E493" t="s">
        <v>1031</v>
      </c>
      <c r="F493" t="e">
        <f>ROUND(SUM(F491:F492),2)</f>
        <v>#REF!</v>
      </c>
    </row>
    <row r="494" spans="2:6" hidden="1"/>
    <row r="495" spans="2:6" hidden="1"/>
    <row r="496" spans="2:6" hidden="1">
      <c r="B496" t="s">
        <v>779</v>
      </c>
    </row>
    <row r="497" spans="2:6" hidden="1">
      <c r="B497" t="s">
        <v>1225</v>
      </c>
      <c r="C497">
        <v>1.05</v>
      </c>
      <c r="D497" t="s">
        <v>2</v>
      </c>
      <c r="E497" t="e">
        <f>+E486</f>
        <v>#REF!</v>
      </c>
      <c r="F497" t="e">
        <f>C497*E497</f>
        <v>#REF!</v>
      </c>
    </row>
    <row r="498" spans="2:6" hidden="1">
      <c r="B498" t="s">
        <v>1087</v>
      </c>
      <c r="C498">
        <v>7.86</v>
      </c>
      <c r="D498" t="s">
        <v>126</v>
      </c>
      <c r="E498">
        <f>+E487</f>
        <v>2913</v>
      </c>
      <c r="F498">
        <f>C498*E498</f>
        <v>22896.18</v>
      </c>
    </row>
    <row r="499" spans="2:6" hidden="1">
      <c r="B499" t="s">
        <v>1089</v>
      </c>
      <c r="C499">
        <f>1/(0.2*0.2)</f>
        <v>25</v>
      </c>
      <c r="D499" t="s">
        <v>1</v>
      </c>
      <c r="E499">
        <v>1000</v>
      </c>
      <c r="F499">
        <f>C499*E499</f>
        <v>25000</v>
      </c>
    </row>
    <row r="500" spans="2:6" hidden="1">
      <c r="E500" t="s">
        <v>1031</v>
      </c>
      <c r="F500" t="e">
        <f>ROUND(SUM(F497:F499),2)</f>
        <v>#REF!</v>
      </c>
    </row>
    <row r="501" spans="2:6" hidden="1"/>
    <row r="502" spans="2:6" hidden="1">
      <c r="B502" t="s">
        <v>780</v>
      </c>
    </row>
    <row r="503" spans="2:6" hidden="1">
      <c r="B503" t="s">
        <v>1225</v>
      </c>
      <c r="C503">
        <v>1.05</v>
      </c>
      <c r="D503" t="s">
        <v>2</v>
      </c>
      <c r="E503" t="e">
        <f>+E497</f>
        <v>#REF!</v>
      </c>
      <c r="F503" t="e">
        <f>C503*E503</f>
        <v>#REF!</v>
      </c>
    </row>
    <row r="504" spans="2:6" hidden="1">
      <c r="B504" t="s">
        <v>1087</v>
      </c>
      <c r="C504">
        <v>5.61</v>
      </c>
      <c r="D504" t="s">
        <v>126</v>
      </c>
      <c r="E504">
        <f>+E498</f>
        <v>2913</v>
      </c>
      <c r="F504">
        <f>C504*E504</f>
        <v>16341.93</v>
      </c>
    </row>
    <row r="505" spans="2:6" hidden="1">
      <c r="B505" t="s">
        <v>1089</v>
      </c>
      <c r="C505">
        <f>1/(0.2*0.3)</f>
        <v>16.6666666666667</v>
      </c>
      <c r="D505" t="s">
        <v>1</v>
      </c>
      <c r="E505">
        <v>1000</v>
      </c>
      <c r="F505">
        <f>C505*E505</f>
        <v>16666.666666666701</v>
      </c>
    </row>
    <row r="506" spans="2:6" hidden="1">
      <c r="E506" t="s">
        <v>1031</v>
      </c>
      <c r="F506" t="e">
        <f>ROUND(SUM(F503:F505),2)</f>
        <v>#REF!</v>
      </c>
    </row>
    <row r="507" spans="2:6" hidden="1"/>
    <row r="508" spans="2:6" hidden="1"/>
    <row r="509" spans="2:6" hidden="1">
      <c r="B509" t="s">
        <v>782</v>
      </c>
    </row>
    <row r="510" spans="2:6" hidden="1">
      <c r="B510" t="s">
        <v>1225</v>
      </c>
      <c r="C510">
        <v>1.05</v>
      </c>
      <c r="D510" t="s">
        <v>2</v>
      </c>
      <c r="E510" t="e">
        <f>+E285</f>
        <v>#REF!</v>
      </c>
      <c r="F510" t="e">
        <f>C510*E510</f>
        <v>#REF!</v>
      </c>
    </row>
    <row r="511" spans="2:6" hidden="1">
      <c r="B511" t="s">
        <v>1087</v>
      </c>
      <c r="C511">
        <v>1.35</v>
      </c>
      <c r="D511" t="s">
        <v>126</v>
      </c>
      <c r="E511">
        <f>+E286</f>
        <v>2913</v>
      </c>
      <c r="F511">
        <f>C511*E511</f>
        <v>3932.55</v>
      </c>
    </row>
    <row r="512" spans="2:6" hidden="1">
      <c r="B512" t="s">
        <v>1089</v>
      </c>
      <c r="C512">
        <f>1/0.12</f>
        <v>8.3333333333333304</v>
      </c>
      <c r="D512" t="s">
        <v>1</v>
      </c>
      <c r="E512">
        <v>1000</v>
      </c>
      <c r="F512">
        <f>C512*E512</f>
        <v>8333.3333333333303</v>
      </c>
    </row>
    <row r="513" spans="2:6" hidden="1">
      <c r="E513" t="s">
        <v>1031</v>
      </c>
      <c r="F513" t="e">
        <f>ROUND(SUM(F510:F512),2)</f>
        <v>#REF!</v>
      </c>
    </row>
    <row r="514" spans="2:6" hidden="1"/>
    <row r="515" spans="2:6">
      <c r="B515" t="s">
        <v>783</v>
      </c>
    </row>
    <row r="516" spans="2:6">
      <c r="B516" t="s">
        <v>1225</v>
      </c>
      <c r="C516">
        <v>1.05</v>
      </c>
      <c r="D516" t="s">
        <v>2</v>
      </c>
      <c r="E516" t="e">
        <f>+E510</f>
        <v>#REF!</v>
      </c>
      <c r="F516" t="e">
        <f>C516*E516</f>
        <v>#REF!</v>
      </c>
    </row>
    <row r="517" spans="2:6">
      <c r="B517" t="s">
        <v>1087</v>
      </c>
      <c r="C517">
        <v>1.35</v>
      </c>
      <c r="D517" t="s">
        <v>126</v>
      </c>
      <c r="E517">
        <f>+E511</f>
        <v>2913</v>
      </c>
      <c r="F517">
        <f>C517*E517</f>
        <v>3932.55</v>
      </c>
    </row>
    <row r="518" spans="2:6">
      <c r="B518" t="s">
        <v>1089</v>
      </c>
      <c r="C518">
        <f>1/0.12</f>
        <v>8.3333333333333304</v>
      </c>
      <c r="D518" t="s">
        <v>1</v>
      </c>
      <c r="E518">
        <v>1000</v>
      </c>
      <c r="F518">
        <f>C518*E518</f>
        <v>8333.3333333333303</v>
      </c>
    </row>
    <row r="519" spans="2:6">
      <c r="E519" t="s">
        <v>1031</v>
      </c>
      <c r="F519" t="e">
        <f>ROUND(SUM(F516:F518),2)</f>
        <v>#REF!</v>
      </c>
    </row>
    <row r="521" spans="2:6">
      <c r="B521" t="s">
        <v>1040</v>
      </c>
    </row>
    <row r="522" spans="2:6">
      <c r="B522" t="s">
        <v>1041</v>
      </c>
      <c r="C522" t="s">
        <v>2</v>
      </c>
      <c r="D522">
        <v>8.7999999999999995E-2</v>
      </c>
      <c r="E522">
        <v>75</v>
      </c>
      <c r="F522">
        <f>E522*D522</f>
        <v>6.6</v>
      </c>
    </row>
    <row r="523" spans="2:6">
      <c r="B523" t="s">
        <v>1042</v>
      </c>
      <c r="C523" t="s">
        <v>11</v>
      </c>
      <c r="D523">
        <v>1</v>
      </c>
      <c r="E523">
        <v>29.7</v>
      </c>
      <c r="F523">
        <f>E523*D523</f>
        <v>29.7</v>
      </c>
    </row>
    <row r="524" spans="2:6">
      <c r="E524" t="s">
        <v>1031</v>
      </c>
      <c r="F524">
        <f>SUM(F522:F523)</f>
        <v>36.299999999999997</v>
      </c>
    </row>
    <row r="527" spans="2:6">
      <c r="B527" t="s">
        <v>1045</v>
      </c>
    </row>
    <row r="528" spans="2:6">
      <c r="B528" t="s">
        <v>181</v>
      </c>
      <c r="C528" t="s">
        <v>126</v>
      </c>
      <c r="D528">
        <v>1</v>
      </c>
      <c r="E528">
        <f>+E59</f>
        <v>2500</v>
      </c>
      <c r="F528">
        <f>E528*D528</f>
        <v>2500</v>
      </c>
    </row>
    <row r="529" spans="2:6">
      <c r="B529" t="s">
        <v>1044</v>
      </c>
      <c r="C529" t="s">
        <v>183</v>
      </c>
      <c r="D529">
        <v>2</v>
      </c>
      <c r="E529">
        <v>45</v>
      </c>
      <c r="F529">
        <f>E529*D529</f>
        <v>90</v>
      </c>
    </row>
    <row r="530" spans="2:6">
      <c r="E530" t="s">
        <v>1031</v>
      </c>
      <c r="F530">
        <f>SUM(F528:F529)</f>
        <v>2590</v>
      </c>
    </row>
    <row r="532" spans="2:6">
      <c r="B532" t="s">
        <v>186</v>
      </c>
    </row>
    <row r="533" spans="2:6">
      <c r="B533" t="s">
        <v>187</v>
      </c>
    </row>
    <row r="534" spans="2:6">
      <c r="B534" t="s">
        <v>122</v>
      </c>
      <c r="C534" t="s">
        <v>2</v>
      </c>
      <c r="D534">
        <v>0.52</v>
      </c>
      <c r="E534">
        <f>F16</f>
        <v>1115</v>
      </c>
      <c r="F534">
        <f>E534*D534</f>
        <v>579.79999999999995</v>
      </c>
    </row>
    <row r="535" spans="2:6">
      <c r="B535" t="s">
        <v>124</v>
      </c>
      <c r="C535" t="s">
        <v>2</v>
      </c>
      <c r="D535">
        <v>0.85</v>
      </c>
      <c r="E535">
        <f>F21</f>
        <v>1215</v>
      </c>
      <c r="F535">
        <f>E535*D535</f>
        <v>1032.75</v>
      </c>
    </row>
    <row r="536" spans="2:6">
      <c r="B536" t="s">
        <v>117</v>
      </c>
      <c r="C536" t="s">
        <v>118</v>
      </c>
      <c r="D536">
        <v>60</v>
      </c>
      <c r="E536">
        <f>F3</f>
        <v>2.5</v>
      </c>
      <c r="F536">
        <f>E536*D536</f>
        <v>150</v>
      </c>
    </row>
    <row r="537" spans="2:6">
      <c r="B537" t="s">
        <v>188</v>
      </c>
      <c r="C537" t="s">
        <v>1026</v>
      </c>
      <c r="D537">
        <v>6.4</v>
      </c>
      <c r="E537">
        <f>F4</f>
        <v>325</v>
      </c>
      <c r="F537">
        <f>E537*D537</f>
        <v>2080</v>
      </c>
    </row>
    <row r="538" spans="2:6">
      <c r="B538" t="s">
        <v>189</v>
      </c>
      <c r="C538" t="s">
        <v>148</v>
      </c>
      <c r="D538">
        <v>0.5</v>
      </c>
      <c r="E538">
        <v>659</v>
      </c>
      <c r="F538">
        <f>E538*D538</f>
        <v>329.5</v>
      </c>
    </row>
    <row r="539" spans="2:6">
      <c r="B539" t="s">
        <v>190</v>
      </c>
      <c r="F539">
        <f>SUM(F534+F535+F536+F537)*0.03</f>
        <v>115.2765</v>
      </c>
    </row>
    <row r="540" spans="2:6">
      <c r="E540" t="s">
        <v>1031</v>
      </c>
      <c r="F540">
        <f>SUM(F534:F539)</f>
        <v>4287.3265000000001</v>
      </c>
    </row>
    <row r="542" spans="2:6">
      <c r="B542" t="s">
        <v>191</v>
      </c>
    </row>
    <row r="543" spans="2:6">
      <c r="B543" t="s">
        <v>192</v>
      </c>
      <c r="C543" t="s">
        <v>3</v>
      </c>
      <c r="D543">
        <v>13</v>
      </c>
      <c r="E543">
        <v>28.5</v>
      </c>
      <c r="F543">
        <f t="shared" ref="F543:F550" si="2">E543*D543</f>
        <v>370.5</v>
      </c>
    </row>
    <row r="544" spans="2:6">
      <c r="B544" t="s">
        <v>193</v>
      </c>
      <c r="C544" t="s">
        <v>3</v>
      </c>
      <c r="D544">
        <v>13</v>
      </c>
      <c r="E544">
        <v>18</v>
      </c>
      <c r="F544">
        <f t="shared" si="2"/>
        <v>234</v>
      </c>
    </row>
    <row r="545" spans="2:6">
      <c r="B545" t="s">
        <v>194</v>
      </c>
      <c r="C545" t="s">
        <v>2</v>
      </c>
      <c r="D545">
        <v>3.1199999999999999E-2</v>
      </c>
      <c r="E545">
        <f>F84</f>
        <v>5506.4035999999996</v>
      </c>
      <c r="F545">
        <f t="shared" si="2"/>
        <v>171.79979231999999</v>
      </c>
    </row>
    <row r="546" spans="2:6">
      <c r="B546" t="s">
        <v>195</v>
      </c>
      <c r="C546" t="s">
        <v>2</v>
      </c>
      <c r="D546">
        <v>0.01</v>
      </c>
      <c r="E546">
        <f>SUM(F540)</f>
        <v>4287.3265000000001</v>
      </c>
      <c r="F546">
        <f t="shared" si="2"/>
        <v>42.873265000000004</v>
      </c>
    </row>
    <row r="547" spans="2:6">
      <c r="B547" t="s">
        <v>196</v>
      </c>
      <c r="C547" t="s">
        <v>126</v>
      </c>
      <c r="D547">
        <v>2.9600000000000001E-2</v>
      </c>
      <c r="E547">
        <f>F62</f>
        <v>2913</v>
      </c>
      <c r="F547">
        <f t="shared" si="2"/>
        <v>86.224800000000002</v>
      </c>
    </row>
    <row r="548" spans="2:6">
      <c r="B548" t="s">
        <v>197</v>
      </c>
      <c r="C548" t="s">
        <v>155</v>
      </c>
      <c r="D548">
        <v>0.18179999999999999</v>
      </c>
      <c r="E548">
        <v>45</v>
      </c>
      <c r="F548">
        <f t="shared" si="2"/>
        <v>8.1809999999999992</v>
      </c>
    </row>
    <row r="549" spans="2:6">
      <c r="B549" t="s">
        <v>198</v>
      </c>
      <c r="C549" t="s">
        <v>148</v>
      </c>
      <c r="D549">
        <v>2.3E-2</v>
      </c>
      <c r="E549">
        <v>659</v>
      </c>
      <c r="F549">
        <f t="shared" si="2"/>
        <v>15.157</v>
      </c>
    </row>
    <row r="550" spans="2:6">
      <c r="B550" t="s">
        <v>199</v>
      </c>
      <c r="C550" t="s">
        <v>2</v>
      </c>
      <c r="D550">
        <v>0.01</v>
      </c>
      <c r="E550">
        <v>659</v>
      </c>
      <c r="F550">
        <f t="shared" si="2"/>
        <v>6.59</v>
      </c>
    </row>
    <row r="551" spans="2:6">
      <c r="E551" t="s">
        <v>1031</v>
      </c>
      <c r="F551">
        <f>SUM(F543:F550)</f>
        <v>935.32585731999995</v>
      </c>
    </row>
    <row r="552" spans="2:6">
      <c r="B552" t="s">
        <v>1046</v>
      </c>
      <c r="F552">
        <f>+F551-F549</f>
        <v>920.16885732000003</v>
      </c>
    </row>
    <row r="554" spans="2:6">
      <c r="B554" t="s">
        <v>1047</v>
      </c>
    </row>
    <row r="555" spans="2:6">
      <c r="B555" t="s">
        <v>1048</v>
      </c>
      <c r="C555" t="s">
        <v>3</v>
      </c>
      <c r="D555">
        <v>13</v>
      </c>
      <c r="E555">
        <v>27</v>
      </c>
      <c r="F555">
        <f t="shared" ref="F555:F562" si="3">E555*D555</f>
        <v>351</v>
      </c>
    </row>
    <row r="556" spans="2:6">
      <c r="B556" t="s">
        <v>1049</v>
      </c>
      <c r="C556" t="s">
        <v>3</v>
      </c>
      <c r="D556">
        <v>13</v>
      </c>
      <c r="E556">
        <v>17</v>
      </c>
      <c r="F556">
        <f t="shared" si="3"/>
        <v>221</v>
      </c>
    </row>
    <row r="557" spans="2:6">
      <c r="B557" t="s">
        <v>1050</v>
      </c>
      <c r="C557" t="s">
        <v>2</v>
      </c>
      <c r="D557">
        <v>0.02</v>
      </c>
      <c r="E557">
        <f>F84</f>
        <v>5506.4035999999996</v>
      </c>
      <c r="F557">
        <f t="shared" si="3"/>
        <v>110.128072</v>
      </c>
    </row>
    <row r="558" spans="2:6">
      <c r="B558" t="s">
        <v>1051</v>
      </c>
      <c r="C558" t="s">
        <v>2</v>
      </c>
      <c r="D558">
        <v>9.1999999999999998E-3</v>
      </c>
      <c r="E558">
        <f>SUM(F540)</f>
        <v>4287.3265000000001</v>
      </c>
      <c r="F558">
        <f t="shared" si="3"/>
        <v>39.443403799999999</v>
      </c>
    </row>
    <row r="559" spans="2:6">
      <c r="B559" t="s">
        <v>1052</v>
      </c>
      <c r="C559" t="s">
        <v>126</v>
      </c>
      <c r="D559">
        <v>2.9600000000000001E-2</v>
      </c>
      <c r="E559">
        <f>F62</f>
        <v>2913</v>
      </c>
      <c r="F559">
        <f t="shared" si="3"/>
        <v>86.224800000000002</v>
      </c>
    </row>
    <row r="560" spans="2:6">
      <c r="B560" t="s">
        <v>1053</v>
      </c>
      <c r="C560" t="s">
        <v>155</v>
      </c>
      <c r="D560">
        <v>0.18179999999999999</v>
      </c>
      <c r="E560">
        <v>23.15</v>
      </c>
      <c r="F560">
        <f t="shared" si="3"/>
        <v>4.2086699999999997</v>
      </c>
    </row>
    <row r="561" spans="2:6">
      <c r="B561" t="s">
        <v>198</v>
      </c>
      <c r="C561" t="s">
        <v>148</v>
      </c>
      <c r="D561">
        <v>2.3E-2</v>
      </c>
      <c r="E561">
        <v>659</v>
      </c>
      <c r="F561">
        <f t="shared" si="3"/>
        <v>15.157</v>
      </c>
    </row>
    <row r="562" spans="2:6">
      <c r="B562" t="s">
        <v>199</v>
      </c>
      <c r="C562" t="s">
        <v>2</v>
      </c>
      <c r="D562">
        <v>0.01</v>
      </c>
      <c r="E562">
        <v>659</v>
      </c>
      <c r="F562">
        <f t="shared" si="3"/>
        <v>6.59</v>
      </c>
    </row>
    <row r="563" spans="2:6">
      <c r="E563" t="s">
        <v>1031</v>
      </c>
      <c r="F563">
        <f>SUM(F555:F562)</f>
        <v>833.75194580000004</v>
      </c>
    </row>
    <row r="565" spans="2:6">
      <c r="B565" t="s">
        <v>1054</v>
      </c>
    </row>
    <row r="566" spans="2:6">
      <c r="B566" t="s">
        <v>1055</v>
      </c>
      <c r="C566" t="s">
        <v>3</v>
      </c>
      <c r="D566">
        <v>13</v>
      </c>
      <c r="E566">
        <v>60</v>
      </c>
      <c r="F566">
        <f>E566*D566</f>
        <v>780</v>
      </c>
    </row>
    <row r="567" spans="2:6">
      <c r="B567" t="s">
        <v>1056</v>
      </c>
      <c r="C567" t="s">
        <v>3</v>
      </c>
      <c r="D567">
        <v>13</v>
      </c>
      <c r="E567">
        <v>20</v>
      </c>
      <c r="F567">
        <f>E567*D567</f>
        <v>260</v>
      </c>
    </row>
    <row r="568" spans="2:6">
      <c r="B568" t="s">
        <v>1057</v>
      </c>
      <c r="C568" t="s">
        <v>2</v>
      </c>
      <c r="D568">
        <v>8.6E-3</v>
      </c>
      <c r="E568">
        <f>F76</f>
        <v>5653.396342</v>
      </c>
      <c r="F568">
        <f>E568*D568</f>
        <v>48.619208541200003</v>
      </c>
    </row>
    <row r="569" spans="2:6">
      <c r="B569" t="s">
        <v>1058</v>
      </c>
      <c r="C569" t="s">
        <v>3</v>
      </c>
      <c r="D569">
        <v>0.13</v>
      </c>
      <c r="E569">
        <v>60</v>
      </c>
      <c r="F569">
        <f>E569*D569</f>
        <v>7.8</v>
      </c>
    </row>
    <row r="570" spans="2:6">
      <c r="E570" t="s">
        <v>1031</v>
      </c>
      <c r="F570">
        <f>SUM(F566:F569)</f>
        <v>1096.4192085412001</v>
      </c>
    </row>
    <row r="572" spans="2:6">
      <c r="B572" t="s">
        <v>1063</v>
      </c>
    </row>
    <row r="573" spans="2:6">
      <c r="B573" t="s">
        <v>1064</v>
      </c>
      <c r="C573" t="s">
        <v>2</v>
      </c>
      <c r="D573">
        <f>1*0.1*1.05</f>
        <v>0.105</v>
      </c>
      <c r="E573">
        <f>F540</f>
        <v>4287.3265000000001</v>
      </c>
      <c r="F573">
        <f t="shared" ref="F573:F578" si="4">E573*D573</f>
        <v>450.16928250000001</v>
      </c>
    </row>
    <row r="574" spans="2:6">
      <c r="B574" t="s">
        <v>1065</v>
      </c>
      <c r="C574" t="s">
        <v>2</v>
      </c>
      <c r="D574">
        <v>2.1999999999999999E-2</v>
      </c>
      <c r="E574">
        <f>F76</f>
        <v>5653.396342</v>
      </c>
      <c r="F574">
        <f t="shared" si="4"/>
        <v>124.374719524</v>
      </c>
    </row>
    <row r="575" spans="2:6">
      <c r="B575" t="s">
        <v>154</v>
      </c>
      <c r="C575" t="s">
        <v>155</v>
      </c>
      <c r="D575">
        <v>8.7999999999999995E-2</v>
      </c>
      <c r="E575">
        <v>45</v>
      </c>
      <c r="F575">
        <f t="shared" si="4"/>
        <v>3.96</v>
      </c>
    </row>
    <row r="576" spans="2:6">
      <c r="B576" t="s">
        <v>1066</v>
      </c>
      <c r="C576" t="s">
        <v>11</v>
      </c>
      <c r="D576">
        <v>1</v>
      </c>
      <c r="E576">
        <v>70</v>
      </c>
      <c r="F576">
        <f t="shared" si="4"/>
        <v>70</v>
      </c>
    </row>
    <row r="577" spans="2:6">
      <c r="B577" t="s">
        <v>1062</v>
      </c>
      <c r="C577" t="s">
        <v>1</v>
      </c>
      <c r="D577">
        <v>0.8</v>
      </c>
      <c r="E577">
        <f>F267</f>
        <v>82.214604270600006</v>
      </c>
      <c r="F577">
        <f t="shared" si="4"/>
        <v>65.771683416480002</v>
      </c>
    </row>
    <row r="578" spans="2:6">
      <c r="B578" t="s">
        <v>1067</v>
      </c>
      <c r="C578" t="s">
        <v>1026</v>
      </c>
      <c r="D578">
        <v>0.04</v>
      </c>
      <c r="E578">
        <f>F4</f>
        <v>325</v>
      </c>
      <c r="F578">
        <f t="shared" si="4"/>
        <v>13</v>
      </c>
    </row>
    <row r="579" spans="2:6">
      <c r="E579" t="s">
        <v>1031</v>
      </c>
      <c r="F579">
        <f>SUM(F573:F578)</f>
        <v>727.27568544047995</v>
      </c>
    </row>
    <row r="581" spans="2:6">
      <c r="B581" t="s">
        <v>1068</v>
      </c>
    </row>
    <row r="582" spans="2:6">
      <c r="B582" t="s">
        <v>1069</v>
      </c>
      <c r="C582" t="s">
        <v>2</v>
      </c>
      <c r="D582">
        <v>0.8</v>
      </c>
      <c r="E582">
        <f>F56</f>
        <v>4782.6610000000001</v>
      </c>
      <c r="F582">
        <f>E582*D582</f>
        <v>3826.1288</v>
      </c>
    </row>
    <row r="583" spans="2:6">
      <c r="B583" t="s">
        <v>1070</v>
      </c>
      <c r="C583" t="s">
        <v>2</v>
      </c>
      <c r="D583">
        <v>0.45</v>
      </c>
      <c r="E583">
        <v>750</v>
      </c>
      <c r="F583">
        <f>E583*D583</f>
        <v>337.5</v>
      </c>
    </row>
    <row r="584" spans="2:6">
      <c r="B584" t="s">
        <v>41</v>
      </c>
      <c r="C584" t="s">
        <v>2</v>
      </c>
      <c r="D584">
        <v>1</v>
      </c>
      <c r="E584">
        <v>659</v>
      </c>
      <c r="F584">
        <f>E584*D584</f>
        <v>659</v>
      </c>
    </row>
    <row r="585" spans="2:6">
      <c r="F585">
        <f>SUM(F582:F584)</f>
        <v>4822.6288000000004</v>
      </c>
    </row>
    <row r="587" spans="2:6">
      <c r="B587" t="s">
        <v>1072</v>
      </c>
    </row>
    <row r="588" spans="2:6">
      <c r="B588" t="s">
        <v>1073</v>
      </c>
      <c r="C588" t="s">
        <v>1074</v>
      </c>
      <c r="D588">
        <v>0.08</v>
      </c>
      <c r="E588">
        <v>1200</v>
      </c>
      <c r="F588">
        <f>E588*D588</f>
        <v>96</v>
      </c>
    </row>
    <row r="589" spans="2:6">
      <c r="B589" t="s">
        <v>1075</v>
      </c>
      <c r="C589" t="s">
        <v>118</v>
      </c>
      <c r="D589">
        <v>0.02</v>
      </c>
      <c r="E589">
        <v>350</v>
      </c>
      <c r="F589">
        <f>E589*D589</f>
        <v>7</v>
      </c>
    </row>
    <row r="590" spans="2:6">
      <c r="B590" t="s">
        <v>1076</v>
      </c>
      <c r="C590" t="s">
        <v>11</v>
      </c>
      <c r="D590">
        <v>1</v>
      </c>
      <c r="E590">
        <v>55</v>
      </c>
      <c r="F590">
        <f>E590*D590</f>
        <v>55</v>
      </c>
    </row>
    <row r="591" spans="2:6">
      <c r="B591" t="s">
        <v>1077</v>
      </c>
      <c r="C591" t="s">
        <v>3</v>
      </c>
      <c r="D591">
        <v>1</v>
      </c>
      <c r="E591">
        <f>SUM(F588:F589)*0.15</f>
        <v>15.45</v>
      </c>
      <c r="F591">
        <f>E591*D591</f>
        <v>15.45</v>
      </c>
    </row>
    <row r="592" spans="2:6">
      <c r="B592" t="s">
        <v>2445</v>
      </c>
      <c r="E592" t="s">
        <v>1031</v>
      </c>
      <c r="F592">
        <f>ROUND(SUM(F588:F591),2)</f>
        <v>173.45</v>
      </c>
    </row>
    <row r="594" spans="2:8">
      <c r="B594" t="s">
        <v>1079</v>
      </c>
    </row>
    <row r="595" spans="2:8">
      <c r="B595" t="s">
        <v>1080</v>
      </c>
      <c r="C595" t="s">
        <v>118</v>
      </c>
      <c r="D595">
        <v>1</v>
      </c>
      <c r="E595">
        <f>6914/5</f>
        <v>1382.8</v>
      </c>
      <c r="F595">
        <f>E595*D595</f>
        <v>1382.8</v>
      </c>
    </row>
    <row r="596" spans="2:8">
      <c r="B596" t="s">
        <v>1076</v>
      </c>
      <c r="C596" t="s">
        <v>11</v>
      </c>
      <c r="D596">
        <v>25</v>
      </c>
      <c r="E596">
        <v>55</v>
      </c>
      <c r="F596">
        <f>E596*D596</f>
        <v>1375</v>
      </c>
      <c r="G596">
        <f>E596/2</f>
        <v>27.5</v>
      </c>
    </row>
    <row r="597" spans="2:8">
      <c r="B597" t="s">
        <v>1077</v>
      </c>
      <c r="C597" t="s">
        <v>3</v>
      </c>
      <c r="D597">
        <v>1</v>
      </c>
      <c r="E597">
        <f>SUM(F595:F595)*0.15</f>
        <v>207.42</v>
      </c>
      <c r="F597">
        <f>E597*D597</f>
        <v>207.42</v>
      </c>
    </row>
    <row r="598" spans="2:8">
      <c r="B598" t="s">
        <v>1078</v>
      </c>
      <c r="E598" t="s">
        <v>1031</v>
      </c>
      <c r="F598">
        <f>ROUND(SUM(F595:F597),2)</f>
        <v>2965.22</v>
      </c>
      <c r="G598">
        <v>304.5</v>
      </c>
      <c r="H598">
        <f>F598/G598</f>
        <v>9.7379967159277498</v>
      </c>
    </row>
    <row r="600" spans="2:8">
      <c r="B600" t="s">
        <v>3527</v>
      </c>
    </row>
    <row r="601" spans="2:8">
      <c r="B601" t="s">
        <v>166</v>
      </c>
      <c r="C601">
        <v>1.0999999999999999E-2</v>
      </c>
      <c r="D601" t="s">
        <v>2</v>
      </c>
      <c r="E601">
        <f>+F76</f>
        <v>5653.396342</v>
      </c>
      <c r="F601">
        <f>C601*E601</f>
        <v>62.187359762</v>
      </c>
    </row>
    <row r="602" spans="2:8">
      <c r="B602" t="s">
        <v>1081</v>
      </c>
      <c r="C602">
        <v>1</v>
      </c>
      <c r="D602" t="s">
        <v>11</v>
      </c>
      <c r="E602">
        <v>35</v>
      </c>
      <c r="F602">
        <f>C602*E602</f>
        <v>35</v>
      </c>
    </row>
    <row r="603" spans="2:8">
      <c r="B603" t="s">
        <v>1082</v>
      </c>
      <c r="C603">
        <v>1.0999999999999999E-2</v>
      </c>
      <c r="D603" t="s">
        <v>2</v>
      </c>
      <c r="E603">
        <v>150</v>
      </c>
      <c r="F603">
        <f>C603*E603</f>
        <v>1.65</v>
      </c>
    </row>
    <row r="604" spans="2:8">
      <c r="E604" t="s">
        <v>1031</v>
      </c>
      <c r="F604">
        <f>SUM(F601:F603)</f>
        <v>98.837359762000006</v>
      </c>
    </row>
    <row r="607" spans="2:8">
      <c r="B607" t="s">
        <v>1083</v>
      </c>
    </row>
    <row r="609" spans="2:6">
      <c r="B609" t="s">
        <v>1084</v>
      </c>
    </row>
    <row r="610" spans="2:6">
      <c r="B610" t="s">
        <v>1085</v>
      </c>
      <c r="C610">
        <v>1.05</v>
      </c>
      <c r="D610" t="s">
        <v>2</v>
      </c>
      <c r="E610">
        <f>F25</f>
        <v>8154.9</v>
      </c>
      <c r="F610">
        <f>C610*E610</f>
        <v>8562.6450000000004</v>
      </c>
    </row>
    <row r="611" spans="2:6">
      <c r="B611" t="s">
        <v>1087</v>
      </c>
      <c r="C611">
        <v>0.86</v>
      </c>
      <c r="D611" t="s">
        <v>126</v>
      </c>
      <c r="E611">
        <f>+F62</f>
        <v>2913</v>
      </c>
      <c r="F611">
        <f>C611*E611</f>
        <v>2505.1799999999998</v>
      </c>
    </row>
    <row r="612" spans="2:6">
      <c r="E612" t="s">
        <v>1031</v>
      </c>
      <c r="F612">
        <f>ROUND(SUM(F610:F611),2)</f>
        <v>11067.83</v>
      </c>
    </row>
    <row r="614" spans="2:6">
      <c r="B614" t="s">
        <v>1086</v>
      </c>
    </row>
    <row r="615" spans="2:6">
      <c r="B615" t="s">
        <v>1085</v>
      </c>
      <c r="C615">
        <v>1.05</v>
      </c>
      <c r="D615" t="s">
        <v>2</v>
      </c>
      <c r="E615">
        <f>+E610</f>
        <v>8154.9</v>
      </c>
      <c r="F615">
        <f>C615*E615</f>
        <v>8562.6450000000004</v>
      </c>
    </row>
    <row r="616" spans="2:6">
      <c r="B616" t="s">
        <v>1087</v>
      </c>
      <c r="C616">
        <v>1</v>
      </c>
      <c r="D616" t="s">
        <v>126</v>
      </c>
      <c r="E616">
        <f>+F530</f>
        <v>2590</v>
      </c>
      <c r="F616">
        <f>C616*E616</f>
        <v>2590</v>
      </c>
    </row>
    <row r="617" spans="2:6">
      <c r="E617" t="s">
        <v>1031</v>
      </c>
      <c r="F617">
        <f>ROUND(SUM(F615:F616),2)</f>
        <v>11152.65</v>
      </c>
    </row>
    <row r="619" spans="2:6">
      <c r="B619" t="s">
        <v>1091</v>
      </c>
    </row>
    <row r="620" spans="2:6">
      <c r="B620" t="s">
        <v>1085</v>
      </c>
      <c r="C620">
        <v>1.05</v>
      </c>
      <c r="D620" t="s">
        <v>2</v>
      </c>
      <c r="E620" t="e">
        <f>+E296</f>
        <v>#REF!</v>
      </c>
      <c r="F620" t="e">
        <f>C620*E620</f>
        <v>#REF!</v>
      </c>
    </row>
    <row r="621" spans="2:6">
      <c r="B621" t="s">
        <v>1092</v>
      </c>
      <c r="C621">
        <v>5.0199999999999996</v>
      </c>
      <c r="D621" t="s">
        <v>126</v>
      </c>
      <c r="E621">
        <f>+F530</f>
        <v>2590</v>
      </c>
      <c r="F621">
        <f>C621*E621</f>
        <v>13001.8</v>
      </c>
    </row>
    <row r="622" spans="2:6">
      <c r="B622" t="s">
        <v>1089</v>
      </c>
      <c r="C622">
        <f>1/(0.4*0.4)</f>
        <v>6.25</v>
      </c>
      <c r="D622" t="s">
        <v>1</v>
      </c>
      <c r="E622">
        <v>350</v>
      </c>
      <c r="F622">
        <f>C622*E622</f>
        <v>2187.5</v>
      </c>
    </row>
    <row r="623" spans="2:6">
      <c r="B623" t="s">
        <v>1093</v>
      </c>
      <c r="C623">
        <f>+C622</f>
        <v>6.25</v>
      </c>
      <c r="D623" t="s">
        <v>1</v>
      </c>
      <c r="E623">
        <v>141.81</v>
      </c>
      <c r="F623">
        <f>C623*E623</f>
        <v>886.3125</v>
      </c>
    </row>
    <row r="624" spans="2:6">
      <c r="E624" t="s">
        <v>1031</v>
      </c>
      <c r="F624" t="e">
        <f>ROUND(SUM(F620:F623),2)</f>
        <v>#REF!</v>
      </c>
    </row>
    <row r="626" spans="2:6">
      <c r="B626" t="s">
        <v>1094</v>
      </c>
    </row>
    <row r="627" spans="2:6">
      <c r="B627" t="s">
        <v>1085</v>
      </c>
      <c r="C627">
        <v>1.05</v>
      </c>
      <c r="D627" t="s">
        <v>2</v>
      </c>
      <c r="E627" t="e">
        <f>+E296</f>
        <v>#REF!</v>
      </c>
      <c r="F627" t="e">
        <f>C627*E627</f>
        <v>#REF!</v>
      </c>
    </row>
    <row r="628" spans="2:6">
      <c r="B628" t="s">
        <v>1092</v>
      </c>
      <c r="C628">
        <v>2.71</v>
      </c>
      <c r="D628" t="s">
        <v>126</v>
      </c>
      <c r="E628">
        <f>+F530</f>
        <v>2590</v>
      </c>
      <c r="F628">
        <f>C628*E628</f>
        <v>7018.9</v>
      </c>
    </row>
    <row r="629" spans="2:6">
      <c r="B629" t="s">
        <v>1089</v>
      </c>
      <c r="C629">
        <f>1/(0.4*0.2)</f>
        <v>12.5</v>
      </c>
      <c r="D629" t="s">
        <v>1</v>
      </c>
      <c r="E629">
        <v>350</v>
      </c>
      <c r="F629">
        <f>C629*E629</f>
        <v>4375</v>
      </c>
    </row>
    <row r="630" spans="2:6">
      <c r="B630" t="s">
        <v>1093</v>
      </c>
      <c r="C630">
        <f>+C629</f>
        <v>12.5</v>
      </c>
      <c r="D630" t="s">
        <v>1</v>
      </c>
      <c r="E630">
        <v>94.62</v>
      </c>
      <c r="F630">
        <f>C630*E630</f>
        <v>1182.75</v>
      </c>
    </row>
    <row r="631" spans="2:6">
      <c r="E631" t="s">
        <v>1031</v>
      </c>
      <c r="F631" t="e">
        <f>ROUND(SUM(F627:F630),2)</f>
        <v>#REF!</v>
      </c>
    </row>
    <row r="633" spans="2:6">
      <c r="B633" t="s">
        <v>1095</v>
      </c>
    </row>
    <row r="634" spans="2:6">
      <c r="B634" t="s">
        <v>1085</v>
      </c>
      <c r="C634">
        <v>1.05</v>
      </c>
      <c r="D634" t="s">
        <v>2</v>
      </c>
      <c r="E634" t="e">
        <f>+E627</f>
        <v>#REF!</v>
      </c>
      <c r="F634" t="e">
        <f>C634*E634</f>
        <v>#REF!</v>
      </c>
    </row>
    <row r="635" spans="2:6">
      <c r="B635" t="s">
        <v>272</v>
      </c>
      <c r="C635">
        <v>1.1499999999999999</v>
      </c>
      <c r="D635" t="s">
        <v>126</v>
      </c>
      <c r="E635">
        <f>+E611</f>
        <v>2913</v>
      </c>
      <c r="F635">
        <f>C635*E635</f>
        <v>3349.95</v>
      </c>
    </row>
    <row r="636" spans="2:6">
      <c r="B636" t="s">
        <v>1089</v>
      </c>
      <c r="C636">
        <f>1/0.15</f>
        <v>6.6666666666666696</v>
      </c>
      <c r="D636" t="s">
        <v>11</v>
      </c>
      <c r="E636">
        <v>225</v>
      </c>
      <c r="F636">
        <f>C636*E636</f>
        <v>1500</v>
      </c>
    </row>
    <row r="637" spans="2:6">
      <c r="E637" t="s">
        <v>1031</v>
      </c>
      <c r="F637" t="e">
        <f>ROUND(SUM(F634:F636),2)</f>
        <v>#REF!</v>
      </c>
    </row>
    <row r="639" spans="2:6">
      <c r="B639" t="s">
        <v>1010</v>
      </c>
    </row>
    <row r="641" spans="2:6">
      <c r="B641" t="s">
        <v>1096</v>
      </c>
    </row>
    <row r="642" spans="2:6">
      <c r="B642" t="s">
        <v>1097</v>
      </c>
      <c r="C642">
        <v>1.05</v>
      </c>
      <c r="D642" t="s">
        <v>2</v>
      </c>
      <c r="E642">
        <f>+E610</f>
        <v>8154.9</v>
      </c>
      <c r="F642">
        <f>C642*E642</f>
        <v>8562.6450000000004</v>
      </c>
    </row>
    <row r="643" spans="2:6">
      <c r="B643" t="s">
        <v>1087</v>
      </c>
      <c r="C643">
        <v>0.46</v>
      </c>
      <c r="D643" t="s">
        <v>126</v>
      </c>
      <c r="E643">
        <f>+E611</f>
        <v>2913</v>
      </c>
      <c r="F643">
        <f>C643*E643</f>
        <v>1339.98</v>
      </c>
    </row>
    <row r="644" spans="2:6">
      <c r="E644" t="s">
        <v>1031</v>
      </c>
      <c r="F644">
        <f>ROUND(SUM(F642:F643),2)</f>
        <v>9902.6299999999992</v>
      </c>
    </row>
    <row r="647" spans="2:6">
      <c r="B647" t="s">
        <v>1011</v>
      </c>
    </row>
    <row r="648" spans="2:6">
      <c r="B648" t="s">
        <v>1097</v>
      </c>
      <c r="C648">
        <v>1.05</v>
      </c>
      <c r="D648" t="s">
        <v>2</v>
      </c>
      <c r="E648">
        <f>E642</f>
        <v>8154.9</v>
      </c>
      <c r="F648">
        <f>C648*E648</f>
        <v>8562.6450000000004</v>
      </c>
    </row>
    <row r="649" spans="2:6">
      <c r="B649" t="s">
        <v>1087</v>
      </c>
      <c r="C649">
        <v>1.28</v>
      </c>
      <c r="D649" t="s">
        <v>126</v>
      </c>
      <c r="E649">
        <f>E643</f>
        <v>2913</v>
      </c>
      <c r="F649">
        <f>C649*E649</f>
        <v>3728.64</v>
      </c>
    </row>
    <row r="650" spans="2:6">
      <c r="E650" t="s">
        <v>1031</v>
      </c>
      <c r="F650">
        <f>ROUND(SUM(F648:F649),2)</f>
        <v>12291.29</v>
      </c>
    </row>
    <row r="653" spans="2:6">
      <c r="B653" t="s">
        <v>1012</v>
      </c>
    </row>
    <row r="654" spans="2:6">
      <c r="B654" t="s">
        <v>1097</v>
      </c>
      <c r="C654">
        <v>1.05</v>
      </c>
      <c r="D654" t="s">
        <v>2</v>
      </c>
      <c r="E654">
        <f>+E87</f>
        <v>8154.9</v>
      </c>
      <c r="F654">
        <f>C654*E654</f>
        <v>8562.6450000000004</v>
      </c>
    </row>
    <row r="655" spans="2:6">
      <c r="B655" t="s">
        <v>1092</v>
      </c>
      <c r="C655">
        <v>6.63</v>
      </c>
      <c r="D655" t="s">
        <v>126</v>
      </c>
      <c r="E655">
        <f>+E621</f>
        <v>2590</v>
      </c>
      <c r="F655">
        <f>C655*E655</f>
        <v>17171.7</v>
      </c>
    </row>
    <row r="656" spans="2:6">
      <c r="B656" t="s">
        <v>1089</v>
      </c>
      <c r="C656">
        <f>1/(0.25*0.25)</f>
        <v>16</v>
      </c>
      <c r="D656" t="s">
        <v>1</v>
      </c>
      <c r="E656">
        <v>400</v>
      </c>
      <c r="F656">
        <f>C656*E656</f>
        <v>6400</v>
      </c>
    </row>
    <row r="657" spans="2:6">
      <c r="B657" t="s">
        <v>1093</v>
      </c>
      <c r="C657">
        <f>+C656</f>
        <v>16</v>
      </c>
      <c r="D657" t="s">
        <v>1</v>
      </c>
      <c r="E657">
        <v>110</v>
      </c>
      <c r="F657">
        <f>C657*E657</f>
        <v>1760</v>
      </c>
    </row>
    <row r="658" spans="2:6">
      <c r="E658" t="s">
        <v>1031</v>
      </c>
      <c r="F658">
        <f>ROUND(SUM(F654:F657),2)</f>
        <v>33894.35</v>
      </c>
    </row>
    <row r="660" spans="2:6">
      <c r="B660" t="s">
        <v>1013</v>
      </c>
    </row>
    <row r="661" spans="2:6">
      <c r="B661" t="s">
        <v>1097</v>
      </c>
      <c r="C661">
        <v>1.05</v>
      </c>
      <c r="D661" t="s">
        <v>2</v>
      </c>
      <c r="E661">
        <f>+E654</f>
        <v>8154.9</v>
      </c>
      <c r="F661">
        <f>C661*E661</f>
        <v>8562.6450000000004</v>
      </c>
    </row>
    <row r="662" spans="2:6">
      <c r="B662" t="s">
        <v>1092</v>
      </c>
      <c r="C662">
        <v>4.05</v>
      </c>
      <c r="D662" t="s">
        <v>126</v>
      </c>
      <c r="E662">
        <f>+E655</f>
        <v>2590</v>
      </c>
      <c r="F662">
        <f>C662*E662</f>
        <v>10489.5</v>
      </c>
    </row>
    <row r="663" spans="2:6">
      <c r="B663" t="s">
        <v>1089</v>
      </c>
      <c r="C663">
        <f>1/(0.25*0.3)</f>
        <v>13.3333333333333</v>
      </c>
      <c r="D663" t="s">
        <v>1</v>
      </c>
      <c r="E663">
        <v>400</v>
      </c>
      <c r="F663">
        <f>C663*E663</f>
        <v>5333.3333333333203</v>
      </c>
    </row>
    <row r="664" spans="2:6">
      <c r="B664" t="s">
        <v>1093</v>
      </c>
      <c r="C664">
        <f>+C663</f>
        <v>13.3333333333333</v>
      </c>
      <c r="D664" t="s">
        <v>1</v>
      </c>
      <c r="E664">
        <v>110</v>
      </c>
      <c r="F664">
        <f>C664*E664</f>
        <v>1466.6666666666599</v>
      </c>
    </row>
    <row r="665" spans="2:6">
      <c r="E665" t="s">
        <v>1031</v>
      </c>
      <c r="F665">
        <f>ROUND(SUM(F661:F664),2)</f>
        <v>25852.15</v>
      </c>
    </row>
    <row r="667" spans="2:6">
      <c r="B667" t="s">
        <v>1015</v>
      </c>
    </row>
    <row r="668" spans="2:6">
      <c r="B668" t="s">
        <v>1097</v>
      </c>
      <c r="C668">
        <v>1.05</v>
      </c>
      <c r="D668" t="s">
        <v>2</v>
      </c>
      <c r="E668">
        <f>+E661</f>
        <v>8154.9</v>
      </c>
      <c r="F668">
        <f>C668*E668</f>
        <v>8562.6450000000004</v>
      </c>
    </row>
    <row r="669" spans="2:6">
      <c r="B669" t="s">
        <v>1087</v>
      </c>
      <c r="C669">
        <v>3.2</v>
      </c>
      <c r="D669" t="s">
        <v>126</v>
      </c>
      <c r="E669">
        <f>+E297</f>
        <v>2913</v>
      </c>
      <c r="F669">
        <f>C669*E669</f>
        <v>9321.6</v>
      </c>
    </row>
    <row r="670" spans="2:6">
      <c r="B670" t="s">
        <v>1089</v>
      </c>
      <c r="C670">
        <f>1/0.25</f>
        <v>4</v>
      </c>
      <c r="D670" t="s">
        <v>11</v>
      </c>
      <c r="E670">
        <v>1200</v>
      </c>
      <c r="F670">
        <f>C670*E670</f>
        <v>4800</v>
      </c>
    </row>
    <row r="671" spans="2:6">
      <c r="E671" t="s">
        <v>1031</v>
      </c>
      <c r="F671">
        <f>ROUND(SUM(F668:F670),2)</f>
        <v>22684.25</v>
      </c>
    </row>
    <row r="673" spans="2:6">
      <c r="B673" t="s">
        <v>1016</v>
      </c>
    </row>
    <row r="674" spans="2:6">
      <c r="B674" t="s">
        <v>1097</v>
      </c>
      <c r="C674">
        <v>1.05</v>
      </c>
      <c r="D674" t="s">
        <v>2</v>
      </c>
      <c r="E674">
        <f>+E668</f>
        <v>8154.9</v>
      </c>
      <c r="F674">
        <f>C674*E674</f>
        <v>8562.6450000000004</v>
      </c>
    </row>
    <row r="675" spans="2:6">
      <c r="B675" t="s">
        <v>272</v>
      </c>
      <c r="C675">
        <v>1.76</v>
      </c>
      <c r="D675" t="s">
        <v>126</v>
      </c>
      <c r="E675">
        <f>+E635</f>
        <v>2913</v>
      </c>
      <c r="F675">
        <f>C675*E675</f>
        <v>5126.88</v>
      </c>
    </row>
    <row r="676" spans="2:6">
      <c r="B676" t="s">
        <v>1089</v>
      </c>
      <c r="C676">
        <f>1/0.15</f>
        <v>6.6666666666666696</v>
      </c>
      <c r="D676" t="s">
        <v>11</v>
      </c>
      <c r="E676">
        <v>350</v>
      </c>
      <c r="F676">
        <f>C676*E676</f>
        <v>2333.3333333333298</v>
      </c>
    </row>
    <row r="677" spans="2:6">
      <c r="E677" t="s">
        <v>1031</v>
      </c>
      <c r="F677">
        <f>ROUND(SUM(F674:F676),2)</f>
        <v>16022.86</v>
      </c>
    </row>
    <row r="679" spans="2:6">
      <c r="B679" t="s">
        <v>1014</v>
      </c>
    </row>
    <row r="680" spans="2:6">
      <c r="B680" t="s">
        <v>271</v>
      </c>
      <c r="C680">
        <v>1.05</v>
      </c>
      <c r="D680" t="s">
        <v>2</v>
      </c>
      <c r="E680">
        <f>+E674</f>
        <v>8154.9</v>
      </c>
      <c r="F680">
        <f>C680*E680</f>
        <v>8562.6450000000004</v>
      </c>
    </row>
    <row r="681" spans="2:6">
      <c r="B681" t="s">
        <v>1092</v>
      </c>
      <c r="C681">
        <v>3.06</v>
      </c>
      <c r="D681" t="s">
        <v>126</v>
      </c>
      <c r="E681">
        <f>+E628</f>
        <v>2590</v>
      </c>
      <c r="F681">
        <f>C681*E681</f>
        <v>7925.4</v>
      </c>
    </row>
    <row r="682" spans="2:6">
      <c r="B682" t="s">
        <v>1089</v>
      </c>
      <c r="C682">
        <f>1/(0.4*0.25)</f>
        <v>10</v>
      </c>
      <c r="D682" t="s">
        <v>1</v>
      </c>
      <c r="E682">
        <v>350</v>
      </c>
      <c r="F682">
        <f>C682*E682</f>
        <v>3500</v>
      </c>
    </row>
    <row r="683" spans="2:6">
      <c r="B683" t="s">
        <v>1093</v>
      </c>
      <c r="C683">
        <f>+C682</f>
        <v>10</v>
      </c>
      <c r="D683" t="s">
        <v>1</v>
      </c>
      <c r="E683">
        <v>110</v>
      </c>
      <c r="F683">
        <f>C683*E683</f>
        <v>1100</v>
      </c>
    </row>
    <row r="684" spans="2:6">
      <c r="E684" t="s">
        <v>1031</v>
      </c>
      <c r="F684">
        <f>ROUND(SUM(F680:F683),2)</f>
        <v>21088.05</v>
      </c>
    </row>
    <row r="686" spans="2:6">
      <c r="B686" t="s">
        <v>1098</v>
      </c>
    </row>
    <row r="687" spans="2:6">
      <c r="B687" t="s">
        <v>1099</v>
      </c>
    </row>
    <row r="688" spans="2:6">
      <c r="B688" t="s">
        <v>1060</v>
      </c>
      <c r="C688">
        <v>1.05</v>
      </c>
      <c r="D688" t="s">
        <v>2</v>
      </c>
      <c r="E688">
        <v>6925</v>
      </c>
      <c r="F688">
        <f>ROUND(C688*E688,2)</f>
        <v>7271.25</v>
      </c>
    </row>
    <row r="689" spans="2:8">
      <c r="B689" t="s">
        <v>272</v>
      </c>
      <c r="C689">
        <v>0.6</v>
      </c>
      <c r="D689" t="s">
        <v>126</v>
      </c>
      <c r="E689">
        <f>+E675</f>
        <v>2913</v>
      </c>
      <c r="F689">
        <f>ROUND(C689*E689,2)</f>
        <v>1747.8</v>
      </c>
    </row>
    <row r="690" spans="2:8">
      <c r="F690">
        <f>SUM(F688:F689)</f>
        <v>9019.0499999999993</v>
      </c>
    </row>
    <row r="692" spans="2:8">
      <c r="B692" t="s">
        <v>37</v>
      </c>
      <c r="C692">
        <v>1</v>
      </c>
      <c r="D692" t="s">
        <v>1100</v>
      </c>
      <c r="E692">
        <v>500</v>
      </c>
      <c r="F692">
        <f>ROUND(C692*E692,2)</f>
        <v>500</v>
      </c>
    </row>
    <row r="693" spans="2:8">
      <c r="B693" t="s">
        <v>1101</v>
      </c>
      <c r="C693">
        <v>2.7</v>
      </c>
      <c r="D693" t="s">
        <v>2</v>
      </c>
      <c r="E693">
        <v>297.56</v>
      </c>
      <c r="F693">
        <f t="shared" ref="F693:F712" si="5">ROUND(C693*E693,2)</f>
        <v>803.41</v>
      </c>
    </row>
    <row r="694" spans="2:8">
      <c r="B694" t="s">
        <v>96</v>
      </c>
      <c r="C694">
        <v>0.86</v>
      </c>
      <c r="D694" t="s">
        <v>2</v>
      </c>
      <c r="E694">
        <v>70.16</v>
      </c>
      <c r="F694">
        <f t="shared" si="5"/>
        <v>60.34</v>
      </c>
    </row>
    <row r="695" spans="2:8">
      <c r="B695" t="s">
        <v>1102</v>
      </c>
      <c r="C695">
        <v>2.21</v>
      </c>
      <c r="D695" t="s">
        <v>2</v>
      </c>
      <c r="E695">
        <v>150</v>
      </c>
      <c r="F695">
        <f t="shared" si="5"/>
        <v>331.5</v>
      </c>
    </row>
    <row r="696" spans="2:8">
      <c r="B696" t="s">
        <v>1103</v>
      </c>
      <c r="C696">
        <v>1.35</v>
      </c>
      <c r="D696" t="s">
        <v>2</v>
      </c>
      <c r="E696">
        <f>+F690</f>
        <v>9019.0499999999993</v>
      </c>
      <c r="F696">
        <f t="shared" si="5"/>
        <v>12175.72</v>
      </c>
    </row>
    <row r="697" spans="2:8">
      <c r="B697" t="s">
        <v>1104</v>
      </c>
      <c r="C697">
        <v>7.2</v>
      </c>
      <c r="D697" t="s">
        <v>11</v>
      </c>
      <c r="E697">
        <f>+F551</f>
        <v>935.32585731999995</v>
      </c>
      <c r="F697">
        <f t="shared" si="5"/>
        <v>6734.35</v>
      </c>
    </row>
    <row r="698" spans="2:8">
      <c r="B698" t="s">
        <v>1105</v>
      </c>
      <c r="C698">
        <v>12</v>
      </c>
      <c r="D698" t="s">
        <v>13</v>
      </c>
      <c r="E698">
        <v>52</v>
      </c>
      <c r="F698">
        <f t="shared" si="5"/>
        <v>624</v>
      </c>
    </row>
    <row r="699" spans="2:8">
      <c r="B699" t="s">
        <v>1237</v>
      </c>
      <c r="C699">
        <v>4</v>
      </c>
      <c r="D699" t="s">
        <v>3</v>
      </c>
      <c r="E699">
        <f>480.43*1.18</f>
        <v>566.90740000000005</v>
      </c>
      <c r="F699">
        <f t="shared" si="5"/>
        <v>2267.63</v>
      </c>
    </row>
    <row r="700" spans="2:8">
      <c r="B700" t="s">
        <v>1106</v>
      </c>
      <c r="C700">
        <v>2</v>
      </c>
      <c r="D700" t="s">
        <v>3</v>
      </c>
      <c r="E700">
        <f>546.71*1.18</f>
        <v>645.11779999999999</v>
      </c>
      <c r="F700">
        <f t="shared" si="5"/>
        <v>1290.24</v>
      </c>
    </row>
    <row r="701" spans="2:8">
      <c r="B701" t="s">
        <v>1107</v>
      </c>
      <c r="C701">
        <v>21.6</v>
      </c>
      <c r="D701" t="s">
        <v>11</v>
      </c>
      <c r="E701">
        <v>191.27</v>
      </c>
      <c r="F701">
        <f t="shared" si="5"/>
        <v>4131.43</v>
      </c>
      <c r="G701">
        <f>6/3.28</f>
        <v>1.82926829268293</v>
      </c>
    </row>
    <row r="702" spans="2:8">
      <c r="B702" t="s">
        <v>1108</v>
      </c>
      <c r="C702">
        <v>2</v>
      </c>
      <c r="D702" t="s">
        <v>3</v>
      </c>
      <c r="E702">
        <v>47.2</v>
      </c>
      <c r="F702">
        <f t="shared" si="5"/>
        <v>94.4</v>
      </c>
      <c r="G702">
        <f>50/3.28</f>
        <v>15.243902439024399</v>
      </c>
      <c r="H702">
        <f>G702*G701</f>
        <v>27.8851873884593</v>
      </c>
    </row>
    <row r="703" spans="2:8">
      <c r="B703" t="s">
        <v>1109</v>
      </c>
      <c r="C703">
        <v>3</v>
      </c>
      <c r="D703" t="s">
        <v>3</v>
      </c>
      <c r="E703">
        <v>32.42</v>
      </c>
      <c r="F703">
        <f t="shared" si="5"/>
        <v>97.26</v>
      </c>
    </row>
    <row r="704" spans="2:8">
      <c r="B704" t="s">
        <v>1110</v>
      </c>
      <c r="C704">
        <v>4</v>
      </c>
      <c r="D704" t="s">
        <v>3</v>
      </c>
      <c r="E704">
        <v>236</v>
      </c>
      <c r="F704">
        <f t="shared" si="5"/>
        <v>944</v>
      </c>
    </row>
    <row r="705" spans="2:8">
      <c r="B705" t="s">
        <v>1111</v>
      </c>
      <c r="C705">
        <v>72</v>
      </c>
      <c r="D705" t="s">
        <v>13</v>
      </c>
      <c r="E705">
        <v>5.2</v>
      </c>
      <c r="F705">
        <f t="shared" si="5"/>
        <v>374.4</v>
      </c>
      <c r="G705">
        <f>485/110</f>
        <v>4.4090909090909101</v>
      </c>
      <c r="H705">
        <f>G705*1.18</f>
        <v>5.2027272727272704</v>
      </c>
    </row>
    <row r="706" spans="2:8">
      <c r="B706" t="s">
        <v>1112</v>
      </c>
      <c r="C706">
        <v>1</v>
      </c>
      <c r="D706" t="s">
        <v>183</v>
      </c>
      <c r="E706">
        <v>32.5</v>
      </c>
      <c r="F706">
        <f t="shared" si="5"/>
        <v>32.5</v>
      </c>
    </row>
    <row r="707" spans="2:8">
      <c r="B707" t="s">
        <v>1113</v>
      </c>
      <c r="C707">
        <v>10.08</v>
      </c>
      <c r="D707" t="s">
        <v>11</v>
      </c>
      <c r="E707">
        <f>+F261</f>
        <v>331.47330489199999</v>
      </c>
      <c r="F707">
        <f t="shared" si="5"/>
        <v>3341.25</v>
      </c>
    </row>
    <row r="708" spans="2:8">
      <c r="B708" t="s">
        <v>1114</v>
      </c>
      <c r="C708">
        <v>34.200000000000003</v>
      </c>
      <c r="D708" t="s">
        <v>11</v>
      </c>
      <c r="E708">
        <v>130.5</v>
      </c>
      <c r="F708">
        <f t="shared" si="5"/>
        <v>4463.1000000000004</v>
      </c>
    </row>
    <row r="709" spans="2:8">
      <c r="B709" t="s">
        <v>1115</v>
      </c>
      <c r="C709">
        <v>2</v>
      </c>
      <c r="D709" t="s">
        <v>3</v>
      </c>
      <c r="E709">
        <v>180</v>
      </c>
      <c r="F709">
        <f t="shared" si="5"/>
        <v>360</v>
      </c>
    </row>
    <row r="710" spans="2:8">
      <c r="B710" t="s">
        <v>1116</v>
      </c>
      <c r="C710">
        <v>6</v>
      </c>
      <c r="D710" t="s">
        <v>3</v>
      </c>
      <c r="E710">
        <v>24.54</v>
      </c>
      <c r="F710">
        <f t="shared" si="5"/>
        <v>147.24</v>
      </c>
    </row>
    <row r="711" spans="2:8">
      <c r="B711" t="s">
        <v>41</v>
      </c>
      <c r="C711">
        <v>12</v>
      </c>
      <c r="D711" t="s">
        <v>13</v>
      </c>
      <c r="E711">
        <v>418.06</v>
      </c>
      <c r="F711">
        <f t="shared" si="5"/>
        <v>5016.72</v>
      </c>
    </row>
    <row r="712" spans="2:8">
      <c r="B712" t="s">
        <v>1117</v>
      </c>
      <c r="C712">
        <v>12.6</v>
      </c>
      <c r="D712" t="s">
        <v>11</v>
      </c>
      <c r="E712">
        <v>144</v>
      </c>
      <c r="F712">
        <f t="shared" si="5"/>
        <v>1814.4</v>
      </c>
    </row>
    <row r="713" spans="2:8">
      <c r="B713" t="s">
        <v>1118</v>
      </c>
      <c r="F713">
        <f>SUM(F692:F712)</f>
        <v>45603.89</v>
      </c>
    </row>
    <row r="714" spans="2:8">
      <c r="B714" t="s">
        <v>1119</v>
      </c>
      <c r="E714" t="s">
        <v>1120</v>
      </c>
      <c r="F714">
        <f>ROUND(F713/12,2)</f>
        <v>3800.32</v>
      </c>
    </row>
    <row r="716" spans="2:8">
      <c r="B716" t="s">
        <v>1121</v>
      </c>
    </row>
    <row r="717" spans="2:8">
      <c r="B717" t="s">
        <v>285</v>
      </c>
      <c r="C717" t="s">
        <v>286</v>
      </c>
      <c r="D717" t="s">
        <v>340</v>
      </c>
      <c r="E717" t="s">
        <v>288</v>
      </c>
      <c r="F717" t="s">
        <v>289</v>
      </c>
    </row>
    <row r="718" spans="2:8">
      <c r="B718" t="s">
        <v>1122</v>
      </c>
      <c r="C718">
        <v>4</v>
      </c>
      <c r="D718" t="s">
        <v>3</v>
      </c>
      <c r="E718">
        <f>E699</f>
        <v>566.90740000000005</v>
      </c>
      <c r="F718">
        <f t="shared" ref="F718:F735" si="6">C718*E718</f>
        <v>2267.6296000000002</v>
      </c>
    </row>
    <row r="719" spans="2:8">
      <c r="B719" t="s">
        <v>1123</v>
      </c>
      <c r="C719">
        <v>8</v>
      </c>
      <c r="D719" t="s">
        <v>3</v>
      </c>
      <c r="E719">
        <f>+E700</f>
        <v>645.11779999999999</v>
      </c>
      <c r="F719">
        <f t="shared" si="6"/>
        <v>5160.9423999999999</v>
      </c>
    </row>
    <row r="720" spans="2:8">
      <c r="B720" t="s">
        <v>1124</v>
      </c>
      <c r="C720">
        <v>2</v>
      </c>
      <c r="D720" t="s">
        <v>3</v>
      </c>
      <c r="E720">
        <f>+E702</f>
        <v>47.2</v>
      </c>
      <c r="F720">
        <f t="shared" si="6"/>
        <v>94.4</v>
      </c>
    </row>
    <row r="721" spans="2:6">
      <c r="B721" t="s">
        <v>1125</v>
      </c>
      <c r="C721">
        <v>4</v>
      </c>
      <c r="D721" t="s">
        <v>3</v>
      </c>
      <c r="E721">
        <f>+E703</f>
        <v>32.42</v>
      </c>
      <c r="F721">
        <f t="shared" si="6"/>
        <v>129.68</v>
      </c>
    </row>
    <row r="722" spans="2:6">
      <c r="B722" t="s">
        <v>977</v>
      </c>
      <c r="C722">
        <v>8.25</v>
      </c>
      <c r="D722" t="s">
        <v>11</v>
      </c>
      <c r="E722">
        <f>+E701</f>
        <v>191.27</v>
      </c>
      <c r="F722">
        <f t="shared" si="6"/>
        <v>1577.9775</v>
      </c>
    </row>
    <row r="723" spans="2:6">
      <c r="B723" t="s">
        <v>1126</v>
      </c>
      <c r="C723">
        <v>2</v>
      </c>
      <c r="D723" t="s">
        <v>3</v>
      </c>
      <c r="E723">
        <f>+E709</f>
        <v>180</v>
      </c>
      <c r="F723">
        <f t="shared" si="6"/>
        <v>360</v>
      </c>
    </row>
    <row r="724" spans="2:6">
      <c r="B724" t="s">
        <v>1116</v>
      </c>
      <c r="C724">
        <v>6</v>
      </c>
      <c r="D724" t="s">
        <v>3</v>
      </c>
      <c r="E724">
        <f>+E710</f>
        <v>24.54</v>
      </c>
      <c r="F724">
        <f t="shared" si="6"/>
        <v>147.24</v>
      </c>
    </row>
    <row r="725" spans="2:6">
      <c r="B725" t="s">
        <v>1127</v>
      </c>
      <c r="C725">
        <v>2</v>
      </c>
      <c r="D725" t="s">
        <v>1128</v>
      </c>
      <c r="E725">
        <f>+E706</f>
        <v>32.5</v>
      </c>
      <c r="F725">
        <f t="shared" si="6"/>
        <v>65</v>
      </c>
    </row>
    <row r="726" spans="2:6">
      <c r="B726" t="s">
        <v>1129</v>
      </c>
      <c r="C726">
        <v>1</v>
      </c>
      <c r="D726" t="s">
        <v>148</v>
      </c>
      <c r="E726">
        <v>2500</v>
      </c>
      <c r="F726">
        <f t="shared" si="6"/>
        <v>2500</v>
      </c>
    </row>
    <row r="727" spans="2:6">
      <c r="B727" t="s">
        <v>1130</v>
      </c>
      <c r="F727">
        <f t="shared" si="6"/>
        <v>0</v>
      </c>
    </row>
    <row r="728" spans="2:6">
      <c r="B728" t="s">
        <v>1131</v>
      </c>
      <c r="C728">
        <v>1</v>
      </c>
      <c r="D728" t="s">
        <v>148</v>
      </c>
      <c r="E728">
        <v>1500</v>
      </c>
      <c r="F728">
        <f t="shared" si="6"/>
        <v>1500</v>
      </c>
    </row>
    <row r="729" spans="2:6">
      <c r="B729" t="s">
        <v>1132</v>
      </c>
      <c r="C729">
        <v>1</v>
      </c>
      <c r="D729" t="s">
        <v>148</v>
      </c>
      <c r="E729">
        <v>850</v>
      </c>
      <c r="F729">
        <f t="shared" si="6"/>
        <v>850</v>
      </c>
    </row>
    <row r="730" spans="2:6">
      <c r="B730" t="s">
        <v>1133</v>
      </c>
      <c r="C730">
        <v>1</v>
      </c>
      <c r="D730" t="s">
        <v>148</v>
      </c>
      <c r="E730">
        <v>750</v>
      </c>
      <c r="F730">
        <f t="shared" si="6"/>
        <v>750</v>
      </c>
    </row>
    <row r="731" spans="2:6">
      <c r="B731" t="s">
        <v>1134</v>
      </c>
      <c r="C731">
        <v>1</v>
      </c>
      <c r="D731" t="s">
        <v>3</v>
      </c>
      <c r="E731">
        <v>450</v>
      </c>
      <c r="F731">
        <f t="shared" si="6"/>
        <v>450</v>
      </c>
    </row>
    <row r="732" spans="2:6">
      <c r="B732" t="s">
        <v>1135</v>
      </c>
      <c r="C732">
        <v>1</v>
      </c>
      <c r="D732" t="s">
        <v>3</v>
      </c>
      <c r="E732">
        <v>145</v>
      </c>
      <c r="F732">
        <f t="shared" si="6"/>
        <v>145</v>
      </c>
    </row>
    <row r="733" spans="2:6">
      <c r="B733" t="s">
        <v>1136</v>
      </c>
      <c r="C733">
        <v>6</v>
      </c>
      <c r="D733" t="s">
        <v>3</v>
      </c>
      <c r="E733">
        <v>87.65</v>
      </c>
      <c r="F733">
        <f t="shared" si="6"/>
        <v>525.9</v>
      </c>
    </row>
    <row r="734" spans="2:6">
      <c r="B734" t="s">
        <v>1137</v>
      </c>
      <c r="C734">
        <v>12</v>
      </c>
      <c r="D734" t="s">
        <v>13</v>
      </c>
      <c r="E734">
        <f>+E705</f>
        <v>5.2</v>
      </c>
      <c r="F734">
        <f t="shared" si="6"/>
        <v>62.4</v>
      </c>
    </row>
    <row r="735" spans="2:6">
      <c r="B735" t="s">
        <v>536</v>
      </c>
      <c r="C735">
        <v>16.34</v>
      </c>
      <c r="D735" t="s">
        <v>11</v>
      </c>
      <c r="E735">
        <f>+E712</f>
        <v>144</v>
      </c>
      <c r="F735">
        <f t="shared" si="6"/>
        <v>2352.96</v>
      </c>
    </row>
    <row r="736" spans="2:6">
      <c r="B736" t="s">
        <v>1138</v>
      </c>
      <c r="E736" t="s">
        <v>42</v>
      </c>
      <c r="F736">
        <v>2500</v>
      </c>
    </row>
    <row r="737" spans="2:6">
      <c r="B737" t="s">
        <v>8</v>
      </c>
      <c r="E737" t="s">
        <v>42</v>
      </c>
      <c r="F737">
        <v>1500</v>
      </c>
    </row>
    <row r="738" spans="2:6">
      <c r="B738" t="s">
        <v>1139</v>
      </c>
      <c r="E738" t="s">
        <v>1039</v>
      </c>
      <c r="F738">
        <f>ROUND(SUM(F718:F737),2)</f>
        <v>22939.13</v>
      </c>
    </row>
    <row r="740" spans="2:6">
      <c r="B740" t="s">
        <v>1140</v>
      </c>
    </row>
    <row r="741" spans="2:6">
      <c r="B741" t="s">
        <v>1141</v>
      </c>
    </row>
    <row r="742" spans="2:6">
      <c r="B742" t="s">
        <v>1060</v>
      </c>
      <c r="C742">
        <v>1.05</v>
      </c>
      <c r="D742" t="s">
        <v>2</v>
      </c>
      <c r="E742">
        <f>+E688</f>
        <v>6925</v>
      </c>
      <c r="F742">
        <f>C742*E742</f>
        <v>7271.25</v>
      </c>
    </row>
    <row r="743" spans="2:6">
      <c r="B743" t="s">
        <v>272</v>
      </c>
      <c r="C743">
        <v>8.15</v>
      </c>
      <c r="D743" t="s">
        <v>126</v>
      </c>
      <c r="E743">
        <f>+E689</f>
        <v>2913</v>
      </c>
      <c r="F743">
        <f>C743*E743</f>
        <v>23740.95</v>
      </c>
    </row>
    <row r="744" spans="2:6">
      <c r="B744" t="s">
        <v>1089</v>
      </c>
      <c r="C744">
        <f>1/(0.15*0.15)</f>
        <v>44.4444444444444</v>
      </c>
      <c r="D744" t="s">
        <v>13</v>
      </c>
      <c r="E744">
        <v>250</v>
      </c>
      <c r="F744">
        <f>C744*E744</f>
        <v>11111.1111111111</v>
      </c>
    </row>
    <row r="745" spans="2:6">
      <c r="F745">
        <f>ROUND((SUM(F742:F744)),2)</f>
        <v>42123.31</v>
      </c>
    </row>
    <row r="746" spans="2:6">
      <c r="B746" t="s">
        <v>1142</v>
      </c>
      <c r="C746">
        <v>1.2999999999999999E-2</v>
      </c>
      <c r="D746" t="s">
        <v>2</v>
      </c>
    </row>
    <row r="747" spans="2:6">
      <c r="B747" t="s">
        <v>1143</v>
      </c>
      <c r="C747">
        <v>1</v>
      </c>
      <c r="D747" t="s">
        <v>3</v>
      </c>
      <c r="E747">
        <f>C746*F745</f>
        <v>547.60302999999999</v>
      </c>
      <c r="F747">
        <f>E747*C747</f>
        <v>547.60302999999999</v>
      </c>
    </row>
    <row r="748" spans="2:6">
      <c r="B748" t="s">
        <v>978</v>
      </c>
      <c r="C748" t="s">
        <v>1144</v>
      </c>
      <c r="F748">
        <f>ROUND((SUM(F747:F747)),2)</f>
        <v>547.6</v>
      </c>
    </row>
    <row r="750" spans="2:6">
      <c r="B750" t="s">
        <v>1145</v>
      </c>
    </row>
    <row r="751" spans="2:6">
      <c r="B751" t="s">
        <v>1146</v>
      </c>
    </row>
    <row r="752" spans="2:6">
      <c r="B752" t="s">
        <v>1060</v>
      </c>
      <c r="C752">
        <v>1.05</v>
      </c>
      <c r="D752" t="s">
        <v>2</v>
      </c>
      <c r="E752">
        <f>E742</f>
        <v>6925</v>
      </c>
      <c r="F752">
        <f>C752*E752</f>
        <v>7271.25</v>
      </c>
    </row>
    <row r="753" spans="2:6">
      <c r="B753" t="s">
        <v>272</v>
      </c>
      <c r="C753">
        <v>4.79</v>
      </c>
      <c r="D753" t="s">
        <v>126</v>
      </c>
      <c r="E753">
        <f>E743</f>
        <v>2913</v>
      </c>
      <c r="F753">
        <f>C753*E753</f>
        <v>13953.27</v>
      </c>
    </row>
    <row r="754" spans="2:6">
      <c r="B754" t="s">
        <v>1089</v>
      </c>
      <c r="C754">
        <f>1/(0.25*0.25)</f>
        <v>16</v>
      </c>
      <c r="D754" t="s">
        <v>13</v>
      </c>
      <c r="E754">
        <v>250</v>
      </c>
      <c r="F754">
        <f>C754*E754</f>
        <v>4000</v>
      </c>
    </row>
    <row r="755" spans="2:6">
      <c r="F755">
        <f>ROUND((SUM(F752:F754)),2)</f>
        <v>25224.52</v>
      </c>
    </row>
    <row r="756" spans="2:6">
      <c r="B756" t="s">
        <v>1147</v>
      </c>
      <c r="C756">
        <v>0.17499999999999999</v>
      </c>
      <c r="D756" t="s">
        <v>2</v>
      </c>
    </row>
    <row r="757" spans="2:6">
      <c r="B757" t="s">
        <v>1148</v>
      </c>
      <c r="C757">
        <f>F755*C756</f>
        <v>4414.2910000000002</v>
      </c>
      <c r="D757" t="s">
        <v>1149</v>
      </c>
    </row>
    <row r="759" spans="2:6">
      <c r="B759" t="s">
        <v>1150</v>
      </c>
    </row>
    <row r="760" spans="2:6">
      <c r="B760" t="s">
        <v>1060</v>
      </c>
      <c r="C760">
        <v>1.05</v>
      </c>
      <c r="D760" t="s">
        <v>2</v>
      </c>
      <c r="E760">
        <f>E752</f>
        <v>6925</v>
      </c>
      <c r="F760">
        <f>C760*E760</f>
        <v>7271.25</v>
      </c>
    </row>
    <row r="761" spans="2:6">
      <c r="B761" t="s">
        <v>272</v>
      </c>
      <c r="C761">
        <v>1.43</v>
      </c>
      <c r="D761" t="s">
        <v>126</v>
      </c>
      <c r="E761">
        <f>E753</f>
        <v>2913</v>
      </c>
      <c r="F761">
        <f>C761*E761</f>
        <v>4165.59</v>
      </c>
    </row>
    <row r="762" spans="2:6">
      <c r="F762">
        <f>ROUND((SUM(F760:F761)),2)</f>
        <v>11436.84</v>
      </c>
    </row>
    <row r="763" spans="2:6">
      <c r="B763" t="s">
        <v>1151</v>
      </c>
      <c r="C763">
        <v>0.14000000000000001</v>
      </c>
      <c r="D763" t="s">
        <v>2</v>
      </c>
    </row>
    <row r="764" spans="2:6">
      <c r="B764" t="s">
        <v>1148</v>
      </c>
      <c r="C764">
        <f>F762*C763</f>
        <v>1601.1576</v>
      </c>
      <c r="D764" t="s">
        <v>1149</v>
      </c>
    </row>
    <row r="765" spans="2:6">
      <c r="B765" t="s">
        <v>1152</v>
      </c>
      <c r="C765">
        <v>1</v>
      </c>
      <c r="D765" t="s">
        <v>3</v>
      </c>
      <c r="E765">
        <f>C764+C757</f>
        <v>6015.4485999999997</v>
      </c>
      <c r="F765">
        <f>E765*C765</f>
        <v>6015.4485999999997</v>
      </c>
    </row>
    <row r="766" spans="2:6">
      <c r="B766" t="s">
        <v>1153</v>
      </c>
      <c r="C766">
        <v>2.86</v>
      </c>
      <c r="D766" t="s">
        <v>11</v>
      </c>
      <c r="E766">
        <f>E707</f>
        <v>331.47330489199999</v>
      </c>
      <c r="F766">
        <f>E766*C766</f>
        <v>948.01365199112001</v>
      </c>
    </row>
    <row r="767" spans="2:6">
      <c r="B767" t="s">
        <v>177</v>
      </c>
      <c r="C767">
        <v>12.2</v>
      </c>
      <c r="D767" t="s">
        <v>13</v>
      </c>
      <c r="E767">
        <f>+F267</f>
        <v>82.214604270600006</v>
      </c>
      <c r="F767">
        <f>E767*C767</f>
        <v>1003.01817210132</v>
      </c>
    </row>
    <row r="768" spans="2:6">
      <c r="B768" t="s">
        <v>536</v>
      </c>
      <c r="C768">
        <v>1.76</v>
      </c>
      <c r="D768" t="s">
        <v>11</v>
      </c>
      <c r="E768">
        <f>+E735</f>
        <v>144</v>
      </c>
      <c r="F768">
        <f>E768*C768</f>
        <v>253.44</v>
      </c>
    </row>
    <row r="769" spans="2:6">
      <c r="B769" t="s">
        <v>1154</v>
      </c>
      <c r="C769" t="s">
        <v>1144</v>
      </c>
      <c r="F769">
        <f>ROUND((SUM(F765:F768)),2)</f>
        <v>8219.92</v>
      </c>
    </row>
    <row r="770" spans="2:6">
      <c r="B770" t="s">
        <v>1145</v>
      </c>
      <c r="C770" t="s">
        <v>1148</v>
      </c>
      <c r="E770">
        <f>F769</f>
        <v>8219.92</v>
      </c>
    </row>
    <row r="772" spans="2:6" hidden="1"/>
    <row r="773" spans="2:6" hidden="1"/>
    <row r="774" spans="2:6" hidden="1">
      <c r="B774" t="s">
        <v>1155</v>
      </c>
    </row>
    <row r="775" spans="2:6" hidden="1">
      <c r="B775" t="s">
        <v>271</v>
      </c>
      <c r="C775">
        <v>1.05</v>
      </c>
      <c r="D775" t="s">
        <v>2</v>
      </c>
      <c r="E775">
        <v>5525.27</v>
      </c>
      <c r="F775">
        <f>C775*E775</f>
        <v>5801.5334999999995</v>
      </c>
    </row>
    <row r="776" spans="2:6" hidden="1">
      <c r="B776" t="s">
        <v>1092</v>
      </c>
      <c r="C776">
        <v>6.38</v>
      </c>
      <c r="D776" t="s">
        <v>126</v>
      </c>
      <c r="E776">
        <f>+E628</f>
        <v>2590</v>
      </c>
      <c r="F776">
        <f>C776*E776</f>
        <v>16524.2</v>
      </c>
    </row>
    <row r="777" spans="2:6" hidden="1">
      <c r="B777" t="s">
        <v>1089</v>
      </c>
      <c r="C777">
        <v>25</v>
      </c>
      <c r="D777" t="s">
        <v>1</v>
      </c>
      <c r="E777">
        <v>250</v>
      </c>
      <c r="F777">
        <f>C777*E777</f>
        <v>6250</v>
      </c>
    </row>
    <row r="778" spans="2:6" hidden="1">
      <c r="B778" t="s">
        <v>1093</v>
      </c>
      <c r="C778">
        <v>25</v>
      </c>
      <c r="D778" t="s">
        <v>1</v>
      </c>
      <c r="E778">
        <v>85</v>
      </c>
      <c r="F778">
        <f>C778*E778</f>
        <v>2125</v>
      </c>
    </row>
    <row r="779" spans="2:6" hidden="1">
      <c r="E779" t="s">
        <v>1031</v>
      </c>
      <c r="F779">
        <f>ROUND(SUM(F775:F778),2)</f>
        <v>30700.73</v>
      </c>
    </row>
    <row r="780" spans="2:6" hidden="1"/>
    <row r="781" spans="2:6" hidden="1">
      <c r="B781" t="s">
        <v>1156</v>
      </c>
    </row>
    <row r="782" spans="2:6" hidden="1">
      <c r="B782" t="s">
        <v>271</v>
      </c>
      <c r="C782">
        <v>1.05</v>
      </c>
      <c r="D782" t="s">
        <v>2</v>
      </c>
      <c r="E782">
        <f>+E775</f>
        <v>5525.27</v>
      </c>
      <c r="F782">
        <f>C782*E782</f>
        <v>5801.5334999999995</v>
      </c>
    </row>
    <row r="783" spans="2:6" hidden="1">
      <c r="B783" t="s">
        <v>272</v>
      </c>
      <c r="C783">
        <v>1.35</v>
      </c>
      <c r="D783" t="s">
        <v>126</v>
      </c>
      <c r="E783">
        <f>+E635</f>
        <v>2913</v>
      </c>
      <c r="F783">
        <f>C783*E783</f>
        <v>3932.55</v>
      </c>
    </row>
    <row r="784" spans="2:6" hidden="1">
      <c r="B784" t="s">
        <v>1089</v>
      </c>
      <c r="C784">
        <v>7.69</v>
      </c>
      <c r="D784" t="s">
        <v>11</v>
      </c>
      <c r="E784">
        <v>225</v>
      </c>
      <c r="F784">
        <f>C784*E784</f>
        <v>1730.25</v>
      </c>
    </row>
    <row r="785" spans="2:6" hidden="1">
      <c r="E785" t="s">
        <v>1031</v>
      </c>
      <c r="F785">
        <f>ROUND(SUM(F782:F784),2)</f>
        <v>11464.33</v>
      </c>
    </row>
    <row r="787" spans="2:6">
      <c r="B787" t="s">
        <v>852</v>
      </c>
    </row>
    <row r="789" spans="2:6">
      <c r="B789" t="s">
        <v>1777</v>
      </c>
    </row>
    <row r="790" spans="2:6">
      <c r="B790" t="s">
        <v>1840</v>
      </c>
      <c r="C790">
        <v>1.05</v>
      </c>
      <c r="D790" t="s">
        <v>2</v>
      </c>
      <c r="E790">
        <f>+F43</f>
        <v>5050.6549999999997</v>
      </c>
      <c r="F790">
        <f>C790*E790</f>
        <v>5303.1877500000001</v>
      </c>
    </row>
    <row r="791" spans="2:6">
      <c r="B791" t="s">
        <v>1087</v>
      </c>
      <c r="C791">
        <v>0.66</v>
      </c>
      <c r="D791" t="s">
        <v>126</v>
      </c>
      <c r="E791">
        <f>+F62</f>
        <v>2913</v>
      </c>
      <c r="F791">
        <f>C791*E791</f>
        <v>1922.58</v>
      </c>
    </row>
    <row r="792" spans="2:6">
      <c r="E792" t="s">
        <v>1031</v>
      </c>
      <c r="F792">
        <f>ROUND(SUM(F790:F791),2)</f>
        <v>7225.77</v>
      </c>
    </row>
    <row r="794" spans="2:6">
      <c r="B794" t="s">
        <v>1778</v>
      </c>
    </row>
    <row r="795" spans="2:6">
      <c r="B795" t="s">
        <v>1840</v>
      </c>
      <c r="C795">
        <v>1.05</v>
      </c>
      <c r="D795" t="s">
        <v>2</v>
      </c>
      <c r="E795">
        <f>+E790</f>
        <v>5050.6549999999997</v>
      </c>
      <c r="F795">
        <f>C795*E795</f>
        <v>5303.1877500000001</v>
      </c>
    </row>
    <row r="796" spans="2:6">
      <c r="B796" t="s">
        <v>1087</v>
      </c>
      <c r="C796">
        <v>1.1499999999999999</v>
      </c>
      <c r="D796" t="s">
        <v>126</v>
      </c>
      <c r="E796">
        <f>+F62</f>
        <v>2913</v>
      </c>
      <c r="F796">
        <f>C796*E796</f>
        <v>3349.95</v>
      </c>
    </row>
    <row r="797" spans="2:6">
      <c r="E797" t="s">
        <v>1031</v>
      </c>
      <c r="F797">
        <f>ROUND(SUM(F795:F796),2)</f>
        <v>8653.14</v>
      </c>
    </row>
    <row r="799" spans="2:6">
      <c r="B799" t="s">
        <v>1779</v>
      </c>
    </row>
    <row r="800" spans="2:6">
      <c r="B800" t="s">
        <v>1225</v>
      </c>
      <c r="C800">
        <v>1.05</v>
      </c>
      <c r="D800" t="s">
        <v>2</v>
      </c>
      <c r="E800">
        <f>+E795</f>
        <v>5050.6549999999997</v>
      </c>
      <c r="F800">
        <f>C800*E800</f>
        <v>5303.1877500000001</v>
      </c>
    </row>
    <row r="801" spans="2:6">
      <c r="B801" t="s">
        <v>272</v>
      </c>
      <c r="C801">
        <v>2.78</v>
      </c>
      <c r="D801" t="s">
        <v>126</v>
      </c>
      <c r="E801">
        <f>+F62</f>
        <v>2913</v>
      </c>
      <c r="F801">
        <f>C801*E801</f>
        <v>8098.14</v>
      </c>
    </row>
    <row r="802" spans="2:6">
      <c r="B802" t="s">
        <v>1089</v>
      </c>
      <c r="C802">
        <f>1/(0.3*0.3)</f>
        <v>11.1111111111111</v>
      </c>
      <c r="D802" t="s">
        <v>11</v>
      </c>
      <c r="E802">
        <v>400</v>
      </c>
      <c r="F802">
        <f>C802*E802</f>
        <v>4444.4444444444398</v>
      </c>
    </row>
    <row r="803" spans="2:6">
      <c r="E803" t="s">
        <v>1031</v>
      </c>
      <c r="F803">
        <f>ROUND(SUM(F800:F802),2)</f>
        <v>17845.77</v>
      </c>
    </row>
    <row r="805" spans="2:6">
      <c r="B805" t="s">
        <v>1781</v>
      </c>
    </row>
    <row r="806" spans="2:6">
      <c r="B806" t="s">
        <v>1225</v>
      </c>
      <c r="C806">
        <v>1.05</v>
      </c>
      <c r="D806" t="s">
        <v>2</v>
      </c>
      <c r="E806">
        <f>+F47</f>
        <v>7063.5</v>
      </c>
      <c r="F806">
        <f>C806*E806</f>
        <v>7416.6750000000002</v>
      </c>
    </row>
    <row r="807" spans="2:6">
      <c r="B807" t="s">
        <v>272</v>
      </c>
      <c r="C807">
        <v>6.1</v>
      </c>
      <c r="D807" t="s">
        <v>126</v>
      </c>
      <c r="E807">
        <f>+F62</f>
        <v>2913</v>
      </c>
      <c r="F807">
        <f>C807*E807</f>
        <v>17769.3</v>
      </c>
    </row>
    <row r="808" spans="2:6">
      <c r="B808" t="s">
        <v>1089</v>
      </c>
      <c r="C808">
        <f>1/0.1</f>
        <v>10</v>
      </c>
      <c r="D808" t="s">
        <v>11</v>
      </c>
      <c r="E808">
        <v>350</v>
      </c>
      <c r="F808">
        <f>C808*E808</f>
        <v>3500</v>
      </c>
    </row>
    <row r="809" spans="2:6">
      <c r="E809" t="s">
        <v>1031</v>
      </c>
      <c r="F809">
        <f>ROUND(SUM(F806:F808),2)</f>
        <v>28685.98</v>
      </c>
    </row>
    <row r="811" spans="2:6">
      <c r="B811" t="s">
        <v>1783</v>
      </c>
    </row>
    <row r="812" spans="2:6">
      <c r="B812" t="s">
        <v>1225</v>
      </c>
      <c r="C812">
        <v>1.05</v>
      </c>
      <c r="D812" t="s">
        <v>2</v>
      </c>
      <c r="E812">
        <f>+F47</f>
        <v>7063.5</v>
      </c>
      <c r="F812">
        <f>C812*E812</f>
        <v>7416.6750000000002</v>
      </c>
    </row>
    <row r="813" spans="2:6">
      <c r="B813" t="s">
        <v>272</v>
      </c>
      <c r="C813">
        <v>1.24</v>
      </c>
      <c r="D813" t="s">
        <v>126</v>
      </c>
      <c r="E813">
        <f>+F62</f>
        <v>2913</v>
      </c>
      <c r="F813">
        <f>C813*E813</f>
        <v>3612.12</v>
      </c>
    </row>
    <row r="814" spans="2:6">
      <c r="B814" t="s">
        <v>1089</v>
      </c>
      <c r="C814">
        <f>1/0.12</f>
        <v>8.3333333333333304</v>
      </c>
      <c r="D814" t="s">
        <v>11</v>
      </c>
      <c r="E814">
        <v>350</v>
      </c>
      <c r="F814">
        <f>C814*E814</f>
        <v>2916.6666666666702</v>
      </c>
    </row>
    <row r="815" spans="2:6">
      <c r="E815" t="s">
        <v>1031</v>
      </c>
      <c r="F815">
        <f>ROUND(SUM(F812:F814),2)</f>
        <v>13945.46</v>
      </c>
    </row>
    <row r="817" spans="2:6">
      <c r="B817" t="s">
        <v>1054</v>
      </c>
    </row>
    <row r="818" spans="2:6">
      <c r="B818" t="s">
        <v>1055</v>
      </c>
      <c r="C818" t="s">
        <v>3</v>
      </c>
      <c r="D818">
        <v>13</v>
      </c>
      <c r="E818">
        <v>60</v>
      </c>
      <c r="F818">
        <f>E818*D818</f>
        <v>780</v>
      </c>
    </row>
    <row r="819" spans="2:6">
      <c r="B819" t="s">
        <v>1056</v>
      </c>
      <c r="C819" t="s">
        <v>3</v>
      </c>
      <c r="D819">
        <v>13</v>
      </c>
      <c r="E819">
        <v>25</v>
      </c>
      <c r="F819">
        <f>E819*D819</f>
        <v>325</v>
      </c>
    </row>
    <row r="820" spans="2:6">
      <c r="B820" t="s">
        <v>1057</v>
      </c>
      <c r="C820" t="s">
        <v>2</v>
      </c>
      <c r="D820">
        <v>8.6E-3</v>
      </c>
      <c r="E820">
        <f>F76</f>
        <v>5653.396342</v>
      </c>
      <c r="F820">
        <f>E820*D820</f>
        <v>48.619208541200003</v>
      </c>
    </row>
    <row r="821" spans="2:6">
      <c r="B821" t="s">
        <v>1058</v>
      </c>
      <c r="C821" t="s">
        <v>3</v>
      </c>
      <c r="D821">
        <v>0.13</v>
      </c>
      <c r="E821">
        <v>60</v>
      </c>
      <c r="F821">
        <f>E821*D821</f>
        <v>7.8</v>
      </c>
    </row>
    <row r="822" spans="2:6">
      <c r="E822" t="s">
        <v>1031</v>
      </c>
      <c r="F822">
        <f>SUM(F818:F821)</f>
        <v>1161.4192085412001</v>
      </c>
    </row>
    <row r="824" spans="2:6">
      <c r="B824" t="s">
        <v>1235</v>
      </c>
    </row>
    <row r="826" spans="2:6">
      <c r="B826" t="s">
        <v>1059</v>
      </c>
      <c r="C826" t="s">
        <v>11</v>
      </c>
      <c r="D826">
        <v>1</v>
      </c>
      <c r="E826">
        <v>18</v>
      </c>
      <c r="F826">
        <f>E826*D826</f>
        <v>18</v>
      </c>
    </row>
    <row r="827" spans="2:6">
      <c r="B827" t="s">
        <v>1060</v>
      </c>
      <c r="C827" t="s">
        <v>2</v>
      </c>
      <c r="D827">
        <v>0.105</v>
      </c>
      <c r="E827">
        <f>+F43</f>
        <v>5050.6549999999997</v>
      </c>
      <c r="F827">
        <f>E827*D827</f>
        <v>530.31877499999996</v>
      </c>
    </row>
    <row r="828" spans="2:6">
      <c r="B828" t="s">
        <v>154</v>
      </c>
      <c r="C828" t="s">
        <v>155</v>
      </c>
      <c r="D828">
        <v>2.1999999999999999E-2</v>
      </c>
      <c r="E828">
        <v>45</v>
      </c>
      <c r="F828">
        <f>E828*D828</f>
        <v>0.99</v>
      </c>
    </row>
    <row r="829" spans="2:6">
      <c r="B829" t="s">
        <v>1061</v>
      </c>
      <c r="C829" t="s">
        <v>11</v>
      </c>
      <c r="D829">
        <v>1</v>
      </c>
      <c r="E829">
        <v>70</v>
      </c>
      <c r="F829">
        <f>E829*D829</f>
        <v>70</v>
      </c>
    </row>
    <row r="830" spans="2:6">
      <c r="B830" t="s">
        <v>1062</v>
      </c>
      <c r="C830" t="s">
        <v>13</v>
      </c>
      <c r="D830">
        <f>1/0.8</f>
        <v>1.25</v>
      </c>
      <c r="E830">
        <f>+F267</f>
        <v>82.214604270600006</v>
      </c>
      <c r="F830">
        <f>E830*D830</f>
        <v>102.76825533825</v>
      </c>
    </row>
    <row r="831" spans="2:6">
      <c r="E831" t="s">
        <v>1031</v>
      </c>
      <c r="F831">
        <f>SUM(F826:F830)</f>
        <v>722.07703033824998</v>
      </c>
    </row>
    <row r="832" spans="2:6">
      <c r="F832">
        <f>ROUND(F831-F830+E830*1/0.6,2)</f>
        <v>756.33</v>
      </c>
    </row>
    <row r="833" spans="2:6">
      <c r="B833" t="s">
        <v>1668</v>
      </c>
    </row>
    <row r="835" spans="2:6">
      <c r="B835" t="s">
        <v>1680</v>
      </c>
    </row>
    <row r="837" spans="2:6">
      <c r="B837" t="s">
        <v>1681</v>
      </c>
    </row>
    <row r="838" spans="2:6">
      <c r="B838" t="s">
        <v>1682</v>
      </c>
      <c r="C838">
        <v>1.05</v>
      </c>
      <c r="D838" t="s">
        <v>2</v>
      </c>
      <c r="E838">
        <f>+$F$47</f>
        <v>7063.5</v>
      </c>
      <c r="F838">
        <f>ROUND(C838*E838,2)</f>
        <v>7416.68</v>
      </c>
    </row>
    <row r="839" spans="2:6">
      <c r="B839" t="s">
        <v>1683</v>
      </c>
      <c r="C839">
        <v>0.5</v>
      </c>
      <c r="D839" t="s">
        <v>126</v>
      </c>
      <c r="E839">
        <f>+$F$62</f>
        <v>2913</v>
      </c>
      <c r="F839">
        <f>ROUND(C839*E839,2)</f>
        <v>1456.5</v>
      </c>
    </row>
    <row r="840" spans="2:6">
      <c r="D840" t="s">
        <v>243</v>
      </c>
      <c r="F840">
        <f>SUM(F838:F839)</f>
        <v>8873.18</v>
      </c>
    </row>
    <row r="842" spans="2:6">
      <c r="B842" t="s">
        <v>1684</v>
      </c>
    </row>
    <row r="843" spans="2:6">
      <c r="B843" t="s">
        <v>1685</v>
      </c>
      <c r="C843">
        <v>1.05</v>
      </c>
      <c r="D843" t="s">
        <v>160</v>
      </c>
      <c r="E843">
        <f>+$F$303</f>
        <v>7531.68</v>
      </c>
      <c r="F843">
        <f>C843*E843</f>
        <v>7908.2640000000001</v>
      </c>
    </row>
    <row r="844" spans="2:6">
      <c r="B844" t="s">
        <v>1683</v>
      </c>
      <c r="C844">
        <v>4.47</v>
      </c>
      <c r="D844" t="s">
        <v>242</v>
      </c>
      <c r="E844">
        <f>+$F$62</f>
        <v>2913</v>
      </c>
      <c r="F844">
        <f>C844*E844</f>
        <v>13021.11</v>
      </c>
    </row>
    <row r="845" spans="2:6">
      <c r="B845" t="s">
        <v>245</v>
      </c>
      <c r="C845">
        <f>1/(0.15*0.2)</f>
        <v>33.3333333333333</v>
      </c>
      <c r="D845" t="s">
        <v>163</v>
      </c>
      <c r="E845">
        <v>150</v>
      </c>
      <c r="F845">
        <f>C845*E845</f>
        <v>5000</v>
      </c>
    </row>
    <row r="846" spans="2:6">
      <c r="D846" t="s">
        <v>243</v>
      </c>
      <c r="F846">
        <f>SUM(F843:F845)</f>
        <v>25929.374</v>
      </c>
    </row>
    <row r="848" spans="2:6">
      <c r="B848" t="s">
        <v>2627</v>
      </c>
    </row>
    <row r="849" spans="2:6">
      <c r="B849" t="s">
        <v>1685</v>
      </c>
      <c r="C849">
        <v>1.05</v>
      </c>
      <c r="D849" t="s">
        <v>160</v>
      </c>
      <c r="E849">
        <f>+$F$303</f>
        <v>7531.68</v>
      </c>
      <c r="F849">
        <f>C849*E849</f>
        <v>7908.2640000000001</v>
      </c>
    </row>
    <row r="850" spans="2:6">
      <c r="B850" t="s">
        <v>1683</v>
      </c>
      <c r="C850">
        <v>5.2</v>
      </c>
      <c r="D850" t="s">
        <v>242</v>
      </c>
      <c r="E850">
        <f>+$F$62</f>
        <v>2913</v>
      </c>
      <c r="F850">
        <f>C850*E850</f>
        <v>15147.6</v>
      </c>
    </row>
    <row r="851" spans="2:6">
      <c r="B851" t="s">
        <v>245</v>
      </c>
      <c r="C851">
        <v>33.33</v>
      </c>
      <c r="D851" t="s">
        <v>163</v>
      </c>
      <c r="E851">
        <v>150</v>
      </c>
      <c r="F851">
        <f>C851*E851</f>
        <v>4999.5</v>
      </c>
    </row>
    <row r="852" spans="2:6">
      <c r="D852" t="s">
        <v>243</v>
      </c>
      <c r="F852">
        <f>SUM(F849:F851)</f>
        <v>28055.364000000001</v>
      </c>
    </row>
    <row r="854" spans="2:6">
      <c r="B854" t="s">
        <v>1672</v>
      </c>
    </row>
    <row r="855" spans="2:6">
      <c r="B855" t="s">
        <v>1685</v>
      </c>
      <c r="C855">
        <v>1.05</v>
      </c>
      <c r="D855" t="s">
        <v>160</v>
      </c>
      <c r="E855">
        <f>+$F$303</f>
        <v>7531.68</v>
      </c>
      <c r="F855">
        <f>C855*E855</f>
        <v>7908.2640000000001</v>
      </c>
    </row>
    <row r="856" spans="2:6">
      <c r="B856" t="s">
        <v>1683</v>
      </c>
      <c r="C856">
        <v>1.71</v>
      </c>
      <c r="D856" t="s">
        <v>242</v>
      </c>
      <c r="E856">
        <f>+$F$62</f>
        <v>2913</v>
      </c>
      <c r="F856">
        <f>C856*E856</f>
        <v>4981.2299999999996</v>
      </c>
    </row>
    <row r="857" spans="2:6">
      <c r="B857" t="s">
        <v>245</v>
      </c>
      <c r="C857">
        <f>1/0.1</f>
        <v>10</v>
      </c>
      <c r="D857" t="s">
        <v>163</v>
      </c>
      <c r="E857">
        <v>150</v>
      </c>
      <c r="F857">
        <f>C857*E857</f>
        <v>1500</v>
      </c>
    </row>
    <row r="858" spans="2:6">
      <c r="D858" t="s">
        <v>243</v>
      </c>
      <c r="F858">
        <f>SUM(F855:F857)</f>
        <v>14389.494000000001</v>
      </c>
    </row>
    <row r="860" spans="2:6">
      <c r="B860" t="s">
        <v>1687</v>
      </c>
    </row>
    <row r="861" spans="2:6">
      <c r="B861" t="s">
        <v>1685</v>
      </c>
      <c r="C861">
        <v>1.05</v>
      </c>
      <c r="D861" t="s">
        <v>160</v>
      </c>
      <c r="E861">
        <f>+$F$303</f>
        <v>7531.68</v>
      </c>
      <c r="F861">
        <f>C861*E861</f>
        <v>7908.2640000000001</v>
      </c>
    </row>
    <row r="862" spans="2:6">
      <c r="B862" t="s">
        <v>1683</v>
      </c>
      <c r="C862">
        <v>2.67</v>
      </c>
      <c r="D862" t="s">
        <v>242</v>
      </c>
      <c r="E862">
        <f>+$F$62</f>
        <v>2913</v>
      </c>
      <c r="F862">
        <f>C862*E862</f>
        <v>7777.71</v>
      </c>
    </row>
    <row r="863" spans="2:6">
      <c r="B863" t="s">
        <v>245</v>
      </c>
      <c r="C863">
        <v>2.33</v>
      </c>
      <c r="D863" t="s">
        <v>163</v>
      </c>
      <c r="E863">
        <v>150</v>
      </c>
      <c r="F863">
        <f>C863*E863</f>
        <v>349.5</v>
      </c>
    </row>
    <row r="864" spans="2:6">
      <c r="D864" t="s">
        <v>243</v>
      </c>
      <c r="F864">
        <f>SUM(F861:F863)</f>
        <v>16035.474</v>
      </c>
    </row>
    <row r="866" spans="2:9">
      <c r="B866" t="s">
        <v>1688</v>
      </c>
    </row>
    <row r="867" spans="2:9">
      <c r="B867" t="s">
        <v>1689</v>
      </c>
    </row>
    <row r="868" spans="2:9">
      <c r="B868" t="s">
        <v>1690</v>
      </c>
      <c r="C868">
        <v>1</v>
      </c>
      <c r="D868" t="s">
        <v>1691</v>
      </c>
      <c r="E868">
        <f>1.3*1.18*52.41*1.15</f>
        <v>92.456480999999997</v>
      </c>
      <c r="F868">
        <f t="shared" ref="F868:F874" si="7">ROUND(C868*E868,2)</f>
        <v>92.46</v>
      </c>
    </row>
    <row r="869" spans="2:9">
      <c r="B869" t="s">
        <v>1692</v>
      </c>
      <c r="C869">
        <v>1</v>
      </c>
      <c r="D869" t="s">
        <v>1691</v>
      </c>
      <c r="E869">
        <v>45.24</v>
      </c>
      <c r="F869">
        <f t="shared" si="7"/>
        <v>45.24</v>
      </c>
    </row>
    <row r="870" spans="2:9">
      <c r="B870" t="s">
        <v>1693</v>
      </c>
      <c r="C870">
        <v>40</v>
      </c>
      <c r="D870" t="s">
        <v>1694</v>
      </c>
      <c r="E870">
        <f>6.36*1.05</f>
        <v>6.6779999999999999</v>
      </c>
      <c r="F870">
        <f t="shared" si="7"/>
        <v>267.12</v>
      </c>
    </row>
    <row r="871" spans="2:9">
      <c r="B871" t="s">
        <v>1695</v>
      </c>
      <c r="C871">
        <v>1</v>
      </c>
      <c r="D871" t="s">
        <v>1691</v>
      </c>
      <c r="E871">
        <v>65</v>
      </c>
      <c r="F871">
        <f t="shared" si="7"/>
        <v>65</v>
      </c>
    </row>
    <row r="872" spans="2:9">
      <c r="B872" t="s">
        <v>1696</v>
      </c>
      <c r="C872">
        <v>0.05</v>
      </c>
      <c r="D872" t="s">
        <v>1691</v>
      </c>
      <c r="E872">
        <v>383.33</v>
      </c>
      <c r="F872">
        <f t="shared" si="7"/>
        <v>19.170000000000002</v>
      </c>
      <c r="I872">
        <f>+E872*3</f>
        <v>1149.99</v>
      </c>
    </row>
    <row r="873" spans="2:9">
      <c r="B873" t="s">
        <v>1697</v>
      </c>
      <c r="C873">
        <v>0.01</v>
      </c>
      <c r="D873" t="s">
        <v>1691</v>
      </c>
      <c r="E873">
        <v>294.70999999999998</v>
      </c>
      <c r="F873">
        <f t="shared" si="7"/>
        <v>2.95</v>
      </c>
    </row>
    <row r="874" spans="2:9">
      <c r="B874" t="s">
        <v>1698</v>
      </c>
      <c r="C874">
        <v>1</v>
      </c>
      <c r="D874" t="s">
        <v>1691</v>
      </c>
      <c r="E874">
        <v>200</v>
      </c>
      <c r="F874">
        <f t="shared" si="7"/>
        <v>200</v>
      </c>
    </row>
    <row r="875" spans="2:9">
      <c r="B875" t="s">
        <v>1699</v>
      </c>
      <c r="E875">
        <v>0.2</v>
      </c>
      <c r="F875">
        <f>ROUND(E875*(SUM(F868:F874)),2)</f>
        <v>138.38999999999999</v>
      </c>
    </row>
    <row r="876" spans="2:9">
      <c r="E876" t="s">
        <v>1039</v>
      </c>
      <c r="F876">
        <f>ROUND((SUM(F868:F875)),2)</f>
        <v>830.33</v>
      </c>
    </row>
    <row r="878" spans="2:9">
      <c r="B878" t="s">
        <v>1700</v>
      </c>
    </row>
    <row r="879" spans="2:9">
      <c r="B879" t="s">
        <v>1690</v>
      </c>
      <c r="C879">
        <v>1</v>
      </c>
      <c r="D879" t="s">
        <v>1691</v>
      </c>
      <c r="E879">
        <f>+E868</f>
        <v>92.456480999999997</v>
      </c>
      <c r="F879">
        <f t="shared" ref="F879:F886" si="8">ROUND(C879*E879,2)</f>
        <v>92.46</v>
      </c>
    </row>
    <row r="880" spans="2:9">
      <c r="B880" t="s">
        <v>1701</v>
      </c>
      <c r="C880">
        <v>1</v>
      </c>
      <c r="D880" t="s">
        <v>1691</v>
      </c>
      <c r="E880">
        <f>+E869</f>
        <v>45.24</v>
      </c>
      <c r="F880">
        <f t="shared" si="8"/>
        <v>45.24</v>
      </c>
    </row>
    <row r="881" spans="2:6">
      <c r="B881" t="s">
        <v>1693</v>
      </c>
      <c r="C881">
        <v>40</v>
      </c>
      <c r="D881" t="s">
        <v>1694</v>
      </c>
      <c r="E881">
        <f>+E870</f>
        <v>6.6779999999999999</v>
      </c>
      <c r="F881">
        <f t="shared" si="8"/>
        <v>267.12</v>
      </c>
    </row>
    <row r="882" spans="2:6">
      <c r="B882" t="s">
        <v>1702</v>
      </c>
      <c r="C882">
        <v>1</v>
      </c>
      <c r="D882" t="s">
        <v>1691</v>
      </c>
      <c r="E882">
        <v>90</v>
      </c>
      <c r="F882">
        <f t="shared" si="8"/>
        <v>90</v>
      </c>
    </row>
    <row r="883" spans="2:6">
      <c r="B883" t="s">
        <v>1703</v>
      </c>
      <c r="C883">
        <v>1</v>
      </c>
      <c r="D883" t="s">
        <v>1691</v>
      </c>
      <c r="E883">
        <v>4</v>
      </c>
      <c r="F883">
        <f t="shared" si="8"/>
        <v>4</v>
      </c>
    </row>
    <row r="884" spans="2:6">
      <c r="B884" t="s">
        <v>1696</v>
      </c>
      <c r="C884">
        <v>0.05</v>
      </c>
      <c r="D884" t="s">
        <v>1691</v>
      </c>
      <c r="E884">
        <f>+E872</f>
        <v>383.33</v>
      </c>
      <c r="F884">
        <f t="shared" si="8"/>
        <v>19.170000000000002</v>
      </c>
    </row>
    <row r="885" spans="2:6">
      <c r="B885" t="s">
        <v>1697</v>
      </c>
      <c r="C885">
        <v>0.01</v>
      </c>
      <c r="D885" t="s">
        <v>1691</v>
      </c>
      <c r="E885">
        <f>+E873</f>
        <v>294.70999999999998</v>
      </c>
      <c r="F885">
        <f t="shared" si="8"/>
        <v>2.95</v>
      </c>
    </row>
    <row r="886" spans="2:6">
      <c r="B886" t="s">
        <v>1698</v>
      </c>
      <c r="C886">
        <v>1</v>
      </c>
      <c r="D886" t="s">
        <v>1691</v>
      </c>
      <c r="E886">
        <f>+E874</f>
        <v>200</v>
      </c>
      <c r="F886">
        <f t="shared" si="8"/>
        <v>200</v>
      </c>
    </row>
    <row r="887" spans="2:6">
      <c r="B887" t="s">
        <v>1704</v>
      </c>
      <c r="E887">
        <f>+E875</f>
        <v>0.2</v>
      </c>
      <c r="F887">
        <f>ROUND(E887*(SUM(F879:F886)),2)</f>
        <v>144.19</v>
      </c>
    </row>
    <row r="888" spans="2:6">
      <c r="E888" t="s">
        <v>1039</v>
      </c>
      <c r="F888">
        <f>ROUND(SUM(F879:F887),2)</f>
        <v>865.13</v>
      </c>
    </row>
    <row r="890" spans="2:6">
      <c r="B890" t="s">
        <v>1705</v>
      </c>
    </row>
    <row r="891" spans="2:6">
      <c r="B891" t="s">
        <v>1690</v>
      </c>
      <c r="C891">
        <v>1</v>
      </c>
      <c r="D891" t="s">
        <v>1691</v>
      </c>
      <c r="E891">
        <f>+E868</f>
        <v>92.456480999999997</v>
      </c>
      <c r="F891">
        <f t="shared" ref="F891:F898" si="9">ROUND(C891*E891,2)</f>
        <v>92.46</v>
      </c>
    </row>
    <row r="892" spans="2:6">
      <c r="B892" t="s">
        <v>1706</v>
      </c>
      <c r="C892">
        <v>1</v>
      </c>
      <c r="D892" t="s">
        <v>1691</v>
      </c>
      <c r="E892">
        <f>+E880</f>
        <v>45.24</v>
      </c>
      <c r="F892">
        <f t="shared" si="9"/>
        <v>45.24</v>
      </c>
    </row>
    <row r="893" spans="2:6">
      <c r="B893" t="s">
        <v>1693</v>
      </c>
      <c r="C893">
        <v>60</v>
      </c>
      <c r="D893" t="s">
        <v>1694</v>
      </c>
      <c r="E893">
        <f>+E881</f>
        <v>6.6779999999999999</v>
      </c>
      <c r="F893">
        <f t="shared" si="9"/>
        <v>400.68</v>
      </c>
    </row>
    <row r="894" spans="2:6">
      <c r="B894" t="s">
        <v>1702</v>
      </c>
      <c r="C894">
        <v>1</v>
      </c>
      <c r="D894" t="s">
        <v>1691</v>
      </c>
      <c r="E894">
        <f>+E882</f>
        <v>90</v>
      </c>
      <c r="F894">
        <f t="shared" si="9"/>
        <v>90</v>
      </c>
    </row>
    <row r="895" spans="2:6">
      <c r="B895" t="s">
        <v>1703</v>
      </c>
      <c r="C895">
        <v>1</v>
      </c>
      <c r="D895" t="s">
        <v>1691</v>
      </c>
      <c r="E895">
        <v>4</v>
      </c>
      <c r="F895">
        <f t="shared" si="9"/>
        <v>4</v>
      </c>
    </row>
    <row r="896" spans="2:6">
      <c r="B896" t="s">
        <v>1696</v>
      </c>
      <c r="C896">
        <v>0.05</v>
      </c>
      <c r="D896" t="s">
        <v>1691</v>
      </c>
      <c r="E896">
        <f>+E884</f>
        <v>383.33</v>
      </c>
      <c r="F896">
        <f t="shared" si="9"/>
        <v>19.170000000000002</v>
      </c>
    </row>
    <row r="897" spans="2:6">
      <c r="B897" t="s">
        <v>1697</v>
      </c>
      <c r="C897">
        <v>0.01</v>
      </c>
      <c r="D897" t="s">
        <v>1691</v>
      </c>
      <c r="E897">
        <f>+E885</f>
        <v>294.70999999999998</v>
      </c>
      <c r="F897">
        <f t="shared" si="9"/>
        <v>2.95</v>
      </c>
    </row>
    <row r="898" spans="2:6">
      <c r="B898" t="s">
        <v>1698</v>
      </c>
      <c r="C898">
        <v>1</v>
      </c>
      <c r="D898" t="s">
        <v>1691</v>
      </c>
      <c r="E898">
        <v>200</v>
      </c>
      <c r="F898">
        <f t="shared" si="9"/>
        <v>200</v>
      </c>
    </row>
    <row r="899" spans="2:6">
      <c r="B899" t="s">
        <v>1704</v>
      </c>
      <c r="E899">
        <v>0.2</v>
      </c>
      <c r="F899">
        <f>ROUND(E899*(SUM(F891:F898)),2)</f>
        <v>170.9</v>
      </c>
    </row>
    <row r="900" spans="2:6">
      <c r="E900" t="s">
        <v>1039</v>
      </c>
      <c r="F900">
        <f>ROUND(SUM(F891:F899),2)</f>
        <v>1025.4000000000001</v>
      </c>
    </row>
    <row r="902" spans="2:6">
      <c r="B902" t="s">
        <v>1707</v>
      </c>
    </row>
    <row r="903" spans="2:6">
      <c r="B903" t="s">
        <v>1690</v>
      </c>
      <c r="C903">
        <v>1</v>
      </c>
      <c r="D903" t="s">
        <v>1691</v>
      </c>
      <c r="E903">
        <f>+E891</f>
        <v>92.456480999999997</v>
      </c>
      <c r="F903">
        <f t="shared" ref="F903:F910" si="10">ROUND(C903*E903,2)</f>
        <v>92.46</v>
      </c>
    </row>
    <row r="904" spans="2:6">
      <c r="B904" t="s">
        <v>1706</v>
      </c>
      <c r="C904">
        <v>1</v>
      </c>
      <c r="D904" t="s">
        <v>1691</v>
      </c>
      <c r="E904">
        <f>+E892</f>
        <v>45.24</v>
      </c>
      <c r="F904">
        <f t="shared" si="10"/>
        <v>45.24</v>
      </c>
    </row>
    <row r="905" spans="2:6">
      <c r="B905" t="s">
        <v>1708</v>
      </c>
      <c r="C905">
        <v>60</v>
      </c>
      <c r="D905" t="s">
        <v>1694</v>
      </c>
      <c r="E905">
        <f>+E893</f>
        <v>6.6779999999999999</v>
      </c>
      <c r="F905">
        <f t="shared" si="10"/>
        <v>400.68</v>
      </c>
    </row>
    <row r="906" spans="2:6">
      <c r="B906" t="s">
        <v>1702</v>
      </c>
      <c r="C906">
        <v>1</v>
      </c>
      <c r="D906" t="s">
        <v>1691</v>
      </c>
      <c r="E906">
        <f>+E894</f>
        <v>90</v>
      </c>
      <c r="F906">
        <f t="shared" si="10"/>
        <v>90</v>
      </c>
    </row>
    <row r="907" spans="2:6">
      <c r="B907" t="s">
        <v>1703</v>
      </c>
      <c r="C907">
        <v>2</v>
      </c>
      <c r="D907" t="s">
        <v>1691</v>
      </c>
      <c r="E907">
        <v>4</v>
      </c>
      <c r="F907">
        <f t="shared" si="10"/>
        <v>8</v>
      </c>
    </row>
    <row r="908" spans="2:6">
      <c r="B908" t="s">
        <v>1696</v>
      </c>
      <c r="C908">
        <v>0.05</v>
      </c>
      <c r="D908" t="s">
        <v>1691</v>
      </c>
      <c r="E908">
        <f>+E896</f>
        <v>383.33</v>
      </c>
      <c r="F908">
        <f t="shared" si="10"/>
        <v>19.170000000000002</v>
      </c>
    </row>
    <row r="909" spans="2:6">
      <c r="B909" t="s">
        <v>1697</v>
      </c>
      <c r="C909">
        <v>0.01</v>
      </c>
      <c r="D909" t="s">
        <v>1691</v>
      </c>
      <c r="E909">
        <f>+E897</f>
        <v>294.70999999999998</v>
      </c>
      <c r="F909">
        <f t="shared" si="10"/>
        <v>2.95</v>
      </c>
    </row>
    <row r="910" spans="2:6">
      <c r="B910" t="s">
        <v>1698</v>
      </c>
      <c r="C910">
        <v>1</v>
      </c>
      <c r="D910" t="s">
        <v>1691</v>
      </c>
      <c r="E910">
        <v>200</v>
      </c>
      <c r="F910">
        <f t="shared" si="10"/>
        <v>200</v>
      </c>
    </row>
    <row r="911" spans="2:6">
      <c r="B911" t="s">
        <v>1704</v>
      </c>
      <c r="E911">
        <v>0.2</v>
      </c>
      <c r="F911">
        <f>ROUND(E911*(SUM(F903:F910)),2)</f>
        <v>171.7</v>
      </c>
    </row>
    <row r="912" spans="2:6">
      <c r="E912" t="s">
        <v>1039</v>
      </c>
      <c r="F912">
        <f>ROUND(SUM(F903:F911),2)</f>
        <v>1030.2</v>
      </c>
    </row>
    <row r="914" spans="2:6">
      <c r="B914" t="s">
        <v>1709</v>
      </c>
    </row>
    <row r="915" spans="2:6">
      <c r="B915" t="s">
        <v>1710</v>
      </c>
      <c r="C915">
        <v>2</v>
      </c>
      <c r="D915" t="s">
        <v>1691</v>
      </c>
      <c r="E915">
        <f>2.42*52.41*1.18*1.15*10/19</f>
        <v>90.584892315789503</v>
      </c>
      <c r="F915">
        <f t="shared" ref="F915:F923" si="11">ROUND(C915*E915,2)</f>
        <v>181.17</v>
      </c>
    </row>
    <row r="916" spans="2:6">
      <c r="B916" t="s">
        <v>1711</v>
      </c>
      <c r="C916">
        <v>1</v>
      </c>
      <c r="D916" t="s">
        <v>1691</v>
      </c>
      <c r="E916">
        <v>47.61</v>
      </c>
      <c r="F916">
        <f t="shared" si="11"/>
        <v>47.61</v>
      </c>
    </row>
    <row r="917" spans="2:6">
      <c r="B917" t="s">
        <v>1712</v>
      </c>
      <c r="C917">
        <v>80</v>
      </c>
      <c r="D917" t="s">
        <v>1694</v>
      </c>
      <c r="E917">
        <f>20.3*1.05</f>
        <v>21.315000000000001</v>
      </c>
      <c r="F917">
        <f t="shared" si="11"/>
        <v>1705.2</v>
      </c>
    </row>
    <row r="918" spans="2:6">
      <c r="B918" t="s">
        <v>1708</v>
      </c>
      <c r="C918">
        <v>40</v>
      </c>
      <c r="D918" t="s">
        <v>1694</v>
      </c>
      <c r="E918">
        <f>+E905</f>
        <v>6.6779999999999999</v>
      </c>
      <c r="F918">
        <f t="shared" si="11"/>
        <v>267.12</v>
      </c>
    </row>
    <row r="919" spans="2:6">
      <c r="B919" t="s">
        <v>1702</v>
      </c>
      <c r="C919">
        <v>1</v>
      </c>
      <c r="D919" t="s">
        <v>1691</v>
      </c>
      <c r="E919">
        <f>+E906</f>
        <v>90</v>
      </c>
      <c r="F919">
        <f t="shared" si="11"/>
        <v>90</v>
      </c>
    </row>
    <row r="920" spans="2:6">
      <c r="B920" t="s">
        <v>1713</v>
      </c>
      <c r="C920">
        <v>2</v>
      </c>
      <c r="D920" t="s">
        <v>1691</v>
      </c>
      <c r="E920">
        <v>5</v>
      </c>
      <c r="F920">
        <f t="shared" si="11"/>
        <v>10</v>
      </c>
    </row>
    <row r="921" spans="2:6">
      <c r="B921" t="s">
        <v>1696</v>
      </c>
      <c r="C921">
        <v>0.05</v>
      </c>
      <c r="D921" t="s">
        <v>1691</v>
      </c>
      <c r="E921">
        <f>+E908</f>
        <v>383.33</v>
      </c>
      <c r="F921">
        <f t="shared" si="11"/>
        <v>19.170000000000002</v>
      </c>
    </row>
    <row r="922" spans="2:6">
      <c r="B922" t="s">
        <v>1697</v>
      </c>
      <c r="C922">
        <v>0.01</v>
      </c>
      <c r="D922" t="s">
        <v>1691</v>
      </c>
      <c r="E922">
        <f>+E909</f>
        <v>294.70999999999998</v>
      </c>
      <c r="F922">
        <f t="shared" si="11"/>
        <v>2.95</v>
      </c>
    </row>
    <row r="923" spans="2:6">
      <c r="B923" t="s">
        <v>1698</v>
      </c>
      <c r="C923">
        <v>1</v>
      </c>
      <c r="D923" t="s">
        <v>1691</v>
      </c>
      <c r="E923">
        <f>+E910</f>
        <v>200</v>
      </c>
      <c r="F923">
        <f t="shared" si="11"/>
        <v>200</v>
      </c>
    </row>
    <row r="924" spans="2:6">
      <c r="B924" t="s">
        <v>1704</v>
      </c>
      <c r="E924">
        <v>0.2</v>
      </c>
      <c r="F924">
        <f>ROUND(E924*(SUM(F915:F923)),2)</f>
        <v>504.64</v>
      </c>
    </row>
    <row r="925" spans="2:6">
      <c r="E925" t="s">
        <v>1039</v>
      </c>
      <c r="F925">
        <f>ROUND(SUM(F915:F924),2)</f>
        <v>3027.86</v>
      </c>
    </row>
    <row r="927" spans="2:6">
      <c r="B927" t="s">
        <v>1714</v>
      </c>
    </row>
    <row r="928" spans="2:6">
      <c r="B928" t="s">
        <v>1715</v>
      </c>
      <c r="C928">
        <v>6</v>
      </c>
      <c r="D928" t="s">
        <v>1691</v>
      </c>
      <c r="E928">
        <v>75</v>
      </c>
      <c r="F928">
        <f>ROUND(C928*E928,2)</f>
        <v>450</v>
      </c>
    </row>
    <row r="929" spans="2:6">
      <c r="B929" t="s">
        <v>1716</v>
      </c>
      <c r="C929">
        <v>1</v>
      </c>
      <c r="D929" t="s">
        <v>1691</v>
      </c>
      <c r="E929">
        <v>500</v>
      </c>
      <c r="F929">
        <f>ROUND(C929*E929,2)</f>
        <v>500</v>
      </c>
    </row>
    <row r="930" spans="2:6">
      <c r="B930" t="s">
        <v>1717</v>
      </c>
      <c r="C930">
        <v>1</v>
      </c>
      <c r="D930" t="s">
        <v>1691</v>
      </c>
      <c r="E930">
        <v>350</v>
      </c>
      <c r="F930">
        <f>ROUND(C930*E930,2)</f>
        <v>350</v>
      </c>
    </row>
    <row r="931" spans="2:6">
      <c r="B931" t="s">
        <v>1718</v>
      </c>
      <c r="C931">
        <f>C928</f>
        <v>6</v>
      </c>
      <c r="D931" t="s">
        <v>1691</v>
      </c>
      <c r="E931">
        <v>120</v>
      </c>
      <c r="F931">
        <f>ROUND(C931*E931,2)</f>
        <v>720</v>
      </c>
    </row>
    <row r="932" spans="2:6">
      <c r="B932" t="s">
        <v>1704</v>
      </c>
      <c r="E932">
        <v>0.2</v>
      </c>
      <c r="F932">
        <f>ROUND(E932*(SUM(F928:F931)),2)</f>
        <v>404</v>
      </c>
    </row>
    <row r="933" spans="2:6">
      <c r="E933" t="s">
        <v>1039</v>
      </c>
      <c r="F933">
        <f>ROUND(SUM(F928:F932),2)</f>
        <v>2424</v>
      </c>
    </row>
    <row r="935" spans="2:6">
      <c r="B935" t="s">
        <v>1719</v>
      </c>
    </row>
    <row r="936" spans="2:6">
      <c r="B936" t="s">
        <v>1720</v>
      </c>
    </row>
    <row r="937" spans="2:6">
      <c r="B937" t="s">
        <v>1721</v>
      </c>
      <c r="C937">
        <v>1</v>
      </c>
      <c r="D937" t="s">
        <v>1691</v>
      </c>
      <c r="E937">
        <v>1900</v>
      </c>
      <c r="F937">
        <f t="shared" ref="F937:F947" si="12">ROUND(C937*E937,2)</f>
        <v>1900</v>
      </c>
    </row>
    <row r="938" spans="2:6">
      <c r="B938" t="s">
        <v>3504</v>
      </c>
      <c r="C938">
        <v>1</v>
      </c>
      <c r="D938" t="s">
        <v>1691</v>
      </c>
      <c r="E938">
        <v>41.2</v>
      </c>
      <c r="F938">
        <f t="shared" si="12"/>
        <v>41.2</v>
      </c>
    </row>
    <row r="939" spans="2:6">
      <c r="B939" t="s">
        <v>1722</v>
      </c>
      <c r="C939">
        <v>1</v>
      </c>
      <c r="D939" t="s">
        <v>1723</v>
      </c>
      <c r="E939">
        <v>15</v>
      </c>
      <c r="F939">
        <f t="shared" si="12"/>
        <v>15</v>
      </c>
    </row>
    <row r="940" spans="2:6">
      <c r="B940" t="s">
        <v>1724</v>
      </c>
      <c r="C940">
        <v>1</v>
      </c>
      <c r="D940" t="s">
        <v>1691</v>
      </c>
      <c r="E940">
        <v>15.08</v>
      </c>
      <c r="F940">
        <f t="shared" si="12"/>
        <v>15.08</v>
      </c>
    </row>
    <row r="941" spans="2:6">
      <c r="B941" t="s">
        <v>1725</v>
      </c>
      <c r="C941">
        <v>0.04</v>
      </c>
      <c r="D941" t="s">
        <v>1726</v>
      </c>
      <c r="E941">
        <v>374.68</v>
      </c>
      <c r="F941">
        <f t="shared" si="12"/>
        <v>14.99</v>
      </c>
    </row>
    <row r="942" spans="2:6">
      <c r="B942" t="s">
        <v>1727</v>
      </c>
      <c r="C942">
        <v>1</v>
      </c>
      <c r="D942" t="s">
        <v>1691</v>
      </c>
      <c r="E942">
        <v>92.8</v>
      </c>
      <c r="F942">
        <f t="shared" si="12"/>
        <v>92.8</v>
      </c>
    </row>
    <row r="943" spans="2:6">
      <c r="B943" t="s">
        <v>1728</v>
      </c>
      <c r="C943">
        <v>1</v>
      </c>
      <c r="D943" t="s">
        <v>1691</v>
      </c>
      <c r="E943">
        <v>33.409999999999997</v>
      </c>
      <c r="F943">
        <f t="shared" si="12"/>
        <v>33.409999999999997</v>
      </c>
    </row>
    <row r="944" spans="2:6">
      <c r="B944" t="s">
        <v>1729</v>
      </c>
      <c r="C944">
        <v>1</v>
      </c>
      <c r="D944" t="s">
        <v>1691</v>
      </c>
      <c r="E944">
        <v>4.6399999999999997</v>
      </c>
      <c r="F944">
        <f t="shared" si="12"/>
        <v>4.6399999999999997</v>
      </c>
    </row>
    <row r="945" spans="2:6">
      <c r="B945" t="s">
        <v>1730</v>
      </c>
      <c r="C945">
        <v>1</v>
      </c>
      <c r="D945" t="s">
        <v>1691</v>
      </c>
      <c r="E945">
        <v>32.479999999999997</v>
      </c>
      <c r="F945">
        <f t="shared" si="12"/>
        <v>32.479999999999997</v>
      </c>
    </row>
    <row r="946" spans="2:6">
      <c r="B946" t="s">
        <v>1731</v>
      </c>
      <c r="C946">
        <v>0.1</v>
      </c>
      <c r="D946" t="s">
        <v>1732</v>
      </c>
      <c r="E946">
        <v>15</v>
      </c>
      <c r="F946">
        <f t="shared" si="12"/>
        <v>1.5</v>
      </c>
    </row>
    <row r="947" spans="2:6">
      <c r="B947" t="s">
        <v>1733</v>
      </c>
      <c r="C947">
        <v>1</v>
      </c>
      <c r="D947" t="s">
        <v>1691</v>
      </c>
      <c r="E947">
        <v>350</v>
      </c>
      <c r="F947">
        <f t="shared" si="12"/>
        <v>350</v>
      </c>
    </row>
    <row r="948" spans="2:6">
      <c r="E948" t="s">
        <v>1039</v>
      </c>
      <c r="F948">
        <f>ROUND(SUM(F937:F947),2)</f>
        <v>2501.1</v>
      </c>
    </row>
    <row r="950" spans="2:6">
      <c r="B950" t="s">
        <v>1734</v>
      </c>
    </row>
    <row r="951" spans="2:6">
      <c r="B951" t="s">
        <v>1735</v>
      </c>
      <c r="C951">
        <v>1</v>
      </c>
      <c r="D951" t="s">
        <v>1691</v>
      </c>
      <c r="E951">
        <v>226.2</v>
      </c>
      <c r="F951">
        <f>ROUND(C951*E951,2)</f>
        <v>226.2</v>
      </c>
    </row>
    <row r="952" spans="2:6">
      <c r="B952" t="s">
        <v>3501</v>
      </c>
      <c r="C952">
        <v>1</v>
      </c>
      <c r="D952" t="s">
        <v>1691</v>
      </c>
      <c r="E952">
        <v>88.16</v>
      </c>
      <c r="F952">
        <f>ROUND(C952*E952,2)</f>
        <v>88.16</v>
      </c>
    </row>
    <row r="953" spans="2:6">
      <c r="B953" t="s">
        <v>1725</v>
      </c>
      <c r="C953">
        <v>0.03</v>
      </c>
      <c r="D953" t="s">
        <v>1726</v>
      </c>
      <c r="E953">
        <v>374.68</v>
      </c>
      <c r="F953">
        <f>ROUND(C953*E953,2)</f>
        <v>11.24</v>
      </c>
    </row>
    <row r="954" spans="2:6">
      <c r="B954" t="s">
        <v>1731</v>
      </c>
      <c r="C954">
        <v>0.1</v>
      </c>
      <c r="D954" t="s">
        <v>1732</v>
      </c>
      <c r="E954">
        <v>15</v>
      </c>
      <c r="F954">
        <f>ROUND(C954*E954,2)</f>
        <v>1.5</v>
      </c>
    </row>
    <row r="955" spans="2:6">
      <c r="B955" t="s">
        <v>1736</v>
      </c>
      <c r="C955">
        <v>1</v>
      </c>
      <c r="D955" t="s">
        <v>1691</v>
      </c>
      <c r="E955">
        <v>200</v>
      </c>
      <c r="F955">
        <f>ROUND(C955*E955,2)</f>
        <v>200</v>
      </c>
    </row>
    <row r="956" spans="2:6">
      <c r="E956" t="s">
        <v>1039</v>
      </c>
      <c r="F956">
        <f>ROUND(SUM(F951:F955),2)</f>
        <v>527.1</v>
      </c>
    </row>
    <row r="958" spans="2:6">
      <c r="B958" t="s">
        <v>1737</v>
      </c>
    </row>
    <row r="959" spans="2:6">
      <c r="B959" t="s">
        <v>1738</v>
      </c>
      <c r="C959">
        <v>1</v>
      </c>
      <c r="D959" t="s">
        <v>1691</v>
      </c>
      <c r="E959">
        <v>750</v>
      </c>
      <c r="F959">
        <f t="shared" ref="F959:F969" si="13">ROUND(C959*E959,2)</f>
        <v>750</v>
      </c>
    </row>
    <row r="960" spans="2:6">
      <c r="B960" t="s">
        <v>1739</v>
      </c>
      <c r="C960">
        <v>1</v>
      </c>
      <c r="D960" t="s">
        <v>1691</v>
      </c>
      <c r="E960">
        <v>200</v>
      </c>
      <c r="F960">
        <f t="shared" si="13"/>
        <v>200</v>
      </c>
    </row>
    <row r="961" spans="2:6">
      <c r="B961" t="s">
        <v>1740</v>
      </c>
      <c r="C961">
        <v>1</v>
      </c>
      <c r="D961" t="s">
        <v>1691</v>
      </c>
      <c r="E961">
        <v>76.56</v>
      </c>
      <c r="F961">
        <f t="shared" si="13"/>
        <v>76.56</v>
      </c>
    </row>
    <row r="962" spans="2:6">
      <c r="B962" t="s">
        <v>1741</v>
      </c>
      <c r="C962">
        <v>1</v>
      </c>
      <c r="D962" t="s">
        <v>1691</v>
      </c>
      <c r="E962">
        <v>37.24</v>
      </c>
      <c r="F962">
        <f t="shared" si="13"/>
        <v>37.24</v>
      </c>
    </row>
    <row r="963" spans="2:6">
      <c r="B963" t="s">
        <v>1725</v>
      </c>
      <c r="C963">
        <v>0.03</v>
      </c>
      <c r="D963" t="s">
        <v>1726</v>
      </c>
      <c r="E963">
        <v>374.68</v>
      </c>
      <c r="F963">
        <f t="shared" si="13"/>
        <v>11.24</v>
      </c>
    </row>
    <row r="964" spans="2:6">
      <c r="B964" t="s">
        <v>1727</v>
      </c>
      <c r="C964">
        <v>2</v>
      </c>
      <c r="D964" t="s">
        <v>1691</v>
      </c>
      <c r="E964">
        <v>92.8</v>
      </c>
      <c r="F964">
        <f t="shared" si="13"/>
        <v>185.6</v>
      </c>
    </row>
    <row r="965" spans="2:6">
      <c r="B965" t="s">
        <v>1728</v>
      </c>
      <c r="C965">
        <v>2</v>
      </c>
      <c r="D965" t="s">
        <v>1691</v>
      </c>
      <c r="E965">
        <v>33.409999999999997</v>
      </c>
      <c r="F965">
        <f t="shared" si="13"/>
        <v>66.819999999999993</v>
      </c>
    </row>
    <row r="966" spans="2:6">
      <c r="B966" t="s">
        <v>1729</v>
      </c>
      <c r="C966">
        <v>2</v>
      </c>
      <c r="D966" t="s">
        <v>1691</v>
      </c>
      <c r="E966">
        <v>4.6399999999999997</v>
      </c>
      <c r="F966">
        <f t="shared" si="13"/>
        <v>9.2799999999999994</v>
      </c>
    </row>
    <row r="967" spans="2:6">
      <c r="B967" t="s">
        <v>1730</v>
      </c>
      <c r="C967">
        <v>2</v>
      </c>
      <c r="D967" t="s">
        <v>1691</v>
      </c>
      <c r="E967">
        <v>34.799999999999997</v>
      </c>
      <c r="F967">
        <f t="shared" si="13"/>
        <v>69.599999999999994</v>
      </c>
    </row>
    <row r="968" spans="2:6">
      <c r="B968" t="s">
        <v>1731</v>
      </c>
      <c r="C968">
        <v>0.1</v>
      </c>
      <c r="D968" t="s">
        <v>1732</v>
      </c>
      <c r="E968">
        <v>15</v>
      </c>
      <c r="F968">
        <f t="shared" si="13"/>
        <v>1.5</v>
      </c>
    </row>
    <row r="969" spans="2:6">
      <c r="B969" t="s">
        <v>1742</v>
      </c>
      <c r="C969">
        <v>1</v>
      </c>
      <c r="D969" t="s">
        <v>1691</v>
      </c>
      <c r="E969">
        <v>300</v>
      </c>
      <c r="F969">
        <f t="shared" si="13"/>
        <v>300</v>
      </c>
    </row>
    <row r="970" spans="2:6">
      <c r="E970" t="s">
        <v>1039</v>
      </c>
      <c r="F970">
        <f>ROUND(SUM(F959:F969),2)</f>
        <v>1707.84</v>
      </c>
    </row>
    <row r="972" spans="2:6">
      <c r="B972" t="s">
        <v>1743</v>
      </c>
    </row>
    <row r="973" spans="2:6">
      <c r="B973" t="s">
        <v>3502</v>
      </c>
      <c r="C973">
        <v>1</v>
      </c>
      <c r="D973" t="s">
        <v>1691</v>
      </c>
      <c r="E973">
        <v>95.7</v>
      </c>
      <c r="F973">
        <f>ROUND(C973*E973,2)</f>
        <v>95.7</v>
      </c>
    </row>
    <row r="974" spans="2:6">
      <c r="B974" t="s">
        <v>1744</v>
      </c>
      <c r="C974">
        <v>1</v>
      </c>
      <c r="D974" t="s">
        <v>1691</v>
      </c>
      <c r="E974">
        <v>33.06</v>
      </c>
      <c r="F974">
        <f>ROUND(C974*E974,2)</f>
        <v>33.06</v>
      </c>
    </row>
    <row r="975" spans="2:6">
      <c r="B975" t="s">
        <v>3505</v>
      </c>
      <c r="C975">
        <v>0.05</v>
      </c>
      <c r="D975" t="s">
        <v>1745</v>
      </c>
      <c r="E975">
        <v>374.68</v>
      </c>
      <c r="F975">
        <f>ROUND(C975*E975,2)</f>
        <v>18.73</v>
      </c>
    </row>
    <row r="976" spans="2:6">
      <c r="B976" t="s">
        <v>1746</v>
      </c>
      <c r="C976">
        <v>1</v>
      </c>
      <c r="D976" t="s">
        <v>1691</v>
      </c>
      <c r="E976">
        <v>75</v>
      </c>
      <c r="F976">
        <f>ROUND(C976*E976,2)</f>
        <v>75</v>
      </c>
    </row>
    <row r="977" spans="2:6">
      <c r="E977" t="s">
        <v>1039</v>
      </c>
      <c r="F977">
        <f>ROUND(SUM(F973:F976),2)</f>
        <v>222.49</v>
      </c>
    </row>
    <row r="979" spans="2:6">
      <c r="B979" t="s">
        <v>1747</v>
      </c>
    </row>
    <row r="980" spans="2:6">
      <c r="B980" t="s">
        <v>1748</v>
      </c>
      <c r="C980">
        <v>1</v>
      </c>
      <c r="D980" t="s">
        <v>1691</v>
      </c>
      <c r="E980">
        <v>2580.0100000000002</v>
      </c>
      <c r="F980">
        <f t="shared" ref="F980:F992" si="14">ROUND(C980*E980,2)</f>
        <v>2580.0100000000002</v>
      </c>
    </row>
    <row r="981" spans="2:6">
      <c r="B981" t="s">
        <v>1749</v>
      </c>
      <c r="C981">
        <v>1</v>
      </c>
      <c r="D981" t="s">
        <v>1691</v>
      </c>
      <c r="E981">
        <v>600</v>
      </c>
      <c r="F981">
        <f t="shared" si="14"/>
        <v>600</v>
      </c>
    </row>
    <row r="982" spans="2:6">
      <c r="B982" t="s">
        <v>1750</v>
      </c>
      <c r="C982">
        <v>2</v>
      </c>
      <c r="D982" t="s">
        <v>1691</v>
      </c>
      <c r="E982">
        <v>92.29</v>
      </c>
      <c r="F982">
        <f t="shared" si="14"/>
        <v>184.58</v>
      </c>
    </row>
    <row r="983" spans="2:6">
      <c r="B983" t="s">
        <v>3503</v>
      </c>
      <c r="C983">
        <v>1</v>
      </c>
      <c r="D983" t="s">
        <v>1691</v>
      </c>
      <c r="E983">
        <v>76.56</v>
      </c>
      <c r="F983">
        <f t="shared" si="14"/>
        <v>76.56</v>
      </c>
    </row>
    <row r="984" spans="2:6">
      <c r="B984" t="s">
        <v>3506</v>
      </c>
      <c r="C984">
        <v>1</v>
      </c>
      <c r="D984" t="s">
        <v>1691</v>
      </c>
      <c r="E984">
        <v>370.04</v>
      </c>
      <c r="F984">
        <f t="shared" si="14"/>
        <v>370.04</v>
      </c>
    </row>
    <row r="985" spans="2:6">
      <c r="B985" t="s">
        <v>1751</v>
      </c>
      <c r="C985">
        <v>1</v>
      </c>
      <c r="D985" t="s">
        <v>1691</v>
      </c>
      <c r="E985">
        <v>300</v>
      </c>
      <c r="F985">
        <f t="shared" si="14"/>
        <v>300</v>
      </c>
    </row>
    <row r="986" spans="2:6">
      <c r="B986" t="s">
        <v>1725</v>
      </c>
      <c r="C986">
        <v>0.03</v>
      </c>
      <c r="D986" t="s">
        <v>1726</v>
      </c>
      <c r="E986">
        <v>374.68</v>
      </c>
      <c r="F986">
        <f t="shared" si="14"/>
        <v>11.24</v>
      </c>
    </row>
    <row r="987" spans="2:6">
      <c r="B987" t="s">
        <v>1727</v>
      </c>
      <c r="C987">
        <v>2</v>
      </c>
      <c r="D987" t="s">
        <v>1691</v>
      </c>
      <c r="E987">
        <v>92.8</v>
      </c>
      <c r="F987">
        <f t="shared" si="14"/>
        <v>185.6</v>
      </c>
    </row>
    <row r="988" spans="2:6">
      <c r="B988" t="s">
        <v>1728</v>
      </c>
      <c r="C988">
        <v>2</v>
      </c>
      <c r="D988" t="s">
        <v>1691</v>
      </c>
      <c r="E988">
        <v>33.409999999999997</v>
      </c>
      <c r="F988">
        <f t="shared" si="14"/>
        <v>66.819999999999993</v>
      </c>
    </row>
    <row r="989" spans="2:6">
      <c r="B989" t="s">
        <v>1729</v>
      </c>
      <c r="C989">
        <v>2</v>
      </c>
      <c r="D989" t="s">
        <v>1691</v>
      </c>
      <c r="E989">
        <v>4.6399999999999997</v>
      </c>
      <c r="F989">
        <f t="shared" si="14"/>
        <v>9.2799999999999994</v>
      </c>
    </row>
    <row r="990" spans="2:6">
      <c r="B990" t="s">
        <v>1730</v>
      </c>
      <c r="C990">
        <v>2</v>
      </c>
      <c r="D990" t="s">
        <v>1691</v>
      </c>
      <c r="E990">
        <v>34.799999999999997</v>
      </c>
      <c r="F990">
        <f t="shared" si="14"/>
        <v>69.599999999999994</v>
      </c>
    </row>
    <row r="991" spans="2:6">
      <c r="B991" t="s">
        <v>1731</v>
      </c>
      <c r="C991">
        <v>0.1</v>
      </c>
      <c r="D991" t="s">
        <v>1732</v>
      </c>
      <c r="E991">
        <v>15</v>
      </c>
      <c r="F991">
        <f t="shared" si="14"/>
        <v>1.5</v>
      </c>
    </row>
    <row r="992" spans="2:6">
      <c r="B992" t="s">
        <v>1752</v>
      </c>
      <c r="C992">
        <v>1</v>
      </c>
      <c r="D992" t="s">
        <v>1691</v>
      </c>
      <c r="E992">
        <v>350</v>
      </c>
      <c r="F992">
        <f t="shared" si="14"/>
        <v>350</v>
      </c>
    </row>
    <row r="993" spans="2:6">
      <c r="E993" t="s">
        <v>1039</v>
      </c>
      <c r="F993">
        <f>ROUND(SUM(F980:F992),2)</f>
        <v>4805.2299999999996</v>
      </c>
    </row>
    <row r="995" spans="2:6">
      <c r="B995" t="s">
        <v>1753</v>
      </c>
    </row>
    <row r="996" spans="2:6">
      <c r="B996" t="s">
        <v>1754</v>
      </c>
      <c r="C996">
        <v>1.85</v>
      </c>
      <c r="D996" t="s">
        <v>11</v>
      </c>
      <c r="E996">
        <f>E728</f>
        <v>1500</v>
      </c>
      <c r="F996">
        <f>C996*E996</f>
        <v>2775</v>
      </c>
    </row>
    <row r="997" spans="2:6">
      <c r="B997" t="s">
        <v>1755</v>
      </c>
      <c r="C997">
        <v>8.8699999999999992</v>
      </c>
      <c r="D997" t="s">
        <v>11</v>
      </c>
      <c r="E997">
        <v>250</v>
      </c>
      <c r="F997">
        <f>C997*E997</f>
        <v>2217.5</v>
      </c>
    </row>
    <row r="998" spans="2:6">
      <c r="B998" t="s">
        <v>1756</v>
      </c>
      <c r="C998">
        <v>1</v>
      </c>
      <c r="D998" t="s">
        <v>3</v>
      </c>
      <c r="E998">
        <v>200</v>
      </c>
      <c r="F998">
        <f>C998*E998</f>
        <v>200</v>
      </c>
    </row>
    <row r="999" spans="2:6">
      <c r="D999" t="s">
        <v>1037</v>
      </c>
      <c r="E999" t="s">
        <v>1038</v>
      </c>
      <c r="F999">
        <f>ROUND(SUM(F996:F998),2)</f>
        <v>5192.5</v>
      </c>
    </row>
    <row r="1001" spans="2:6">
      <c r="B1001" t="s">
        <v>1757</v>
      </c>
    </row>
    <row r="1002" spans="2:6">
      <c r="B1002" t="s">
        <v>1064</v>
      </c>
      <c r="C1002">
        <v>0.1</v>
      </c>
      <c r="D1002" t="s">
        <v>2</v>
      </c>
      <c r="E1002">
        <f>E694</f>
        <v>70.16</v>
      </c>
      <c r="F1002">
        <f t="shared" ref="F1002:F1008" si="15">C1002*E1002</f>
        <v>7.016</v>
      </c>
    </row>
    <row r="1003" spans="2:6">
      <c r="B1003" t="s">
        <v>1758</v>
      </c>
      <c r="C1003">
        <v>1.68</v>
      </c>
      <c r="D1003" t="s">
        <v>11</v>
      </c>
      <c r="E1003">
        <f>E728</f>
        <v>1500</v>
      </c>
      <c r="F1003">
        <f t="shared" si="15"/>
        <v>2520</v>
      </c>
    </row>
    <row r="1004" spans="2:6">
      <c r="B1004" t="s">
        <v>1043</v>
      </c>
      <c r="C1004">
        <v>0.18</v>
      </c>
      <c r="D1004" t="s">
        <v>126</v>
      </c>
      <c r="E1004">
        <f>E678</f>
        <v>0</v>
      </c>
      <c r="F1004">
        <f t="shared" si="15"/>
        <v>0</v>
      </c>
    </row>
    <row r="1005" spans="2:6">
      <c r="B1005" t="s">
        <v>377</v>
      </c>
      <c r="C1005">
        <v>1.65</v>
      </c>
      <c r="D1005" t="s">
        <v>11</v>
      </c>
      <c r="E1005" t="str">
        <f>E637</f>
        <v>R.D.$</v>
      </c>
      <c r="F1005" t="e">
        <f t="shared" si="15"/>
        <v>#VALUE!</v>
      </c>
    </row>
    <row r="1006" spans="2:6">
      <c r="B1006" t="s">
        <v>1759</v>
      </c>
      <c r="C1006">
        <v>1</v>
      </c>
      <c r="D1006" t="s">
        <v>3</v>
      </c>
      <c r="E1006">
        <v>100</v>
      </c>
      <c r="F1006">
        <f t="shared" si="15"/>
        <v>100</v>
      </c>
    </row>
    <row r="1007" spans="2:6">
      <c r="B1007" t="s">
        <v>1760</v>
      </c>
      <c r="C1007">
        <v>0.39</v>
      </c>
      <c r="D1007" t="s">
        <v>2</v>
      </c>
      <c r="E1007">
        <v>85</v>
      </c>
      <c r="F1007">
        <f t="shared" si="15"/>
        <v>33.15</v>
      </c>
    </row>
    <row r="1008" spans="2:6">
      <c r="B1008" t="s">
        <v>1102</v>
      </c>
      <c r="C1008">
        <v>0.47</v>
      </c>
      <c r="D1008" t="s">
        <v>2</v>
      </c>
      <c r="E1008">
        <v>45</v>
      </c>
      <c r="F1008">
        <f t="shared" si="15"/>
        <v>21.15</v>
      </c>
    </row>
    <row r="1009" spans="2:6">
      <c r="D1009" t="s">
        <v>1037</v>
      </c>
      <c r="E1009" t="s">
        <v>1038</v>
      </c>
      <c r="F1009" t="e">
        <f>ROUND(SUM(F1002:F1008),2)</f>
        <v>#VALUE!</v>
      </c>
    </row>
    <row r="1011" spans="2:6">
      <c r="B1011" t="s">
        <v>1761</v>
      </c>
    </row>
    <row r="1012" spans="2:6">
      <c r="B1012" t="s">
        <v>1762</v>
      </c>
      <c r="C1012">
        <v>1.48</v>
      </c>
      <c r="D1012" t="s">
        <v>2</v>
      </c>
      <c r="E1012" t="e">
        <f>#REF!</f>
        <v>#REF!</v>
      </c>
      <c r="F1012" t="e">
        <f t="shared" ref="F1012:F1020" si="16">C1012*E1012</f>
        <v>#REF!</v>
      </c>
    </row>
    <row r="1013" spans="2:6">
      <c r="B1013" t="s">
        <v>1763</v>
      </c>
      <c r="C1013">
        <v>0.7</v>
      </c>
      <c r="D1013" t="s">
        <v>11</v>
      </c>
      <c r="E1013" t="e">
        <f>E1012</f>
        <v>#REF!</v>
      </c>
      <c r="F1013" t="e">
        <f t="shared" si="16"/>
        <v>#REF!</v>
      </c>
    </row>
    <row r="1014" spans="2:6">
      <c r="B1014" t="s">
        <v>1764</v>
      </c>
      <c r="C1014">
        <v>17.28</v>
      </c>
      <c r="D1014" t="s">
        <v>11</v>
      </c>
      <c r="E1014" t="str">
        <f>E717</f>
        <v>PRECIO</v>
      </c>
      <c r="F1014" t="e">
        <f t="shared" si="16"/>
        <v>#VALUE!</v>
      </c>
    </row>
    <row r="1015" spans="2:6">
      <c r="B1015" t="s">
        <v>1043</v>
      </c>
      <c r="C1015">
        <v>3.53</v>
      </c>
      <c r="D1015" t="s">
        <v>126</v>
      </c>
      <c r="E1015">
        <f>E678</f>
        <v>0</v>
      </c>
      <c r="F1015">
        <f t="shared" si="16"/>
        <v>0</v>
      </c>
    </row>
    <row r="1016" spans="2:6">
      <c r="B1016" t="s">
        <v>377</v>
      </c>
      <c r="C1016">
        <v>22.1</v>
      </c>
      <c r="D1016" t="s">
        <v>11</v>
      </c>
      <c r="E1016" t="str">
        <f>E1005</f>
        <v>R.D.$</v>
      </c>
      <c r="F1016" t="e">
        <f t="shared" si="16"/>
        <v>#VALUE!</v>
      </c>
    </row>
    <row r="1017" spans="2:6">
      <c r="B1017" t="s">
        <v>1765</v>
      </c>
      <c r="C1017">
        <v>13.32</v>
      </c>
      <c r="D1017" t="s">
        <v>2</v>
      </c>
      <c r="E1017">
        <v>85</v>
      </c>
      <c r="F1017">
        <f t="shared" si="16"/>
        <v>1132.2</v>
      </c>
    </row>
    <row r="1018" spans="2:6">
      <c r="B1018" t="s">
        <v>1766</v>
      </c>
      <c r="C1018">
        <v>15.98</v>
      </c>
      <c r="D1018" t="s">
        <v>2</v>
      </c>
      <c r="E1018">
        <v>45</v>
      </c>
      <c r="F1018">
        <f t="shared" si="16"/>
        <v>719.1</v>
      </c>
    </row>
    <row r="1019" spans="2:6">
      <c r="B1019" t="s">
        <v>1767</v>
      </c>
      <c r="C1019">
        <v>1</v>
      </c>
      <c r="D1019" t="s">
        <v>3</v>
      </c>
      <c r="E1019">
        <v>1600</v>
      </c>
      <c r="F1019">
        <f t="shared" si="16"/>
        <v>1600</v>
      </c>
    </row>
    <row r="1020" spans="2:6">
      <c r="B1020" t="s">
        <v>697</v>
      </c>
      <c r="C1020">
        <v>1</v>
      </c>
      <c r="D1020" t="s">
        <v>3</v>
      </c>
      <c r="E1020">
        <v>250</v>
      </c>
      <c r="F1020">
        <f t="shared" si="16"/>
        <v>250</v>
      </c>
    </row>
    <row r="1021" spans="2:6">
      <c r="D1021" t="s">
        <v>1037</v>
      </c>
      <c r="E1021" t="s">
        <v>1038</v>
      </c>
      <c r="F1021" t="e">
        <f>ROUND(SUM(F1012:F1020),2)</f>
        <v>#REF!</v>
      </c>
    </row>
    <row r="1023" spans="2:6">
      <c r="B1023" t="s">
        <v>900</v>
      </c>
    </row>
    <row r="1024" spans="2:6">
      <c r="B1024" t="s">
        <v>1064</v>
      </c>
      <c r="C1024">
        <v>0.3</v>
      </c>
      <c r="D1024" t="s">
        <v>2</v>
      </c>
      <c r="E1024">
        <f>E694</f>
        <v>70.16</v>
      </c>
      <c r="F1024">
        <f t="shared" ref="F1024:F1030" si="17">C1024*E1024</f>
        <v>21.047999999999998</v>
      </c>
    </row>
    <row r="1025" spans="1:6">
      <c r="B1025" t="s">
        <v>1764</v>
      </c>
      <c r="C1025">
        <v>4</v>
      </c>
      <c r="D1025" t="s">
        <v>11</v>
      </c>
      <c r="E1025" t="str">
        <f>E717</f>
        <v>PRECIO</v>
      </c>
      <c r="F1025">
        <f>+F552</f>
        <v>920.16885732000003</v>
      </c>
    </row>
    <row r="1026" spans="1:6">
      <c r="B1026" t="s">
        <v>1768</v>
      </c>
      <c r="C1026">
        <v>0.25</v>
      </c>
      <c r="D1026" t="s">
        <v>126</v>
      </c>
      <c r="E1026">
        <f>+F62</f>
        <v>2913</v>
      </c>
      <c r="F1026">
        <f>C1026*E1026</f>
        <v>728.25</v>
      </c>
    </row>
    <row r="1027" spans="1:6">
      <c r="B1027" t="s">
        <v>1769</v>
      </c>
      <c r="C1027">
        <v>4.12</v>
      </c>
      <c r="D1027" t="s">
        <v>11</v>
      </c>
      <c r="E1027">
        <f>+D254</f>
        <v>295.47330489199999</v>
      </c>
      <c r="F1027">
        <f t="shared" si="17"/>
        <v>1217.3500161550401</v>
      </c>
    </row>
    <row r="1028" spans="1:6">
      <c r="B1028" t="s">
        <v>1760</v>
      </c>
      <c r="C1028">
        <v>1.58</v>
      </c>
      <c r="D1028" t="s">
        <v>2</v>
      </c>
      <c r="E1028">
        <v>85</v>
      </c>
      <c r="F1028">
        <f t="shared" si="17"/>
        <v>134.30000000000001</v>
      </c>
    </row>
    <row r="1029" spans="1:6">
      <c r="B1029" t="s">
        <v>1102</v>
      </c>
      <c r="C1029">
        <v>1.9</v>
      </c>
      <c r="D1029" t="s">
        <v>2</v>
      </c>
      <c r="E1029">
        <v>45</v>
      </c>
      <c r="F1029">
        <f t="shared" si="17"/>
        <v>85.5</v>
      </c>
    </row>
    <row r="1030" spans="1:6">
      <c r="B1030" t="s">
        <v>697</v>
      </c>
      <c r="C1030">
        <v>1</v>
      </c>
      <c r="D1030" t="s">
        <v>3</v>
      </c>
      <c r="E1030">
        <v>2388.73</v>
      </c>
      <c r="F1030">
        <f t="shared" si="17"/>
        <v>2388.73</v>
      </c>
    </row>
    <row r="1031" spans="1:6">
      <c r="E1031" t="s">
        <v>1038</v>
      </c>
      <c r="F1031">
        <f>ROUND(SUM(F1024:F1030),2)</f>
        <v>5495.35</v>
      </c>
    </row>
    <row r="1033" spans="1:6">
      <c r="A1033" t="s">
        <v>1857</v>
      </c>
    </row>
    <row r="1034" spans="1:6" ht="12.6" customHeight="1"/>
    <row r="1035" spans="1:6" ht="12.6" customHeight="1">
      <c r="B1035" t="s">
        <v>1858</v>
      </c>
    </row>
    <row r="1036" spans="1:6" ht="12" customHeight="1">
      <c r="B1036" t="s">
        <v>1682</v>
      </c>
      <c r="C1036">
        <v>1.05</v>
      </c>
      <c r="D1036" t="s">
        <v>2</v>
      </c>
      <c r="E1036">
        <f>+F47</f>
        <v>7063.5</v>
      </c>
      <c r="F1036">
        <f>C1036*E1036</f>
        <v>7416.6750000000002</v>
      </c>
    </row>
    <row r="1037" spans="1:6" ht="12.6" customHeight="1">
      <c r="B1037" t="s">
        <v>1859</v>
      </c>
      <c r="C1037">
        <v>0.79</v>
      </c>
      <c r="D1037" t="s">
        <v>126</v>
      </c>
      <c r="E1037">
        <f>+F62</f>
        <v>2913</v>
      </c>
      <c r="F1037">
        <f>C1037*E1037</f>
        <v>2301.27</v>
      </c>
    </row>
    <row r="1038" spans="1:6" ht="12.6" customHeight="1">
      <c r="E1038" t="s">
        <v>1031</v>
      </c>
      <c r="F1038">
        <f>ROUND(SUM(F1036:F1037),2)</f>
        <v>9717.9500000000007</v>
      </c>
    </row>
    <row r="1039" spans="1:6" ht="12.6" customHeight="1"/>
    <row r="1040" spans="1:6" ht="12.6" customHeight="1">
      <c r="B1040" t="s">
        <v>1860</v>
      </c>
    </row>
    <row r="1041" spans="2:6" ht="12.6" customHeight="1">
      <c r="B1041" t="s">
        <v>1682</v>
      </c>
      <c r="C1041">
        <v>1.05</v>
      </c>
      <c r="D1041" t="s">
        <v>2</v>
      </c>
      <c r="E1041">
        <f>+F47</f>
        <v>7063.5</v>
      </c>
      <c r="F1041">
        <f>C1041*E1041</f>
        <v>7416.6750000000002</v>
      </c>
    </row>
    <row r="1042" spans="2:6" ht="12.6" customHeight="1">
      <c r="B1042" t="s">
        <v>272</v>
      </c>
      <c r="C1042">
        <v>4.58</v>
      </c>
      <c r="D1042" t="s">
        <v>126</v>
      </c>
      <c r="E1042">
        <f>E1037</f>
        <v>2913</v>
      </c>
      <c r="F1042">
        <f>C1042*E1042</f>
        <v>13341.54</v>
      </c>
    </row>
    <row r="1043" spans="2:6" ht="12.6" customHeight="1">
      <c r="B1043" t="s">
        <v>1089</v>
      </c>
      <c r="C1043">
        <f>1/(0.2*0.2)</f>
        <v>25</v>
      </c>
      <c r="D1043" t="s">
        <v>1</v>
      </c>
      <c r="E1043">
        <v>325</v>
      </c>
      <c r="F1043">
        <f>C1043*E1043</f>
        <v>8125</v>
      </c>
    </row>
    <row r="1044" spans="2:6" ht="12.6" customHeight="1">
      <c r="E1044" t="s">
        <v>1031</v>
      </c>
      <c r="F1044">
        <f>ROUND(SUM(F1041:F1043),2)</f>
        <v>28883.22</v>
      </c>
    </row>
    <row r="1045" spans="2:6" ht="12.6" customHeight="1"/>
    <row r="1046" spans="2:6" ht="12.6" customHeight="1">
      <c r="B1046" t="s">
        <v>1861</v>
      </c>
    </row>
    <row r="1047" spans="2:6" ht="12.6" customHeight="1">
      <c r="B1047" t="s">
        <v>1682</v>
      </c>
      <c r="C1047">
        <v>1.05</v>
      </c>
      <c r="D1047" t="s">
        <v>2</v>
      </c>
      <c r="E1047">
        <f>E1041</f>
        <v>7063.5</v>
      </c>
      <c r="F1047">
        <f>C1047*E1047</f>
        <v>7416.6750000000002</v>
      </c>
    </row>
    <row r="1048" spans="2:6" ht="12.6" customHeight="1">
      <c r="B1048" t="s">
        <v>1859</v>
      </c>
      <c r="C1048">
        <v>11.14</v>
      </c>
      <c r="D1048" t="s">
        <v>126</v>
      </c>
      <c r="E1048">
        <f>E1042</f>
        <v>2913</v>
      </c>
      <c r="F1048">
        <f>C1048*E1048</f>
        <v>32450.82</v>
      </c>
    </row>
    <row r="1049" spans="2:6" ht="12.6" customHeight="1">
      <c r="B1049" t="s">
        <v>1862</v>
      </c>
      <c r="C1049">
        <f>1/(25*0.2)</f>
        <v>0.2</v>
      </c>
      <c r="D1049" t="s">
        <v>1</v>
      </c>
      <c r="E1049">
        <v>250</v>
      </c>
      <c r="F1049">
        <f>C1049*E1049</f>
        <v>50</v>
      </c>
    </row>
    <row r="1050" spans="2:6" ht="12.6" customHeight="1">
      <c r="E1050" t="s">
        <v>1031</v>
      </c>
      <c r="F1050">
        <f>ROUND(SUM(F1047:F1049),2)</f>
        <v>39917.5</v>
      </c>
    </row>
    <row r="1051" spans="2:6" ht="12.6" customHeight="1"/>
    <row r="1052" spans="2:6" ht="12.6" customHeight="1">
      <c r="B1052" t="s">
        <v>1863</v>
      </c>
    </row>
    <row r="1053" spans="2:6" ht="12.6" customHeight="1">
      <c r="B1053" t="s">
        <v>1682</v>
      </c>
      <c r="C1053">
        <v>1.05</v>
      </c>
      <c r="D1053" t="s">
        <v>2</v>
      </c>
      <c r="E1053">
        <f>E1047</f>
        <v>7063.5</v>
      </c>
      <c r="F1053">
        <f>C1053*E1053</f>
        <v>7416.6750000000002</v>
      </c>
    </row>
    <row r="1054" spans="2:6" ht="12.6" customHeight="1">
      <c r="B1054" t="s">
        <v>1859</v>
      </c>
      <c r="C1054">
        <v>5</v>
      </c>
      <c r="D1054" t="s">
        <v>126</v>
      </c>
      <c r="E1054">
        <f>E1048</f>
        <v>2913</v>
      </c>
      <c r="F1054">
        <f>C1054*E1054</f>
        <v>14565</v>
      </c>
    </row>
    <row r="1055" spans="2:6" ht="12.6" customHeight="1">
      <c r="B1055" t="s">
        <v>1862</v>
      </c>
      <c r="C1055">
        <f>1/(15*0.2)</f>
        <v>0.33333333333333298</v>
      </c>
      <c r="D1055" t="s">
        <v>1</v>
      </c>
      <c r="E1055">
        <v>250</v>
      </c>
      <c r="F1055">
        <f>C1055*E1055</f>
        <v>83.333333333333201</v>
      </c>
    </row>
    <row r="1056" spans="2:6" ht="12.6" customHeight="1">
      <c r="E1056" t="s">
        <v>1031</v>
      </c>
      <c r="F1056">
        <f>ROUND(SUM(F1053:F1055),2)</f>
        <v>22065.01</v>
      </c>
    </row>
    <row r="1057" spans="1:6" ht="12.6" customHeight="1"/>
    <row r="1058" spans="1:6" ht="12.6" customHeight="1">
      <c r="B1058" t="s">
        <v>1864</v>
      </c>
    </row>
    <row r="1059" spans="1:6" ht="12.6" customHeight="1">
      <c r="B1059" t="s">
        <v>1682</v>
      </c>
      <c r="C1059">
        <v>1.05</v>
      </c>
      <c r="D1059" t="s">
        <v>2</v>
      </c>
      <c r="E1059">
        <f>E1053</f>
        <v>7063.5</v>
      </c>
      <c r="F1059">
        <f>C1059*E1059</f>
        <v>7416.6750000000002</v>
      </c>
    </row>
    <row r="1060" spans="1:6" ht="12.6" customHeight="1">
      <c r="B1060" t="s">
        <v>1859</v>
      </c>
      <c r="C1060">
        <v>0.63</v>
      </c>
      <c r="D1060" t="s">
        <v>126</v>
      </c>
      <c r="E1060">
        <f>E1054</f>
        <v>2913</v>
      </c>
      <c r="F1060">
        <f>C1060*E1060</f>
        <v>1835.19</v>
      </c>
    </row>
    <row r="1061" spans="1:6" ht="12.6" customHeight="1">
      <c r="E1061" t="s">
        <v>1031</v>
      </c>
      <c r="F1061">
        <f>ROUND(SUM(F1057:F1060),2)</f>
        <v>9251.8700000000008</v>
      </c>
    </row>
    <row r="1062" spans="1:6" ht="12.6" customHeight="1"/>
    <row r="1063" spans="1:6" ht="12.6" customHeight="1">
      <c r="B1063" t="s">
        <v>1865</v>
      </c>
    </row>
    <row r="1064" spans="1:6" ht="12.6" customHeight="1">
      <c r="B1064" t="s">
        <v>1682</v>
      </c>
      <c r="C1064">
        <v>1.05</v>
      </c>
      <c r="D1064" t="s">
        <v>2</v>
      </c>
      <c r="E1064">
        <f>E1059</f>
        <v>7063.5</v>
      </c>
      <c r="F1064">
        <f>C1064*E1064</f>
        <v>7416.6750000000002</v>
      </c>
    </row>
    <row r="1065" spans="1:6" ht="12.6" customHeight="1">
      <c r="B1065" t="s">
        <v>1859</v>
      </c>
      <c r="C1065">
        <v>1.06</v>
      </c>
      <c r="D1065" t="s">
        <v>126</v>
      </c>
      <c r="E1065">
        <f>E1060</f>
        <v>2913</v>
      </c>
      <c r="F1065">
        <f>C1065*E1065</f>
        <v>3087.78</v>
      </c>
    </row>
    <row r="1066" spans="1:6" ht="12.6" customHeight="1">
      <c r="B1066" t="s">
        <v>1862</v>
      </c>
      <c r="C1066">
        <f>1/(0.13)</f>
        <v>7.6923076923076898</v>
      </c>
      <c r="D1066" t="s">
        <v>11</v>
      </c>
      <c r="E1066">
        <v>185</v>
      </c>
      <c r="F1066">
        <f>C1066*E1066</f>
        <v>1423.0769230769199</v>
      </c>
    </row>
    <row r="1067" spans="1:6">
      <c r="E1067" t="s">
        <v>1031</v>
      </c>
      <c r="F1067">
        <f>ROUND(SUM(F1064:F1066),2)</f>
        <v>11927.53</v>
      </c>
    </row>
    <row r="1068" spans="1:6">
      <c r="F1068">
        <f>ROUND(F1067-F1066+E1066*1/0.8,2)</f>
        <v>10735.7</v>
      </c>
    </row>
    <row r="1070" spans="1:6" ht="15.75" customHeight="1">
      <c r="A1070" t="s">
        <v>1915</v>
      </c>
    </row>
    <row r="1072" spans="1:6">
      <c r="B1072" t="s">
        <v>186</v>
      </c>
    </row>
    <row r="1074" spans="2:6">
      <c r="B1074" t="s">
        <v>187</v>
      </c>
    </row>
    <row r="1075" spans="2:6">
      <c r="B1075" t="s">
        <v>122</v>
      </c>
      <c r="C1075">
        <v>0.52</v>
      </c>
      <c r="D1075" t="s">
        <v>2</v>
      </c>
      <c r="E1075">
        <f>+F16</f>
        <v>1115</v>
      </c>
      <c r="F1075">
        <f>C1075*E1075</f>
        <v>579.79999999999995</v>
      </c>
    </row>
    <row r="1076" spans="2:6">
      <c r="B1076" t="s">
        <v>124</v>
      </c>
      <c r="C1076">
        <v>0.85</v>
      </c>
      <c r="D1076" t="s">
        <v>2</v>
      </c>
      <c r="E1076">
        <f>+F21</f>
        <v>1215</v>
      </c>
      <c r="F1076">
        <f>C1076*E1076</f>
        <v>1032.75</v>
      </c>
    </row>
    <row r="1077" spans="2:6">
      <c r="B1077" t="s">
        <v>117</v>
      </c>
      <c r="C1077">
        <v>60</v>
      </c>
      <c r="D1077" t="s">
        <v>138</v>
      </c>
      <c r="E1077">
        <f>+F4</f>
        <v>325</v>
      </c>
      <c r="F1077">
        <f>C1077*E1077</f>
        <v>19500</v>
      </c>
    </row>
    <row r="1078" spans="2:6">
      <c r="B1078" t="s">
        <v>188</v>
      </c>
      <c r="C1078">
        <v>6.4</v>
      </c>
      <c r="D1078" t="s">
        <v>144</v>
      </c>
      <c r="E1078">
        <f>+F3</f>
        <v>2.5</v>
      </c>
      <c r="F1078">
        <f>C1078*E1078</f>
        <v>16</v>
      </c>
    </row>
    <row r="1079" spans="2:6">
      <c r="B1079" t="s">
        <v>189</v>
      </c>
      <c r="C1079">
        <v>0.5</v>
      </c>
      <c r="D1079" t="s">
        <v>148</v>
      </c>
      <c r="E1079">
        <v>659</v>
      </c>
      <c r="F1079">
        <f>C1079*E1079</f>
        <v>329.5</v>
      </c>
    </row>
    <row r="1080" spans="2:6">
      <c r="B1080" t="s">
        <v>190</v>
      </c>
      <c r="F1080">
        <f>SUM(F1075+F1077+F1078)*0.03</f>
        <v>602.87400000000002</v>
      </c>
    </row>
    <row r="1081" spans="2:6">
      <c r="E1081" t="s">
        <v>1031</v>
      </c>
      <c r="F1081">
        <f>SUM(F1075:F1080)</f>
        <v>22060.923999999999</v>
      </c>
    </row>
    <row r="1083" spans="2:6">
      <c r="B1083" t="s">
        <v>1917</v>
      </c>
    </row>
    <row r="1084" spans="2:6">
      <c r="B1084" t="s">
        <v>1918</v>
      </c>
      <c r="C1084">
        <v>13</v>
      </c>
      <c r="D1084" t="s">
        <v>3</v>
      </c>
      <c r="E1084">
        <v>28</v>
      </c>
      <c r="F1084">
        <f t="shared" ref="F1084:F1091" si="18">C1084*E1084</f>
        <v>364</v>
      </c>
    </row>
    <row r="1085" spans="2:6">
      <c r="B1085" t="s">
        <v>1056</v>
      </c>
      <c r="C1085">
        <v>13</v>
      </c>
      <c r="D1085" t="s">
        <v>3</v>
      </c>
      <c r="E1085">
        <v>18.850000000000001</v>
      </c>
      <c r="F1085">
        <f t="shared" si="18"/>
        <v>245.05</v>
      </c>
    </row>
    <row r="1086" spans="2:6">
      <c r="B1086" t="s">
        <v>1919</v>
      </c>
      <c r="C1086">
        <v>0.04</v>
      </c>
      <c r="D1086" t="s">
        <v>2</v>
      </c>
      <c r="E1086">
        <f>F84</f>
        <v>5506.4035999999996</v>
      </c>
      <c r="F1086">
        <f t="shared" si="18"/>
        <v>220.25614400000001</v>
      </c>
    </row>
    <row r="1087" spans="2:6">
      <c r="B1087" t="s">
        <v>1920</v>
      </c>
      <c r="C1087">
        <v>0.01</v>
      </c>
      <c r="D1087" t="s">
        <v>2</v>
      </c>
      <c r="E1087">
        <f>+F1081</f>
        <v>22060.923999999999</v>
      </c>
      <c r="F1087">
        <f t="shared" si="18"/>
        <v>220.60924</v>
      </c>
    </row>
    <row r="1088" spans="2:6">
      <c r="B1088" t="s">
        <v>1921</v>
      </c>
      <c r="C1088">
        <v>0.03</v>
      </c>
      <c r="D1088" t="s">
        <v>126</v>
      </c>
      <c r="E1088">
        <f>+F62</f>
        <v>2913</v>
      </c>
      <c r="F1088">
        <f t="shared" si="18"/>
        <v>87.39</v>
      </c>
    </row>
    <row r="1089" spans="2:9">
      <c r="B1089" t="s">
        <v>1053</v>
      </c>
      <c r="C1089">
        <v>0.18</v>
      </c>
      <c r="D1089" t="s">
        <v>155</v>
      </c>
      <c r="E1089">
        <v>35</v>
      </c>
      <c r="F1089">
        <f t="shared" si="18"/>
        <v>6.3</v>
      </c>
    </row>
    <row r="1090" spans="2:9">
      <c r="B1090" t="s">
        <v>198</v>
      </c>
      <c r="C1090">
        <v>0.02</v>
      </c>
      <c r="D1090" t="s">
        <v>148</v>
      </c>
      <c r="E1090">
        <v>659</v>
      </c>
      <c r="F1090">
        <f t="shared" si="18"/>
        <v>13.18</v>
      </c>
    </row>
    <row r="1091" spans="2:9">
      <c r="B1091" t="s">
        <v>1922</v>
      </c>
      <c r="C1091">
        <v>0.01</v>
      </c>
      <c r="D1091" t="s">
        <v>2</v>
      </c>
      <c r="E1091">
        <v>659</v>
      </c>
      <c r="F1091">
        <f t="shared" si="18"/>
        <v>6.59</v>
      </c>
    </row>
    <row r="1092" spans="2:9">
      <c r="E1092" t="s">
        <v>1031</v>
      </c>
      <c r="F1092">
        <f>SUM(F1084:F1091)</f>
        <v>1163.3753839999999</v>
      </c>
    </row>
    <row r="1093" spans="2:9" ht="12.95" customHeight="1">
      <c r="B1093" t="s">
        <v>1923</v>
      </c>
      <c r="E1093" t="s">
        <v>1924</v>
      </c>
      <c r="F1093">
        <f>+F1092</f>
        <v>1163.3753839999999</v>
      </c>
      <c r="I1093">
        <f>SUM(I1086:I1092)</f>
        <v>0</v>
      </c>
    </row>
    <row r="1094" spans="2:9" ht="12.95" customHeight="1">
      <c r="B1094" t="s">
        <v>1925</v>
      </c>
      <c r="E1094" t="s">
        <v>1926</v>
      </c>
      <c r="F1094">
        <f>F1093-(F1090+F1089)</f>
        <v>1143.8953839999999</v>
      </c>
    </row>
    <row r="1097" spans="2:9">
      <c r="B1097" t="s">
        <v>191</v>
      </c>
    </row>
    <row r="1098" spans="2:9">
      <c r="B1098" t="s">
        <v>192</v>
      </c>
      <c r="C1098">
        <v>13</v>
      </c>
      <c r="D1098" t="s">
        <v>3</v>
      </c>
      <c r="E1098">
        <v>25.93</v>
      </c>
      <c r="F1098">
        <f t="shared" ref="F1098:F1105" si="19">C1098*E1098</f>
        <v>337.09</v>
      </c>
    </row>
    <row r="1099" spans="2:9">
      <c r="B1099" t="s">
        <v>193</v>
      </c>
      <c r="C1099">
        <v>13</v>
      </c>
      <c r="D1099" t="s">
        <v>3</v>
      </c>
      <c r="E1099">
        <v>15.78</v>
      </c>
      <c r="F1099">
        <f t="shared" si="19"/>
        <v>205.14</v>
      </c>
    </row>
    <row r="1100" spans="2:9">
      <c r="B1100" t="s">
        <v>194</v>
      </c>
      <c r="C1100">
        <v>0.03</v>
      </c>
      <c r="D1100" t="s">
        <v>2</v>
      </c>
      <c r="E1100">
        <f>F713</f>
        <v>45603.89</v>
      </c>
      <c r="F1100">
        <f t="shared" si="19"/>
        <v>1368.1167</v>
      </c>
    </row>
    <row r="1101" spans="2:9">
      <c r="B1101" t="s">
        <v>195</v>
      </c>
      <c r="C1101">
        <v>0.01</v>
      </c>
      <c r="D1101" t="s">
        <v>2</v>
      </c>
      <c r="E1101">
        <f>SUM(F1081)</f>
        <v>22060.923999999999</v>
      </c>
      <c r="F1101">
        <f t="shared" si="19"/>
        <v>220.60924</v>
      </c>
    </row>
    <row r="1102" spans="2:9">
      <c r="B1102" t="s">
        <v>196</v>
      </c>
      <c r="C1102">
        <v>0.03</v>
      </c>
      <c r="D1102" t="s">
        <v>126</v>
      </c>
      <c r="E1102">
        <f>F1064</f>
        <v>7416.6750000000002</v>
      </c>
      <c r="F1102">
        <f t="shared" si="19"/>
        <v>222.50024999999999</v>
      </c>
    </row>
    <row r="1103" spans="2:9">
      <c r="B1103" t="s">
        <v>197</v>
      </c>
      <c r="C1103">
        <v>0.18</v>
      </c>
      <c r="D1103" t="s">
        <v>155</v>
      </c>
      <c r="E1103">
        <v>35</v>
      </c>
      <c r="F1103">
        <f t="shared" si="19"/>
        <v>6.3</v>
      </c>
    </row>
    <row r="1104" spans="2:9">
      <c r="B1104" t="s">
        <v>198</v>
      </c>
      <c r="C1104">
        <v>0.02</v>
      </c>
      <c r="D1104" t="s">
        <v>148</v>
      </c>
      <c r="E1104">
        <v>659</v>
      </c>
      <c r="F1104">
        <f t="shared" si="19"/>
        <v>13.18</v>
      </c>
    </row>
    <row r="1105" spans="2:9">
      <c r="B1105" t="s">
        <v>199</v>
      </c>
      <c r="C1105">
        <v>0.01</v>
      </c>
      <c r="D1105" t="s">
        <v>2</v>
      </c>
      <c r="E1105">
        <v>659</v>
      </c>
      <c r="F1105">
        <f t="shared" si="19"/>
        <v>6.59</v>
      </c>
    </row>
    <row r="1106" spans="2:9">
      <c r="E1106" t="s">
        <v>1031</v>
      </c>
      <c r="F1106">
        <f>SUM(F1098:F1105)</f>
        <v>2379.52619</v>
      </c>
    </row>
    <row r="1107" spans="2:9" ht="12.95" customHeight="1">
      <c r="B1107" t="s">
        <v>1927</v>
      </c>
      <c r="E1107" t="s">
        <v>1924</v>
      </c>
      <c r="F1107">
        <f>+F1106</f>
        <v>2379.52619</v>
      </c>
      <c r="I1107">
        <f>SUM(I1100:I1106)</f>
        <v>0</v>
      </c>
    </row>
    <row r="1108" spans="2:9" ht="12.95" customHeight="1">
      <c r="B1108" t="s">
        <v>1928</v>
      </c>
      <c r="E1108" t="s">
        <v>1926</v>
      </c>
      <c r="F1108">
        <f>F1107-(F1104+F1103)</f>
        <v>2360.04619</v>
      </c>
    </row>
    <row r="1111" spans="2:9">
      <c r="B1111" t="s">
        <v>1929</v>
      </c>
    </row>
    <row r="1112" spans="2:9">
      <c r="B1112" t="s">
        <v>1930</v>
      </c>
    </row>
    <row r="1113" spans="2:9">
      <c r="B1113" t="s">
        <v>192</v>
      </c>
      <c r="C1113">
        <v>13</v>
      </c>
      <c r="D1113" t="s">
        <v>3</v>
      </c>
      <c r="E1113">
        <v>25.93</v>
      </c>
      <c r="F1113">
        <f t="shared" ref="F1113:F1121" si="20">C1113*E1113</f>
        <v>337.09</v>
      </c>
    </row>
    <row r="1114" spans="2:9">
      <c r="B1114" t="s">
        <v>1931</v>
      </c>
      <c r="C1114">
        <v>13</v>
      </c>
      <c r="D1114" t="s">
        <v>3</v>
      </c>
      <c r="E1114">
        <f>+E1099</f>
        <v>15.78</v>
      </c>
      <c r="F1114">
        <f t="shared" si="20"/>
        <v>205.14</v>
      </c>
    </row>
    <row r="1115" spans="2:9">
      <c r="B1115" t="s">
        <v>1932</v>
      </c>
      <c r="C1115">
        <v>13</v>
      </c>
      <c r="D1115" t="s">
        <v>3</v>
      </c>
      <c r="E1115">
        <v>1.43</v>
      </c>
      <c r="F1115">
        <f t="shared" si="20"/>
        <v>18.59</v>
      </c>
    </row>
    <row r="1116" spans="2:9">
      <c r="B1116" t="s">
        <v>194</v>
      </c>
      <c r="C1116">
        <v>0.03</v>
      </c>
      <c r="D1116" t="s">
        <v>2</v>
      </c>
      <c r="E1116">
        <f>+E1100</f>
        <v>45603.89</v>
      </c>
      <c r="F1116">
        <f t="shared" si="20"/>
        <v>1368.1167</v>
      </c>
    </row>
    <row r="1117" spans="2:9">
      <c r="B1117" t="s">
        <v>195</v>
      </c>
      <c r="C1117">
        <v>0.01</v>
      </c>
      <c r="D1117" t="s">
        <v>2</v>
      </c>
      <c r="E1117">
        <f>+F47</f>
        <v>7063.5</v>
      </c>
      <c r="F1117">
        <f t="shared" si="20"/>
        <v>70.635000000000005</v>
      </c>
    </row>
    <row r="1118" spans="2:9">
      <c r="B1118" t="s">
        <v>196</v>
      </c>
      <c r="C1118">
        <v>0.03</v>
      </c>
      <c r="D1118" t="s">
        <v>126</v>
      </c>
      <c r="E1118">
        <f>+F62</f>
        <v>2913</v>
      </c>
      <c r="F1118">
        <f t="shared" si="20"/>
        <v>87.39</v>
      </c>
    </row>
    <row r="1119" spans="2:9">
      <c r="B1119" t="s">
        <v>197</v>
      </c>
      <c r="C1119">
        <v>0.18</v>
      </c>
      <c r="D1119" t="s">
        <v>155</v>
      </c>
      <c r="E1119">
        <v>35</v>
      </c>
      <c r="F1119">
        <f t="shared" si="20"/>
        <v>6.3</v>
      </c>
    </row>
    <row r="1120" spans="2:9">
      <c r="B1120" t="s">
        <v>198</v>
      </c>
      <c r="C1120">
        <v>0.02</v>
      </c>
      <c r="D1120" t="s">
        <v>148</v>
      </c>
      <c r="E1120">
        <v>659</v>
      </c>
      <c r="F1120">
        <f t="shared" si="20"/>
        <v>13.18</v>
      </c>
    </row>
    <row r="1121" spans="2:6">
      <c r="B1121" t="s">
        <v>199</v>
      </c>
      <c r="C1121">
        <v>0.01</v>
      </c>
      <c r="D1121" t="s">
        <v>2</v>
      </c>
      <c r="E1121">
        <v>659</v>
      </c>
      <c r="F1121">
        <f t="shared" si="20"/>
        <v>6.59</v>
      </c>
    </row>
    <row r="1122" spans="2:6">
      <c r="E1122" t="s">
        <v>1031</v>
      </c>
      <c r="F1122">
        <f>SUM(F1113:F1121)</f>
        <v>2113.0317</v>
      </c>
    </row>
    <row r="1123" spans="2:6">
      <c r="B1123" t="s">
        <v>1933</v>
      </c>
      <c r="F1123">
        <f>+F1122-(F1120+F1119)</f>
        <v>2093.5517</v>
      </c>
    </row>
    <row r="1124" spans="2:6">
      <c r="B1124" t="s">
        <v>1934</v>
      </c>
      <c r="F1124">
        <f>F1122-(F1117+F1118)+(E1117*0.02)+(E1118*0.06)</f>
        <v>2271.0567000000001</v>
      </c>
    </row>
    <row r="1125" spans="2:6">
      <c r="B1125" t="s">
        <v>1935</v>
      </c>
      <c r="F1125">
        <f>F1124-(F1119+F1120)</f>
        <v>2251.5767000000001</v>
      </c>
    </row>
    <row r="1126" spans="2:6">
      <c r="B1126" t="s">
        <v>1936</v>
      </c>
      <c r="F1126">
        <f>F1122-(F1117+F1118)+(E1117*0.05)+(E1118*0.15)</f>
        <v>2745.1316999999999</v>
      </c>
    </row>
    <row r="1127" spans="2:6">
      <c r="B1127" t="s">
        <v>1937</v>
      </c>
      <c r="F1127">
        <f>F1126-(F1119+F1120)</f>
        <v>2725.6516999999999</v>
      </c>
    </row>
    <row r="1129" spans="2:6">
      <c r="B1129" t="s">
        <v>1938</v>
      </c>
    </row>
    <row r="1130" spans="2:6">
      <c r="B1130" t="s">
        <v>1048</v>
      </c>
      <c r="C1130">
        <v>13</v>
      </c>
      <c r="D1130" t="s">
        <v>3</v>
      </c>
      <c r="E1130">
        <v>24.46</v>
      </c>
      <c r="F1130">
        <f t="shared" ref="F1130:F1137" si="21">C1130*E1130</f>
        <v>317.98</v>
      </c>
    </row>
    <row r="1131" spans="2:6">
      <c r="B1131" t="s">
        <v>1049</v>
      </c>
      <c r="C1131">
        <v>13</v>
      </c>
      <c r="D1131" t="s">
        <v>3</v>
      </c>
      <c r="E1131">
        <v>18</v>
      </c>
      <c r="F1131">
        <f t="shared" si="21"/>
        <v>234</v>
      </c>
    </row>
    <row r="1132" spans="2:6">
      <c r="B1132" t="s">
        <v>1050</v>
      </c>
      <c r="C1132">
        <v>0.02</v>
      </c>
      <c r="D1132" t="s">
        <v>2</v>
      </c>
      <c r="E1132">
        <f>F713</f>
        <v>45603.89</v>
      </c>
      <c r="F1132">
        <f t="shared" si="21"/>
        <v>912.07780000000002</v>
      </c>
    </row>
    <row r="1133" spans="2:6">
      <c r="B1133" t="s">
        <v>1051</v>
      </c>
      <c r="C1133">
        <v>0.01</v>
      </c>
      <c r="D1133" t="s">
        <v>2</v>
      </c>
      <c r="E1133">
        <f>SUM(F1081)</f>
        <v>22060.923999999999</v>
      </c>
      <c r="F1133">
        <f t="shared" si="21"/>
        <v>220.60924</v>
      </c>
    </row>
    <row r="1134" spans="2:6">
      <c r="B1134" t="s">
        <v>1052</v>
      </c>
      <c r="C1134">
        <v>0.03</v>
      </c>
      <c r="D1134" t="s">
        <v>126</v>
      </c>
      <c r="E1134">
        <f>F1064</f>
        <v>7416.6750000000002</v>
      </c>
      <c r="F1134">
        <f t="shared" si="21"/>
        <v>222.50024999999999</v>
      </c>
    </row>
    <row r="1135" spans="2:6">
      <c r="B1135" t="s">
        <v>1053</v>
      </c>
      <c r="C1135">
        <v>0.18</v>
      </c>
      <c r="D1135" t="s">
        <v>155</v>
      </c>
      <c r="E1135">
        <v>35</v>
      </c>
      <c r="F1135">
        <f t="shared" si="21"/>
        <v>6.3</v>
      </c>
    </row>
    <row r="1136" spans="2:6">
      <c r="B1136" t="s">
        <v>198</v>
      </c>
      <c r="C1136">
        <v>0.02</v>
      </c>
      <c r="D1136" t="s">
        <v>148</v>
      </c>
      <c r="E1136">
        <v>659</v>
      </c>
      <c r="F1136">
        <f t="shared" si="21"/>
        <v>13.18</v>
      </c>
    </row>
    <row r="1137" spans="2:8">
      <c r="B1137" t="s">
        <v>199</v>
      </c>
      <c r="C1137">
        <v>0.01</v>
      </c>
      <c r="D1137" t="s">
        <v>2</v>
      </c>
      <c r="E1137">
        <v>659</v>
      </c>
      <c r="F1137">
        <f t="shared" si="21"/>
        <v>6.59</v>
      </c>
    </row>
    <row r="1138" spans="2:8">
      <c r="E1138" t="s">
        <v>1031</v>
      </c>
      <c r="F1138">
        <f>SUM(F1130:F1137)</f>
        <v>1933.23729</v>
      </c>
    </row>
    <row r="1145" spans="2:8">
      <c r="B1145" t="s">
        <v>1908</v>
      </c>
    </row>
    <row r="1147" spans="2:8">
      <c r="B1147" t="s">
        <v>1909</v>
      </c>
      <c r="C1147">
        <f>4.1*1.4*1.82</f>
        <v>10.4468</v>
      </c>
      <c r="D1147" t="s">
        <v>2</v>
      </c>
      <c r="E1147">
        <v>340.5</v>
      </c>
      <c r="F1147">
        <f t="shared" ref="F1147:F1163" si="22">ROUND(C1147*E1147,2)</f>
        <v>3557.14</v>
      </c>
    </row>
    <row r="1148" spans="2:8">
      <c r="B1148" t="s">
        <v>1910</v>
      </c>
      <c r="C1148">
        <f>ROUND(C1147*1.35,2)</f>
        <v>14.1</v>
      </c>
      <c r="D1148" t="s">
        <v>2</v>
      </c>
      <c r="E1148">
        <v>165</v>
      </c>
      <c r="F1148">
        <f t="shared" si="22"/>
        <v>2326.5</v>
      </c>
      <c r="H1148">
        <f>0.8*0.8*0.8*1.25</f>
        <v>0.64</v>
      </c>
    </row>
    <row r="1149" spans="2:8">
      <c r="B1149" t="s">
        <v>1911</v>
      </c>
      <c r="C1149">
        <v>5.0199999999999996</v>
      </c>
      <c r="D1149" t="s">
        <v>2</v>
      </c>
      <c r="E1149">
        <f>+F808</f>
        <v>3500</v>
      </c>
      <c r="F1149">
        <f t="shared" si="22"/>
        <v>17570</v>
      </c>
    </row>
    <row r="1150" spans="2:8">
      <c r="B1150" t="s">
        <v>1912</v>
      </c>
      <c r="C1150">
        <v>0.18</v>
      </c>
      <c r="D1150" t="s">
        <v>126</v>
      </c>
      <c r="E1150">
        <f>+F791</f>
        <v>1922.58</v>
      </c>
      <c r="F1150">
        <f t="shared" si="22"/>
        <v>346.06</v>
      </c>
    </row>
    <row r="1152" spans="2:8">
      <c r="B1152" t="s">
        <v>1916</v>
      </c>
    </row>
    <row r="1153" spans="2:6">
      <c r="B1153" t="s">
        <v>901</v>
      </c>
      <c r="C1153">
        <v>7.28</v>
      </c>
      <c r="D1153" t="s">
        <v>11</v>
      </c>
      <c r="E1153">
        <f>+F1107</f>
        <v>2379.52619</v>
      </c>
      <c r="F1153">
        <f t="shared" si="22"/>
        <v>17322.95</v>
      </c>
    </row>
    <row r="1154" spans="2:6">
      <c r="B1154" t="s">
        <v>1944</v>
      </c>
      <c r="C1154">
        <v>3.64</v>
      </c>
      <c r="D1154" t="s">
        <v>11</v>
      </c>
      <c r="E1154">
        <f>+F1107</f>
        <v>2379.52619</v>
      </c>
      <c r="F1154">
        <f t="shared" si="22"/>
        <v>8661.48</v>
      </c>
    </row>
    <row r="1155" spans="2:6">
      <c r="B1155" t="s">
        <v>1945</v>
      </c>
      <c r="C1155">
        <v>3.92</v>
      </c>
      <c r="D1155" t="s">
        <v>11</v>
      </c>
      <c r="E1155">
        <f>+F1107</f>
        <v>2379.52619</v>
      </c>
      <c r="F1155">
        <f t="shared" si="22"/>
        <v>9327.74</v>
      </c>
    </row>
    <row r="1156" spans="2:6">
      <c r="B1156" t="s">
        <v>1947</v>
      </c>
    </row>
    <row r="1157" spans="2:6">
      <c r="B1157" t="s">
        <v>1949</v>
      </c>
      <c r="C1157">
        <v>4</v>
      </c>
      <c r="D1157" t="s">
        <v>976</v>
      </c>
      <c r="E1157">
        <v>1350.07</v>
      </c>
      <c r="F1157">
        <f>+E1157*C1157</f>
        <v>5400.28</v>
      </c>
    </row>
    <row r="1158" spans="2:6">
      <c r="B1158" t="s">
        <v>1948</v>
      </c>
      <c r="C1158">
        <v>2</v>
      </c>
      <c r="D1158" t="s">
        <v>976</v>
      </c>
      <c r="E1158">
        <v>226.42</v>
      </c>
      <c r="F1158">
        <f>+E1158*C1158</f>
        <v>452.84</v>
      </c>
    </row>
    <row r="1159" spans="2:6">
      <c r="B1159" t="s">
        <v>1946</v>
      </c>
      <c r="C1159">
        <f>0.9*1*0.7</f>
        <v>0.63</v>
      </c>
      <c r="D1159" t="s">
        <v>2</v>
      </c>
      <c r="E1159">
        <f>+F21</f>
        <v>1215</v>
      </c>
    </row>
    <row r="1160" spans="2:6">
      <c r="B1160" t="s">
        <v>1913</v>
      </c>
      <c r="C1160">
        <v>0.03</v>
      </c>
      <c r="D1160" t="s">
        <v>2</v>
      </c>
      <c r="E1160">
        <f>+E1149</f>
        <v>3500</v>
      </c>
      <c r="F1160">
        <f t="shared" si="22"/>
        <v>105</v>
      </c>
    </row>
    <row r="1161" spans="2:6">
      <c r="B1161" t="s">
        <v>1914</v>
      </c>
      <c r="C1161">
        <v>0.01</v>
      </c>
      <c r="D1161" t="s">
        <v>2</v>
      </c>
      <c r="E1161">
        <f>+E1160*1.07</f>
        <v>3745</v>
      </c>
      <c r="F1161">
        <f>ROUND(C1161*E1161,2)</f>
        <v>37.450000000000003</v>
      </c>
    </row>
    <row r="1162" spans="2:6">
      <c r="B1162" t="s">
        <v>1951</v>
      </c>
      <c r="C1162">
        <v>3</v>
      </c>
      <c r="D1162" t="s">
        <v>3</v>
      </c>
      <c r="E1162">
        <f>+F1177</f>
        <v>33145.550000000003</v>
      </c>
      <c r="F1162">
        <f>ROUND(C1162*E1162,2)</f>
        <v>99436.65</v>
      </c>
    </row>
    <row r="1163" spans="2:6">
      <c r="B1163" t="s">
        <v>1698</v>
      </c>
      <c r="C1163">
        <v>1</v>
      </c>
      <c r="D1163" t="s">
        <v>3</v>
      </c>
      <c r="E1163">
        <v>2000</v>
      </c>
      <c r="F1163">
        <f t="shared" si="22"/>
        <v>2000</v>
      </c>
    </row>
    <row r="1164" spans="2:6">
      <c r="E1164" t="s">
        <v>1039</v>
      </c>
      <c r="F1164">
        <f>SUM(F1147:F1163)</f>
        <v>166544.09</v>
      </c>
    </row>
    <row r="1166" spans="2:6">
      <c r="B1166" t="s">
        <v>1939</v>
      </c>
    </row>
    <row r="1167" spans="2:6">
      <c r="B1167" t="s">
        <v>1940</v>
      </c>
      <c r="C1167">
        <v>75</v>
      </c>
      <c r="D1167" t="s">
        <v>800</v>
      </c>
      <c r="E1167">
        <v>1000</v>
      </c>
      <c r="F1167">
        <f>ROUND(C1167*E1167,2)</f>
        <v>75000</v>
      </c>
    </row>
    <row r="1168" spans="2:6">
      <c r="B1168" t="s">
        <v>1941</v>
      </c>
      <c r="C1168">
        <v>75</v>
      </c>
      <c r="D1168" t="s">
        <v>800</v>
      </c>
      <c r="E1168">
        <v>300</v>
      </c>
      <c r="F1168">
        <f>ROUND(C1168*E1168,2)</f>
        <v>22500</v>
      </c>
    </row>
    <row r="1169" spans="2:10">
      <c r="B1169" t="s">
        <v>1942</v>
      </c>
      <c r="C1169">
        <v>50</v>
      </c>
      <c r="D1169" t="s">
        <v>800</v>
      </c>
      <c r="E1169">
        <v>35</v>
      </c>
      <c r="F1169">
        <f>ROUND(C1169*E1169,2)</f>
        <v>1750</v>
      </c>
    </row>
    <row r="1170" spans="2:10">
      <c r="B1170" t="s">
        <v>1943</v>
      </c>
      <c r="C1170">
        <v>75</v>
      </c>
      <c r="D1170" t="s">
        <v>800</v>
      </c>
      <c r="E1170">
        <v>1000</v>
      </c>
      <c r="F1170">
        <f>ROUND(C1170*E1170,2)</f>
        <v>75000</v>
      </c>
    </row>
    <row r="1171" spans="2:10">
      <c r="E1171" t="s">
        <v>11</v>
      </c>
      <c r="F1171">
        <f>ROUND(SUM(F1167:F1170),2)</f>
        <v>174250</v>
      </c>
    </row>
    <row r="1173" spans="2:10" ht="12.6" customHeight="1">
      <c r="B1173" t="s">
        <v>1950</v>
      </c>
    </row>
    <row r="1174" spans="2:10" ht="12.6" customHeight="1">
      <c r="B1174" t="s">
        <v>1682</v>
      </c>
      <c r="C1174">
        <f>0.7*0.7*0.05</f>
        <v>2.4500000000000001E-2</v>
      </c>
      <c r="D1174" t="s">
        <v>2</v>
      </c>
      <c r="E1174">
        <f>+F303</f>
        <v>7531.68</v>
      </c>
      <c r="F1174">
        <f>C1174*E1174</f>
        <v>184.52616</v>
      </c>
    </row>
    <row r="1175" spans="2:10" ht="12.6" customHeight="1">
      <c r="B1175" t="s">
        <v>1859</v>
      </c>
      <c r="C1175">
        <v>11.14</v>
      </c>
      <c r="D1175" t="s">
        <v>126</v>
      </c>
      <c r="E1175">
        <f>+F62</f>
        <v>2913</v>
      </c>
      <c r="F1175">
        <f>C1175*E1175</f>
        <v>32450.82</v>
      </c>
      <c r="H1175">
        <f>3*0.9*2</f>
        <v>5.4</v>
      </c>
    </row>
    <row r="1176" spans="2:10" ht="12.6" customHeight="1">
      <c r="B1176" t="s">
        <v>1862</v>
      </c>
      <c r="C1176">
        <f>1/(0.7*0.7)</f>
        <v>2.0408163265306101</v>
      </c>
      <c r="D1176" t="s">
        <v>1</v>
      </c>
      <c r="E1176">
        <v>250</v>
      </c>
      <c r="F1176">
        <f>C1176*E1176</f>
        <v>510.20408163265301</v>
      </c>
    </row>
    <row r="1177" spans="2:10" ht="12.6" customHeight="1">
      <c r="E1177" t="s">
        <v>1031</v>
      </c>
      <c r="F1177">
        <f>ROUND(SUM(F1174:F1176),2)</f>
        <v>33145.550000000003</v>
      </c>
      <c r="H1177">
        <v>8</v>
      </c>
      <c r="I1177">
        <v>0.75</v>
      </c>
      <c r="J1177">
        <f>+I1177*H1177</f>
        <v>6</v>
      </c>
    </row>
    <row r="1178" spans="2:10">
      <c r="J1178">
        <f>0.526*J1177</f>
        <v>3.1560000000000001</v>
      </c>
    </row>
    <row r="1179" spans="2:10">
      <c r="B1179" t="s">
        <v>900</v>
      </c>
    </row>
    <row r="1181" spans="2:10">
      <c r="B1181" t="s">
        <v>1952</v>
      </c>
      <c r="C1181">
        <v>0.28999999999999998</v>
      </c>
      <c r="D1181" t="s">
        <v>2</v>
      </c>
      <c r="E1181">
        <f>+F303</f>
        <v>7531.68</v>
      </c>
      <c r="F1181">
        <f t="shared" ref="F1181:F1186" si="23">ROUND(C1181*E1181,2)</f>
        <v>2184.19</v>
      </c>
    </row>
    <row r="1182" spans="2:10">
      <c r="B1182" t="s">
        <v>1953</v>
      </c>
      <c r="C1182">
        <v>3.78</v>
      </c>
      <c r="D1182" t="s">
        <v>11</v>
      </c>
      <c r="E1182">
        <f>+F1069</f>
        <v>0</v>
      </c>
      <c r="F1182">
        <f t="shared" si="23"/>
        <v>0</v>
      </c>
    </row>
    <row r="1183" spans="2:10">
      <c r="B1183" t="s">
        <v>1954</v>
      </c>
      <c r="C1183">
        <v>0.27</v>
      </c>
      <c r="D1183" t="s">
        <v>126</v>
      </c>
      <c r="E1183">
        <f>+F62</f>
        <v>2913</v>
      </c>
      <c r="F1183">
        <f t="shared" si="23"/>
        <v>786.51</v>
      </c>
    </row>
    <row r="1184" spans="2:10">
      <c r="B1184" t="s">
        <v>377</v>
      </c>
      <c r="C1184">
        <v>3.24</v>
      </c>
      <c r="D1184" t="s">
        <v>11</v>
      </c>
      <c r="E1184">
        <f>+C936</f>
        <v>0</v>
      </c>
      <c r="F1184">
        <f t="shared" si="23"/>
        <v>0</v>
      </c>
    </row>
    <row r="1185" spans="2:6">
      <c r="B1185" t="s">
        <v>1955</v>
      </c>
      <c r="C1185">
        <v>1.58</v>
      </c>
      <c r="D1185" t="s">
        <v>1896</v>
      </c>
      <c r="E1185">
        <v>315.23</v>
      </c>
      <c r="F1185">
        <f t="shared" si="23"/>
        <v>498.06</v>
      </c>
    </row>
    <row r="1186" spans="2:6">
      <c r="B1186" t="s">
        <v>697</v>
      </c>
      <c r="C1186">
        <v>1</v>
      </c>
      <c r="D1186" t="s">
        <v>3</v>
      </c>
      <c r="E1186">
        <v>450</v>
      </c>
      <c r="F1186">
        <f t="shared" si="23"/>
        <v>450</v>
      </c>
    </row>
    <row r="1187" spans="2:6">
      <c r="E1187" t="s">
        <v>1031</v>
      </c>
      <c r="F1187">
        <f>SUM(F1181:F1186)</f>
        <v>3918.76</v>
      </c>
    </row>
    <row r="1189" spans="2:6">
      <c r="B1189" t="s">
        <v>1159</v>
      </c>
    </row>
    <row r="1191" spans="2:6">
      <c r="B1191" t="s">
        <v>268</v>
      </c>
      <c r="C1191">
        <v>2.2599999999999998</v>
      </c>
      <c r="D1191" t="s">
        <v>269</v>
      </c>
    </row>
    <row r="1192" spans="2:6">
      <c r="B1192" t="s">
        <v>270</v>
      </c>
    </row>
    <row r="1193" spans="2:6">
      <c r="B1193" t="s">
        <v>271</v>
      </c>
      <c r="C1193">
        <v>1.05</v>
      </c>
      <c r="D1193" t="s">
        <v>2</v>
      </c>
      <c r="E1193">
        <f>+E1035</f>
        <v>0</v>
      </c>
      <c r="F1193">
        <f>C1193*E1193</f>
        <v>0</v>
      </c>
    </row>
    <row r="1194" spans="2:6">
      <c r="B1194" t="s">
        <v>272</v>
      </c>
      <c r="C1194">
        <f>+C1191</f>
        <v>2.2599999999999998</v>
      </c>
      <c r="D1194" t="s">
        <v>126</v>
      </c>
      <c r="E1194" t="e">
        <f>+#REF!</f>
        <v>#REF!</v>
      </c>
      <c r="F1194" t="e">
        <f>C1194*E1194</f>
        <v>#REF!</v>
      </c>
    </row>
    <row r="1195" spans="2:6">
      <c r="E1195" t="s">
        <v>274</v>
      </c>
      <c r="F1195" t="e">
        <f>SUM(F1193:F1194)</f>
        <v>#REF!</v>
      </c>
    </row>
    <row r="1196" spans="2:6">
      <c r="E1196" t="s">
        <v>275</v>
      </c>
      <c r="F1196" t="e">
        <v>#REF!</v>
      </c>
    </row>
    <row r="1197" spans="2:6">
      <c r="B1197" t="s">
        <v>276</v>
      </c>
    </row>
    <row r="1198" spans="2:6">
      <c r="B1198" t="s">
        <v>1158</v>
      </c>
      <c r="C1198">
        <v>0.25</v>
      </c>
      <c r="D1198" t="s">
        <v>3</v>
      </c>
      <c r="E1198">
        <v>1770.16</v>
      </c>
      <c r="F1198">
        <f>C1198*E1198</f>
        <v>442.54</v>
      </c>
    </row>
    <row r="1199" spans="2:6">
      <c r="B1199" t="s">
        <v>280</v>
      </c>
      <c r="C1199">
        <v>0.1</v>
      </c>
      <c r="D1199" t="s">
        <v>183</v>
      </c>
      <c r="E1199">
        <v>35</v>
      </c>
      <c r="F1199">
        <f>C1199*E1199</f>
        <v>3.5</v>
      </c>
    </row>
    <row r="1200" spans="2:6">
      <c r="B1200" t="s">
        <v>63</v>
      </c>
      <c r="C1200">
        <v>30</v>
      </c>
      <c r="D1200" t="s">
        <v>46</v>
      </c>
      <c r="E1200">
        <f>+SUM(F1198:F1199)</f>
        <v>446.04</v>
      </c>
      <c r="F1200">
        <f>+(C1200/100)*E1200</f>
        <v>133.81200000000001</v>
      </c>
    </row>
    <row r="1201" spans="2:6">
      <c r="E1201" t="s">
        <v>275</v>
      </c>
      <c r="F1201">
        <f>SUM(F1198:F1200)</f>
        <v>579.85199999999998</v>
      </c>
    </row>
    <row r="1203" spans="2:6">
      <c r="C1203" t="s">
        <v>281</v>
      </c>
      <c r="F1203" t="e">
        <f>+F1196+F1201</f>
        <v>#REF!</v>
      </c>
    </row>
    <row r="1205" spans="2:6">
      <c r="B1205" t="s">
        <v>1160</v>
      </c>
    </row>
    <row r="1207" spans="2:6">
      <c r="B1207" t="s">
        <v>268</v>
      </c>
      <c r="C1207">
        <v>3.26</v>
      </c>
      <c r="D1207" t="s">
        <v>269</v>
      </c>
    </row>
    <row r="1208" spans="2:6">
      <c r="B1208" t="s">
        <v>270</v>
      </c>
    </row>
    <row r="1209" spans="2:6">
      <c r="B1209" t="s">
        <v>271</v>
      </c>
      <c r="C1209">
        <v>1.05</v>
      </c>
      <c r="D1209" t="s">
        <v>2</v>
      </c>
      <c r="E1209">
        <f>+E1193</f>
        <v>0</v>
      </c>
      <c r="F1209">
        <f>C1209*E1209</f>
        <v>0</v>
      </c>
    </row>
    <row r="1210" spans="2:6">
      <c r="B1210" t="s">
        <v>272</v>
      </c>
      <c r="C1210">
        <f>+C1207</f>
        <v>3.26</v>
      </c>
      <c r="D1210" t="s">
        <v>126</v>
      </c>
      <c r="E1210">
        <f>+E1175</f>
        <v>2913</v>
      </c>
      <c r="F1210">
        <f>C1210*E1210</f>
        <v>9496.3799999999992</v>
      </c>
    </row>
    <row r="1211" spans="2:6">
      <c r="E1211" t="s">
        <v>274</v>
      </c>
      <c r="F1211">
        <f>SUM(F1209:F1210)</f>
        <v>9496.3799999999992</v>
      </c>
    </row>
    <row r="1212" spans="2:6">
      <c r="E1212" t="s">
        <v>275</v>
      </c>
      <c r="F1212">
        <v>3323.7330000000002</v>
      </c>
    </row>
    <row r="1213" spans="2:6">
      <c r="B1213" t="s">
        <v>276</v>
      </c>
    </row>
    <row r="1214" spans="2:6">
      <c r="B1214" t="s">
        <v>1956</v>
      </c>
      <c r="C1214">
        <v>0.25</v>
      </c>
      <c r="D1214" t="s">
        <v>3</v>
      </c>
      <c r="E1214">
        <v>1770.16</v>
      </c>
      <c r="F1214">
        <f>C1214*E1214</f>
        <v>442.54</v>
      </c>
    </row>
    <row r="1215" spans="2:6">
      <c r="B1215" t="s">
        <v>280</v>
      </c>
      <c r="C1215">
        <v>0.1</v>
      </c>
      <c r="D1215" t="s">
        <v>183</v>
      </c>
      <c r="E1215">
        <v>35</v>
      </c>
      <c r="F1215">
        <f>C1215*E1215</f>
        <v>3.5</v>
      </c>
    </row>
    <row r="1216" spans="2:6">
      <c r="B1216" t="s">
        <v>63</v>
      </c>
      <c r="C1216">
        <v>30</v>
      </c>
      <c r="D1216" t="s">
        <v>46</v>
      </c>
      <c r="E1216">
        <f>+SUM(F1214:F1215)</f>
        <v>446.04</v>
      </c>
      <c r="F1216">
        <f>+(C1216/100)*E1216</f>
        <v>133.81200000000001</v>
      </c>
    </row>
    <row r="1217" spans="2:6">
      <c r="E1217" t="s">
        <v>275</v>
      </c>
      <c r="F1217">
        <f>SUM(F1214:F1216)</f>
        <v>579.85199999999998</v>
      </c>
    </row>
    <row r="1219" spans="2:6">
      <c r="C1219" t="s">
        <v>281</v>
      </c>
      <c r="F1219">
        <f>+F1212+F1217</f>
        <v>3903.585</v>
      </c>
    </row>
    <row r="1221" spans="2:6">
      <c r="B1221" t="s">
        <v>1161</v>
      </c>
    </row>
    <row r="1222" spans="2:6">
      <c r="B1222" t="s">
        <v>358</v>
      </c>
      <c r="C1222">
        <v>1</v>
      </c>
      <c r="D1222" t="s">
        <v>47</v>
      </c>
      <c r="E1222">
        <v>425</v>
      </c>
      <c r="F1222">
        <f>C1222*E1222</f>
        <v>425</v>
      </c>
    </row>
    <row r="1223" spans="2:6">
      <c r="B1223" t="s">
        <v>331</v>
      </c>
      <c r="C1223">
        <v>2</v>
      </c>
      <c r="D1223" t="s">
        <v>138</v>
      </c>
      <c r="E1223">
        <v>196.87</v>
      </c>
      <c r="F1223">
        <f>C1223*E1223</f>
        <v>393.74</v>
      </c>
    </row>
    <row r="1224" spans="2:6">
      <c r="B1224" t="s">
        <v>1162</v>
      </c>
      <c r="E1224">
        <v>200</v>
      </c>
      <c r="F1224">
        <f>0.15*F1223</f>
        <v>59.061</v>
      </c>
    </row>
    <row r="1225" spans="2:6">
      <c r="B1225" t="s">
        <v>1163</v>
      </c>
      <c r="C1225">
        <v>1</v>
      </c>
      <c r="D1225" t="s">
        <v>47</v>
      </c>
      <c r="E1225">
        <v>100</v>
      </c>
      <c r="F1225">
        <f>C1225*E1225</f>
        <v>100</v>
      </c>
    </row>
    <row r="1226" spans="2:6">
      <c r="B1226" t="s">
        <v>1163</v>
      </c>
      <c r="C1226">
        <v>1</v>
      </c>
      <c r="D1226" t="s">
        <v>47</v>
      </c>
      <c r="E1226">
        <v>100</v>
      </c>
      <c r="F1226">
        <f>C1226*E1226</f>
        <v>100</v>
      </c>
    </row>
    <row r="1227" spans="2:6">
      <c r="B1227" t="s">
        <v>330</v>
      </c>
      <c r="C1227">
        <v>1</v>
      </c>
      <c r="D1227" t="s">
        <v>47</v>
      </c>
      <c r="E1227">
        <v>68.75</v>
      </c>
      <c r="F1227">
        <f>C1227*E1227</f>
        <v>68.75</v>
      </c>
    </row>
    <row r="1228" spans="2:6">
      <c r="B1228" t="s">
        <v>330</v>
      </c>
      <c r="C1228">
        <v>1</v>
      </c>
      <c r="D1228" t="s">
        <v>47</v>
      </c>
      <c r="E1228">
        <v>68.75</v>
      </c>
      <c r="F1228">
        <f>C1228*E1228</f>
        <v>68.75</v>
      </c>
    </row>
    <row r="1229" spans="2:6">
      <c r="B1229" t="s">
        <v>1164</v>
      </c>
      <c r="F1229">
        <f>250/8</f>
        <v>31.25</v>
      </c>
    </row>
    <row r="1230" spans="2:6">
      <c r="B1230" t="s">
        <v>1165</v>
      </c>
      <c r="F1230">
        <f>200/8/1.035</f>
        <v>24.154589371980698</v>
      </c>
    </row>
    <row r="1231" spans="2:6">
      <c r="E1231" t="s">
        <v>296</v>
      </c>
      <c r="F1231">
        <f>SUM(F1222:F1230)</f>
        <v>1270.7055893719801</v>
      </c>
    </row>
    <row r="1232" spans="2:6">
      <c r="B1232" t="s">
        <v>1166</v>
      </c>
      <c r="C1232">
        <v>0.64</v>
      </c>
    </row>
    <row r="1233" spans="2:6">
      <c r="E1233" t="s">
        <v>298</v>
      </c>
      <c r="F1233">
        <f>ROUND(F1231/C1232,2)</f>
        <v>1985.48</v>
      </c>
    </row>
    <row r="1235" spans="2:6">
      <c r="E1235" t="s">
        <v>1167</v>
      </c>
      <c r="F1235">
        <f>+F1231*8</f>
        <v>10165.644714975801</v>
      </c>
    </row>
    <row r="1237" spans="2:6">
      <c r="B1237" t="s">
        <v>1192</v>
      </c>
    </row>
    <row r="1239" spans="2:6">
      <c r="B1239" t="s">
        <v>268</v>
      </c>
      <c r="C1239">
        <v>0.84</v>
      </c>
      <c r="D1239" t="s">
        <v>269</v>
      </c>
    </row>
    <row r="1240" spans="2:6">
      <c r="B1240" t="s">
        <v>270</v>
      </c>
    </row>
    <row r="1241" spans="2:6">
      <c r="B1241" t="s">
        <v>271</v>
      </c>
      <c r="C1241">
        <v>1.05</v>
      </c>
      <c r="D1241" t="s">
        <v>2</v>
      </c>
      <c r="E1241" t="e">
        <f>+#REF!</f>
        <v>#REF!</v>
      </c>
      <c r="F1241" t="e">
        <f>C1241*E1241</f>
        <v>#REF!</v>
      </c>
    </row>
    <row r="1242" spans="2:6">
      <c r="B1242" t="s">
        <v>272</v>
      </c>
      <c r="C1242">
        <f>+C1239</f>
        <v>0.84</v>
      </c>
      <c r="D1242" t="s">
        <v>126</v>
      </c>
      <c r="E1242">
        <f>+F62</f>
        <v>2913</v>
      </c>
      <c r="F1242">
        <f>C1242*E1242</f>
        <v>2446.92</v>
      </c>
    </row>
    <row r="1243" spans="2:6">
      <c r="E1243" t="s">
        <v>274</v>
      </c>
      <c r="F1243" t="e">
        <f>SUM(F1241:F1242)</f>
        <v>#REF!</v>
      </c>
    </row>
    <row r="1244" spans="2:6">
      <c r="C1244">
        <v>1.64</v>
      </c>
      <c r="E1244" t="s">
        <v>1194</v>
      </c>
      <c r="F1244" t="e">
        <f>+C1244*F1243</f>
        <v>#REF!</v>
      </c>
    </row>
    <row r="1245" spans="2:6">
      <c r="B1245" t="s">
        <v>276</v>
      </c>
    </row>
    <row r="1246" spans="2:6" ht="27.75" customHeight="1">
      <c r="B1246" t="s">
        <v>1158</v>
      </c>
      <c r="C1246">
        <v>2</v>
      </c>
      <c r="D1246" t="s">
        <v>3</v>
      </c>
      <c r="E1246">
        <v>750</v>
      </c>
      <c r="F1246">
        <f>C1246*E1246</f>
        <v>1500</v>
      </c>
    </row>
    <row r="1247" spans="2:6">
      <c r="B1247" t="s">
        <v>278</v>
      </c>
      <c r="C1247">
        <v>1.03</v>
      </c>
      <c r="D1247" t="s">
        <v>279</v>
      </c>
      <c r="E1247">
        <v>45</v>
      </c>
      <c r="F1247">
        <f>+E1247*C1247</f>
        <v>46.35</v>
      </c>
    </row>
    <row r="1248" spans="2:6">
      <c r="B1248" t="s">
        <v>280</v>
      </c>
      <c r="C1248">
        <v>2</v>
      </c>
      <c r="D1248" t="s">
        <v>183</v>
      </c>
      <c r="E1248">
        <v>45</v>
      </c>
      <c r="F1248">
        <f>+E1248*C1248</f>
        <v>90</v>
      </c>
    </row>
    <row r="1249" spans="2:6">
      <c r="B1249" t="s">
        <v>63</v>
      </c>
      <c r="C1249">
        <v>1</v>
      </c>
      <c r="D1249" t="s">
        <v>42</v>
      </c>
      <c r="E1249">
        <v>1200</v>
      </c>
      <c r="F1249">
        <f>+(C1249)*E1249</f>
        <v>1200</v>
      </c>
    </row>
    <row r="1250" spans="2:6">
      <c r="E1250" t="s">
        <v>1195</v>
      </c>
      <c r="F1250">
        <f>SUM(F1246:F1249)</f>
        <v>2836.35</v>
      </c>
    </row>
    <row r="1252" spans="2:6">
      <c r="C1252" t="s">
        <v>281</v>
      </c>
      <c r="F1252" t="e">
        <f>+F1244+F1250</f>
        <v>#REF!</v>
      </c>
    </row>
    <row r="1254" spans="2:6">
      <c r="B1254" t="s">
        <v>38</v>
      </c>
    </row>
    <row r="1255" spans="2:6">
      <c r="B1255" t="s">
        <v>282</v>
      </c>
      <c r="C1255">
        <v>0.77</v>
      </c>
      <c r="D1255" t="s">
        <v>2</v>
      </c>
      <c r="E1255">
        <v>240.23</v>
      </c>
      <c r="F1255">
        <f>C1255*E1255</f>
        <v>184.97710000000001</v>
      </c>
    </row>
    <row r="1256" spans="2:6">
      <c r="F1256">
        <f>F1255</f>
        <v>184.97710000000001</v>
      </c>
    </row>
    <row r="1259" spans="2:6">
      <c r="E1259" t="s">
        <v>1196</v>
      </c>
      <c r="F1259" t="e">
        <f>F1256+F1252</f>
        <v>#REF!</v>
      </c>
    </row>
    <row r="1262" spans="2:6" ht="42" customHeight="1">
      <c r="C1262" t="s">
        <v>1168</v>
      </c>
    </row>
    <row r="1264" spans="2:6">
      <c r="C1264" t="s">
        <v>268</v>
      </c>
      <c r="D1264">
        <v>0.51</v>
      </c>
      <c r="E1264" t="s">
        <v>269</v>
      </c>
    </row>
    <row r="1265" spans="3:7">
      <c r="C1265" t="s">
        <v>270</v>
      </c>
    </row>
    <row r="1266" spans="3:7">
      <c r="C1266" t="s">
        <v>271</v>
      </c>
      <c r="D1266">
        <v>1.05</v>
      </c>
      <c r="E1266" t="s">
        <v>2</v>
      </c>
      <c r="F1266">
        <f>+F1201</f>
        <v>579.85199999999998</v>
      </c>
      <c r="G1266">
        <f>D1266*F1266</f>
        <v>608.84460000000001</v>
      </c>
    </row>
    <row r="1267" spans="3:7">
      <c r="C1267" t="s">
        <v>272</v>
      </c>
      <c r="D1267">
        <v>0.51</v>
      </c>
      <c r="E1267" t="s">
        <v>126</v>
      </c>
      <c r="F1267">
        <f>+F1202</f>
        <v>0</v>
      </c>
      <c r="G1267">
        <f>D1267*F1267</f>
        <v>0</v>
      </c>
    </row>
    <row r="1268" spans="3:7">
      <c r="C1268" t="s">
        <v>273</v>
      </c>
      <c r="D1268">
        <v>0.97</v>
      </c>
      <c r="E1268" t="s">
        <v>118</v>
      </c>
      <c r="F1268" t="e">
        <f>+F1203</f>
        <v>#REF!</v>
      </c>
      <c r="G1268" t="e">
        <f>D1268*F1268</f>
        <v>#REF!</v>
      </c>
    </row>
    <row r="1269" spans="3:7">
      <c r="F1269" t="s">
        <v>274</v>
      </c>
      <c r="G1269" t="e">
        <f>SUM(G1266:G1268)</f>
        <v>#REF!</v>
      </c>
    </row>
    <row r="1270" spans="3:7">
      <c r="F1270" t="s">
        <v>275</v>
      </c>
      <c r="G1270" t="e">
        <f>(0.6*0.75+0.3*0.45)/2*1.45*G1269</f>
        <v>#REF!</v>
      </c>
    </row>
    <row r="1271" spans="3:7">
      <c r="C1271" t="s">
        <v>276</v>
      </c>
    </row>
    <row r="1272" spans="3:7">
      <c r="C1272" t="s">
        <v>1158</v>
      </c>
      <c r="D1272">
        <v>1</v>
      </c>
      <c r="E1272" t="s">
        <v>3</v>
      </c>
      <c r="F1272">
        <v>1850</v>
      </c>
      <c r="G1272">
        <f>D1272*F1272</f>
        <v>1850</v>
      </c>
    </row>
    <row r="1273" spans="3:7">
      <c r="C1273" t="s">
        <v>278</v>
      </c>
      <c r="D1273">
        <v>3.46</v>
      </c>
      <c r="E1273" t="s">
        <v>279</v>
      </c>
      <c r="F1273">
        <v>45</v>
      </c>
      <c r="G1273">
        <f>D1273*F1273</f>
        <v>155.69999999999999</v>
      </c>
    </row>
    <row r="1274" spans="3:7">
      <c r="C1274" t="s">
        <v>280</v>
      </c>
      <c r="D1274">
        <v>0.1</v>
      </c>
      <c r="E1274" t="s">
        <v>183</v>
      </c>
      <c r="F1274">
        <v>15.78</v>
      </c>
      <c r="G1274">
        <f>D1274*F1274</f>
        <v>1.5780000000000001</v>
      </c>
    </row>
    <row r="1275" spans="3:7">
      <c r="C1275" t="s">
        <v>63</v>
      </c>
      <c r="D1275">
        <v>30</v>
      </c>
      <c r="E1275" t="s">
        <v>46</v>
      </c>
      <c r="F1275">
        <f>+SUM(G1272:G1274)</f>
        <v>2007.278</v>
      </c>
      <c r="G1275">
        <f>+(D1275/100)*F1275</f>
        <v>602.18340000000001</v>
      </c>
    </row>
    <row r="1276" spans="3:7">
      <c r="F1276" t="s">
        <v>275</v>
      </c>
      <c r="G1276">
        <f>SUM(G1272:G1275)</f>
        <v>2609.4614000000001</v>
      </c>
    </row>
    <row r="1278" spans="3:7">
      <c r="C1278" t="s">
        <v>1169</v>
      </c>
    </row>
    <row r="1279" spans="3:7">
      <c r="C1279" t="s">
        <v>1170</v>
      </c>
      <c r="D1279">
        <v>0.42</v>
      </c>
      <c r="E1279" t="s">
        <v>2</v>
      </c>
      <c r="F1279">
        <f>+F1214</f>
        <v>442.54</v>
      </c>
      <c r="G1279">
        <f>D1279*F1279</f>
        <v>185.86680000000001</v>
      </c>
    </row>
    <row r="1280" spans="3:7">
      <c r="C1280" t="s">
        <v>1171</v>
      </c>
      <c r="D1280">
        <f>D1279*1.2</f>
        <v>0.504</v>
      </c>
      <c r="E1280" t="s">
        <v>2</v>
      </c>
      <c r="F1280">
        <v>90</v>
      </c>
      <c r="G1280">
        <f>D1280*F1280</f>
        <v>45.36</v>
      </c>
    </row>
    <row r="1281" spans="3:7">
      <c r="F1281" t="s">
        <v>275</v>
      </c>
      <c r="G1281">
        <f>SUM(G1279:G1280)</f>
        <v>231.2268</v>
      </c>
    </row>
    <row r="1283" spans="3:7">
      <c r="C1283" t="s">
        <v>1172</v>
      </c>
    </row>
    <row r="1285" spans="3:7">
      <c r="C1285" t="s">
        <v>1173</v>
      </c>
    </row>
    <row r="1286" spans="3:7">
      <c r="C1286" t="s">
        <v>151</v>
      </c>
      <c r="D1286">
        <f>0.42*0.45</f>
        <v>0.189</v>
      </c>
      <c r="E1286" t="s">
        <v>2</v>
      </c>
      <c r="F1286">
        <f>935.52</f>
        <v>935.52</v>
      </c>
      <c r="G1286">
        <f>ROUND(F1286*D1286,2)</f>
        <v>176.81</v>
      </c>
    </row>
    <row r="1287" spans="3:7">
      <c r="C1287" t="s">
        <v>124</v>
      </c>
      <c r="D1287">
        <f>0.42*0.9</f>
        <v>0.378</v>
      </c>
      <c r="E1287" t="s">
        <v>2</v>
      </c>
      <c r="F1287">
        <f>+F1286</f>
        <v>935.52</v>
      </c>
      <c r="G1287">
        <f>ROUND(F1287*D1287,2)</f>
        <v>353.63</v>
      </c>
    </row>
    <row r="1288" spans="3:7">
      <c r="C1288" t="s">
        <v>142</v>
      </c>
      <c r="D1288">
        <f>0.42*13</f>
        <v>5.46</v>
      </c>
      <c r="E1288" t="s">
        <v>1026</v>
      </c>
      <c r="F1288">
        <f>49.77</f>
        <v>49.77</v>
      </c>
      <c r="G1288">
        <f>ROUND(F1288*D1288,2)</f>
        <v>271.74</v>
      </c>
    </row>
    <row r="1289" spans="3:7">
      <c r="C1289" t="s">
        <v>1174</v>
      </c>
      <c r="D1289">
        <f>0.42*0.51</f>
        <v>0.2142</v>
      </c>
      <c r="E1289" t="s">
        <v>126</v>
      </c>
      <c r="F1289">
        <f>111.8</f>
        <v>111.8</v>
      </c>
      <c r="G1289">
        <f>ROUND(F1289*D1289,2)</f>
        <v>23.95</v>
      </c>
    </row>
    <row r="1292" spans="3:7">
      <c r="C1292" t="s">
        <v>1175</v>
      </c>
    </row>
    <row r="1293" spans="3:7">
      <c r="C1293" t="s">
        <v>151</v>
      </c>
      <c r="D1293">
        <f>+D1286</f>
        <v>0.189</v>
      </c>
      <c r="E1293" t="s">
        <v>2</v>
      </c>
      <c r="F1293">
        <v>2069.1999999999998</v>
      </c>
      <c r="G1293">
        <f>ROUND(F1293*D1293,2)</f>
        <v>391.08</v>
      </c>
    </row>
    <row r="1294" spans="3:7">
      <c r="C1294" t="s">
        <v>124</v>
      </c>
      <c r="D1294">
        <f>+D1287</f>
        <v>0.378</v>
      </c>
      <c r="E1294" t="s">
        <v>2</v>
      </c>
      <c r="F1294">
        <f>+F1293</f>
        <v>2069.1999999999998</v>
      </c>
      <c r="G1294">
        <f>ROUND(F1294*D1294,2)</f>
        <v>782.16</v>
      </c>
    </row>
    <row r="1295" spans="3:7">
      <c r="C1295" t="s">
        <v>142</v>
      </c>
      <c r="D1295">
        <f>+D1288</f>
        <v>5.46</v>
      </c>
      <c r="E1295" t="s">
        <v>2</v>
      </c>
      <c r="F1295">
        <v>62.08</v>
      </c>
      <c r="G1295">
        <f>ROUND(F1295*D1295,2)</f>
        <v>338.96</v>
      </c>
    </row>
    <row r="1296" spans="3:7">
      <c r="C1296" t="s">
        <v>1174</v>
      </c>
      <c r="D1296">
        <f>+D1289</f>
        <v>0.2142</v>
      </c>
      <c r="E1296" t="s">
        <v>2</v>
      </c>
      <c r="F1296">
        <v>135.69</v>
      </c>
      <c r="G1296">
        <f>ROUND(F1296*D1296,2)</f>
        <v>29.06</v>
      </c>
    </row>
    <row r="1297" spans="2:7">
      <c r="G1297">
        <f>SUM(G1286:G1296)</f>
        <v>2367.39</v>
      </c>
    </row>
    <row r="1299" spans="2:7">
      <c r="D1299" t="s">
        <v>281</v>
      </c>
      <c r="G1299" t="e">
        <f>G1297+G1281+G1276+G1270</f>
        <v>#REF!</v>
      </c>
    </row>
    <row r="1302" spans="2:7">
      <c r="B1302" t="s">
        <v>2090</v>
      </c>
    </row>
    <row r="1303" spans="2:7">
      <c r="B1303" t="s">
        <v>1140</v>
      </c>
    </row>
    <row r="1304" spans="2:7">
      <c r="B1304" t="s">
        <v>1141</v>
      </c>
    </row>
    <row r="1305" spans="2:7">
      <c r="B1305" t="s">
        <v>1060</v>
      </c>
      <c r="C1305">
        <v>1.05</v>
      </c>
      <c r="D1305" t="s">
        <v>2</v>
      </c>
      <c r="E1305">
        <f>+F47</f>
        <v>7063.5</v>
      </c>
      <c r="F1305">
        <f>ROUND(C1305*E1305,2)</f>
        <v>7416.68</v>
      </c>
    </row>
    <row r="1306" spans="2:7">
      <c r="B1306" t="s">
        <v>272</v>
      </c>
      <c r="C1306">
        <v>8.15</v>
      </c>
      <c r="D1306" t="s">
        <v>126</v>
      </c>
      <c r="E1306">
        <f>+F62</f>
        <v>2913</v>
      </c>
      <c r="F1306">
        <f>ROUND(C1306*E1306,2)</f>
        <v>23740.95</v>
      </c>
    </row>
    <row r="1307" spans="2:7">
      <c r="B1307" t="s">
        <v>1089</v>
      </c>
      <c r="C1307">
        <f>1/(0.15*0.15)</f>
        <v>44.4444444444444</v>
      </c>
      <c r="D1307" t="s">
        <v>1</v>
      </c>
      <c r="E1307">
        <v>250</v>
      </c>
      <c r="F1307">
        <f>ROUND(C1307*E1307,2)</f>
        <v>11111.11</v>
      </c>
    </row>
    <row r="1308" spans="2:7">
      <c r="F1308">
        <f>SUM(F1305:F1307)</f>
        <v>42268.74</v>
      </c>
    </row>
    <row r="1309" spans="2:7">
      <c r="B1309" t="s">
        <v>1142</v>
      </c>
      <c r="C1309">
        <f>0.15*0.15*1</f>
        <v>2.2499999999999999E-2</v>
      </c>
      <c r="D1309" t="s">
        <v>2</v>
      </c>
    </row>
    <row r="1310" spans="2:7">
      <c r="B1310" t="s">
        <v>2106</v>
      </c>
      <c r="C1310">
        <v>1</v>
      </c>
      <c r="D1310" t="s">
        <v>3</v>
      </c>
      <c r="E1310">
        <f>C1309*F1308</f>
        <v>951.04665</v>
      </c>
      <c r="F1310">
        <f>ROUND(C1310*E1310,2)</f>
        <v>951.05</v>
      </c>
    </row>
    <row r="1311" spans="2:7">
      <c r="B1311" t="s">
        <v>1153</v>
      </c>
      <c r="C1311">
        <v>0</v>
      </c>
      <c r="D1311" t="s">
        <v>11</v>
      </c>
      <c r="E1311">
        <v>225</v>
      </c>
      <c r="F1311">
        <f>ROUND(C1311*E1311,2)</f>
        <v>0</v>
      </c>
    </row>
    <row r="1312" spans="2:7">
      <c r="B1312" t="s">
        <v>177</v>
      </c>
      <c r="C1312">
        <v>0</v>
      </c>
      <c r="D1312" t="s">
        <v>1</v>
      </c>
      <c r="E1312">
        <f>+F786</f>
        <v>0</v>
      </c>
      <c r="F1312">
        <f>ROUND(C1312*E1312,2)</f>
        <v>0</v>
      </c>
    </row>
    <row r="1313" spans="2:6">
      <c r="B1313" t="s">
        <v>978</v>
      </c>
      <c r="C1313" t="s">
        <v>1144</v>
      </c>
      <c r="E1313" t="s">
        <v>2091</v>
      </c>
      <c r="F1313">
        <f>SUM(F1310:F1312)</f>
        <v>951.05</v>
      </c>
    </row>
    <row r="1315" spans="2:6">
      <c r="B1315" t="s">
        <v>1145</v>
      </c>
    </row>
    <row r="1316" spans="2:6">
      <c r="B1316" t="s">
        <v>2092</v>
      </c>
    </row>
    <row r="1317" spans="2:6">
      <c r="B1317" t="s">
        <v>2093</v>
      </c>
      <c r="C1317">
        <v>1.05</v>
      </c>
      <c r="D1317" t="s">
        <v>2</v>
      </c>
      <c r="E1317">
        <f>+F47</f>
        <v>7063.5</v>
      </c>
      <c r="F1317">
        <f>ROUND(C1317*E1317,2)</f>
        <v>7416.68</v>
      </c>
    </row>
    <row r="1318" spans="2:6">
      <c r="B1318" t="s">
        <v>272</v>
      </c>
      <c r="C1318">
        <v>3.98</v>
      </c>
      <c r="D1318" t="s">
        <v>126</v>
      </c>
      <c r="E1318">
        <f>+F62</f>
        <v>2913</v>
      </c>
      <c r="F1318">
        <f>ROUND(C1318*E1318,2)</f>
        <v>11593.74</v>
      </c>
    </row>
    <row r="1319" spans="2:6">
      <c r="B1319" t="s">
        <v>1089</v>
      </c>
      <c r="C1319">
        <v>16</v>
      </c>
      <c r="D1319" t="s">
        <v>1</v>
      </c>
      <c r="E1319">
        <v>250</v>
      </c>
      <c r="F1319">
        <f>ROUND(C1319*E1319,2)</f>
        <v>4000</v>
      </c>
    </row>
    <row r="1320" spans="2:6">
      <c r="F1320">
        <f>SUM(F1317:F1319)</f>
        <v>23010.42</v>
      </c>
    </row>
    <row r="1321" spans="2:6">
      <c r="B1321" t="s">
        <v>1147</v>
      </c>
      <c r="C1321">
        <f>0.25*0.25*3.85</f>
        <v>0.24062500000000001</v>
      </c>
      <c r="D1321" t="s">
        <v>2</v>
      </c>
    </row>
    <row r="1322" spans="2:6">
      <c r="B1322" t="s">
        <v>1148</v>
      </c>
      <c r="C1322">
        <f>F1320*C1321</f>
        <v>5536.8823124999999</v>
      </c>
      <c r="D1322" t="s">
        <v>1149</v>
      </c>
    </row>
    <row r="1323" spans="2:6">
      <c r="B1323" t="s">
        <v>1150</v>
      </c>
    </row>
    <row r="1324" spans="2:6">
      <c r="B1324" t="s">
        <v>2093</v>
      </c>
      <c r="C1324">
        <v>1.05</v>
      </c>
      <c r="D1324" t="s">
        <v>2</v>
      </c>
      <c r="E1324">
        <f>+F47</f>
        <v>7063.5</v>
      </c>
      <c r="F1324">
        <f>ROUND(C1324*E1324,2)</f>
        <v>7416.68</v>
      </c>
    </row>
    <row r="1325" spans="2:6">
      <c r="B1325" t="s">
        <v>272</v>
      </c>
      <c r="C1325">
        <v>1.43</v>
      </c>
      <c r="D1325" t="s">
        <v>126</v>
      </c>
      <c r="E1325">
        <f>+F62</f>
        <v>2913</v>
      </c>
      <c r="F1325">
        <f>ROUND(C1325*E1325,2)</f>
        <v>4165.59</v>
      </c>
    </row>
    <row r="1326" spans="2:6">
      <c r="F1326">
        <f>SUM(F1324:F1325)</f>
        <v>11582.27</v>
      </c>
    </row>
    <row r="1327" spans="2:6">
      <c r="B1327" t="s">
        <v>1151</v>
      </c>
      <c r="C1327">
        <f>0.75*0.75*0.25</f>
        <v>0.140625</v>
      </c>
      <c r="D1327" t="s">
        <v>2</v>
      </c>
    </row>
    <row r="1328" spans="2:6">
      <c r="B1328" t="s">
        <v>1148</v>
      </c>
      <c r="C1328">
        <f>F1326*C1327</f>
        <v>1628.7567187499999</v>
      </c>
      <c r="D1328" t="s">
        <v>1149</v>
      </c>
    </row>
    <row r="1329" spans="2:6">
      <c r="B1329" t="s">
        <v>1152</v>
      </c>
      <c r="C1329">
        <v>1</v>
      </c>
      <c r="D1329" t="s">
        <v>3</v>
      </c>
      <c r="E1329">
        <f>C1328+C1322</f>
        <v>7165.6390312499998</v>
      </c>
      <c r="F1329">
        <f>ROUND(C1329*E1329,2)</f>
        <v>7165.64</v>
      </c>
    </row>
    <row r="1330" spans="2:6">
      <c r="B1330" t="s">
        <v>1153</v>
      </c>
      <c r="C1330">
        <v>2.86</v>
      </c>
      <c r="D1330" t="s">
        <v>11</v>
      </c>
      <c r="E1330">
        <f>+E1311</f>
        <v>225</v>
      </c>
      <c r="F1330">
        <f>ROUND(C1330*E1330,2)</f>
        <v>643.5</v>
      </c>
    </row>
    <row r="1331" spans="2:6">
      <c r="B1331" t="s">
        <v>177</v>
      </c>
      <c r="C1331">
        <v>12.2</v>
      </c>
      <c r="D1331" t="s">
        <v>1</v>
      </c>
      <c r="E1331">
        <v>70.16</v>
      </c>
      <c r="F1331">
        <f>ROUND(C1331*E1331,2)</f>
        <v>855.95</v>
      </c>
    </row>
    <row r="1332" spans="2:6">
      <c r="B1332" t="s">
        <v>536</v>
      </c>
      <c r="C1332">
        <f>+C1330</f>
        <v>2.86</v>
      </c>
      <c r="D1332" t="s">
        <v>11</v>
      </c>
      <c r="E1332">
        <v>126.86</v>
      </c>
      <c r="F1332">
        <f>ROUND(C1332*E1332,2)</f>
        <v>362.82</v>
      </c>
    </row>
    <row r="1333" spans="2:6">
      <c r="B1333" t="s">
        <v>1154</v>
      </c>
      <c r="C1333" t="s">
        <v>1144</v>
      </c>
      <c r="F1333">
        <f>SUM(F1329:F1332)</f>
        <v>9027.91</v>
      </c>
    </row>
    <row r="1334" spans="2:6">
      <c r="F1334">
        <f>+F1333*1.05</f>
        <v>9479.3055000000004</v>
      </c>
    </row>
    <row r="1335" spans="2:6">
      <c r="B1335" t="s">
        <v>2094</v>
      </c>
    </row>
    <row r="1336" spans="2:6">
      <c r="B1336" t="s">
        <v>2093</v>
      </c>
      <c r="C1336">
        <v>1.05</v>
      </c>
      <c r="D1336" t="s">
        <v>2</v>
      </c>
      <c r="E1336">
        <f>+F47</f>
        <v>7063.5</v>
      </c>
      <c r="F1336">
        <f>ROUND(C1336*E1336,2)</f>
        <v>7416.68</v>
      </c>
    </row>
    <row r="1337" spans="2:6">
      <c r="B1337" t="s">
        <v>272</v>
      </c>
      <c r="C1337">
        <v>2.98</v>
      </c>
      <c r="D1337" t="s">
        <v>126</v>
      </c>
      <c r="E1337">
        <f>+F62</f>
        <v>2913</v>
      </c>
      <c r="F1337">
        <f>ROUND(C1337*E1337,2)</f>
        <v>8680.74</v>
      </c>
    </row>
    <row r="1338" spans="2:6">
      <c r="B1338" t="s">
        <v>1089</v>
      </c>
      <c r="C1338">
        <v>25</v>
      </c>
      <c r="D1338" t="s">
        <v>1</v>
      </c>
      <c r="E1338">
        <v>250</v>
      </c>
      <c r="F1338">
        <f>ROUND(C1338*E1338,2)</f>
        <v>6250</v>
      </c>
    </row>
    <row r="1339" spans="2:6">
      <c r="F1339">
        <f>SUM(F1336:F1338)</f>
        <v>22347.42</v>
      </c>
    </row>
    <row r="1341" spans="2:6" ht="12.95" customHeight="1"/>
    <row r="1342" spans="2:6" ht="12.95" customHeight="1"/>
    <row r="1343" spans="2:6" ht="12.95" customHeight="1">
      <c r="B1343" t="s">
        <v>2095</v>
      </c>
    </row>
    <row r="1344" spans="2:6" ht="12.95" customHeight="1">
      <c r="B1344" t="s">
        <v>2096</v>
      </c>
      <c r="C1344">
        <v>18</v>
      </c>
      <c r="D1344" t="s">
        <v>1</v>
      </c>
      <c r="E1344">
        <v>307.38</v>
      </c>
      <c r="F1344">
        <f>ROUND(C1344*E1344,2)</f>
        <v>5532.84</v>
      </c>
    </row>
    <row r="1345" spans="2:6" ht="12.95" customHeight="1">
      <c r="B1345" t="s">
        <v>2097</v>
      </c>
      <c r="C1345">
        <v>2</v>
      </c>
      <c r="D1345" t="s">
        <v>3</v>
      </c>
      <c r="E1345">
        <v>75</v>
      </c>
      <c r="F1345">
        <f t="shared" ref="F1345:F1351" si="24">ROUND(C1345*E1345,2)</f>
        <v>150</v>
      </c>
    </row>
    <row r="1346" spans="2:6" ht="12.95" customHeight="1">
      <c r="B1346" t="s">
        <v>2098</v>
      </c>
      <c r="C1346">
        <v>5</v>
      </c>
      <c r="D1346" t="s">
        <v>3</v>
      </c>
      <c r="E1346">
        <v>118.81</v>
      </c>
      <c r="F1346">
        <f t="shared" si="24"/>
        <v>594.04999999999995</v>
      </c>
    </row>
    <row r="1347" spans="2:6" ht="12.95" customHeight="1">
      <c r="B1347" t="s">
        <v>2099</v>
      </c>
      <c r="C1347">
        <v>7</v>
      </c>
      <c r="D1347" t="s">
        <v>3</v>
      </c>
      <c r="E1347">
        <v>110</v>
      </c>
      <c r="F1347">
        <f t="shared" si="24"/>
        <v>770</v>
      </c>
    </row>
    <row r="1348" spans="2:6" ht="12.95" customHeight="1">
      <c r="B1348" t="s">
        <v>2100</v>
      </c>
      <c r="C1348">
        <v>7</v>
      </c>
      <c r="D1348" t="s">
        <v>3</v>
      </c>
      <c r="E1348">
        <v>300</v>
      </c>
      <c r="F1348">
        <f t="shared" si="24"/>
        <v>2100</v>
      </c>
    </row>
    <row r="1349" spans="2:6" ht="12.95" customHeight="1">
      <c r="B1349" t="s">
        <v>2101</v>
      </c>
      <c r="C1349">
        <v>2.15</v>
      </c>
      <c r="D1349" t="s">
        <v>11</v>
      </c>
      <c r="E1349">
        <v>110.95</v>
      </c>
      <c r="F1349">
        <f t="shared" si="24"/>
        <v>238.54</v>
      </c>
    </row>
    <row r="1350" spans="2:6">
      <c r="B1350" t="s">
        <v>2102</v>
      </c>
      <c r="C1350">
        <v>2.15</v>
      </c>
      <c r="D1350" t="s">
        <v>11</v>
      </c>
      <c r="E1350">
        <v>130.5</v>
      </c>
      <c r="F1350">
        <f t="shared" si="24"/>
        <v>280.58</v>
      </c>
    </row>
    <row r="1351" spans="2:6" ht="12.95" customHeight="1">
      <c r="B1351" t="s">
        <v>2103</v>
      </c>
      <c r="C1351">
        <v>1</v>
      </c>
      <c r="D1351" t="s">
        <v>3</v>
      </c>
      <c r="E1351">
        <v>5320</v>
      </c>
      <c r="F1351">
        <f t="shared" si="24"/>
        <v>5320</v>
      </c>
    </row>
    <row r="1352" spans="2:6" ht="12.95" customHeight="1">
      <c r="E1352" t="s">
        <v>2104</v>
      </c>
      <c r="F1352">
        <f>SUM(F1344:F1351)</f>
        <v>14986.01</v>
      </c>
    </row>
    <row r="1353" spans="2:6" ht="12.95" customHeight="1">
      <c r="E1353" t="s">
        <v>2105</v>
      </c>
      <c r="F1353">
        <f>F1352/6</f>
        <v>2497.6683333333299</v>
      </c>
    </row>
    <row r="1355" spans="2:6">
      <c r="B1355" t="s">
        <v>2107</v>
      </c>
    </row>
    <row r="1357" spans="2:6">
      <c r="B1357" t="s">
        <v>270</v>
      </c>
    </row>
    <row r="1359" spans="2:6">
      <c r="B1359" t="s">
        <v>271</v>
      </c>
      <c r="C1359">
        <v>1.05</v>
      </c>
      <c r="D1359" t="s">
        <v>2</v>
      </c>
      <c r="E1359">
        <f>+F303</f>
        <v>7531.68</v>
      </c>
      <c r="F1359">
        <f>C1359*E1359</f>
        <v>7908.2640000000001</v>
      </c>
    </row>
    <row r="1360" spans="2:6">
      <c r="B1360" t="s">
        <v>272</v>
      </c>
      <c r="C1360">
        <v>4.2</v>
      </c>
      <c r="D1360" t="s">
        <v>126</v>
      </c>
      <c r="E1360">
        <f>+F62</f>
        <v>2913</v>
      </c>
      <c r="F1360">
        <f>C1360*E1360</f>
        <v>12234.6</v>
      </c>
    </row>
    <row r="1361" spans="2:6">
      <c r="B1361" t="s">
        <v>1089</v>
      </c>
      <c r="C1361">
        <f>1/(0.25*0.25)</f>
        <v>16</v>
      </c>
      <c r="D1361" t="s">
        <v>1</v>
      </c>
      <c r="E1361">
        <v>250</v>
      </c>
      <c r="F1361">
        <f>ROUND(C1361*E1361,2)</f>
        <v>4000</v>
      </c>
    </row>
    <row r="1362" spans="2:6">
      <c r="E1362" t="s">
        <v>274</v>
      </c>
      <c r="F1362">
        <f>SUM(F1359:F1360)</f>
        <v>20142.864000000001</v>
      </c>
    </row>
    <row r="1363" spans="2:6">
      <c r="C1363">
        <v>1.64</v>
      </c>
      <c r="E1363" t="s">
        <v>1194</v>
      </c>
      <c r="F1363">
        <f>+C1363*F1362</f>
        <v>33034.29696</v>
      </c>
    </row>
    <row r="1365" spans="2:6">
      <c r="B1365" t="s">
        <v>271</v>
      </c>
      <c r="C1365">
        <v>1.05</v>
      </c>
      <c r="D1365" t="s">
        <v>2</v>
      </c>
      <c r="E1365">
        <f>+F303</f>
        <v>7531.68</v>
      </c>
      <c r="F1365">
        <f>C1365*E1365</f>
        <v>7908.2640000000001</v>
      </c>
    </row>
    <row r="1366" spans="2:6">
      <c r="B1366" t="s">
        <v>272</v>
      </c>
      <c r="C1366">
        <v>3.98</v>
      </c>
      <c r="D1366" t="s">
        <v>126</v>
      </c>
      <c r="E1366">
        <f>+F62</f>
        <v>2913</v>
      </c>
      <c r="F1366">
        <f>C1366*E1366</f>
        <v>11593.74</v>
      </c>
    </row>
    <row r="1367" spans="2:6">
      <c r="B1367" t="s">
        <v>1089</v>
      </c>
      <c r="C1367">
        <f>1/(0.25*0.25)</f>
        <v>16</v>
      </c>
      <c r="D1367" t="s">
        <v>1</v>
      </c>
      <c r="E1367">
        <v>250</v>
      </c>
      <c r="F1367">
        <f>ROUND(C1367*E1367,2)</f>
        <v>4000</v>
      </c>
    </row>
    <row r="1368" spans="2:6">
      <c r="E1368" t="s">
        <v>274</v>
      </c>
      <c r="F1368">
        <f>SUM(F1365:F1366)</f>
        <v>19502.004000000001</v>
      </c>
    </row>
    <row r="1369" spans="2:6">
      <c r="C1369">
        <v>0.2</v>
      </c>
      <c r="E1369" t="s">
        <v>1194</v>
      </c>
      <c r="F1369">
        <f>+C1369*F1368</f>
        <v>3900.4007999999999</v>
      </c>
    </row>
    <row r="1371" spans="2:6">
      <c r="B1371" t="s">
        <v>271</v>
      </c>
      <c r="C1371">
        <v>1.05</v>
      </c>
      <c r="D1371" t="s">
        <v>2</v>
      </c>
      <c r="E1371">
        <f>+F303</f>
        <v>7531.68</v>
      </c>
      <c r="F1371">
        <f>C1371*E1371</f>
        <v>7908.2640000000001</v>
      </c>
    </row>
    <row r="1372" spans="2:6">
      <c r="B1372" t="s">
        <v>272</v>
      </c>
      <c r="C1372">
        <v>0.7</v>
      </c>
      <c r="D1372" t="s">
        <v>126</v>
      </c>
      <c r="E1372">
        <f>+F62</f>
        <v>2913</v>
      </c>
      <c r="F1372">
        <f>C1372*E1372</f>
        <v>2039.1</v>
      </c>
    </row>
    <row r="1373" spans="2:6">
      <c r="E1373" t="s">
        <v>274</v>
      </c>
      <c r="F1373">
        <f>SUM(F1371:F1372)</f>
        <v>9947.3639999999996</v>
      </c>
    </row>
    <row r="1377" spans="2:6" ht="26.25" customHeight="1">
      <c r="B1377" t="s">
        <v>2444</v>
      </c>
    </row>
    <row r="1378" spans="2:6">
      <c r="B1378" t="s">
        <v>2442</v>
      </c>
    </row>
    <row r="1379" spans="2:6">
      <c r="B1379" t="s">
        <v>1085</v>
      </c>
      <c r="C1379">
        <v>1.05</v>
      </c>
      <c r="D1379" t="s">
        <v>2</v>
      </c>
      <c r="E1379">
        <f>+$F$25</f>
        <v>8154.9</v>
      </c>
      <c r="F1379">
        <f>C1379*E1379</f>
        <v>8562.6450000000004</v>
      </c>
    </row>
    <row r="1380" spans="2:6">
      <c r="B1380" t="s">
        <v>1087</v>
      </c>
      <c r="C1380">
        <v>3.88</v>
      </c>
      <c r="D1380" t="s">
        <v>126</v>
      </c>
      <c r="E1380">
        <f>+$F$62</f>
        <v>2913</v>
      </c>
      <c r="F1380">
        <f>C1380*E1380</f>
        <v>11302.44</v>
      </c>
    </row>
    <row r="1382" spans="2:6">
      <c r="E1382" t="s">
        <v>1031</v>
      </c>
      <c r="F1382">
        <f>ROUND(SUM(F1379:F1381),2)</f>
        <v>19865.09</v>
      </c>
    </row>
    <row r="1384" spans="2:6">
      <c r="B1384" t="s">
        <v>2434</v>
      </c>
    </row>
    <row r="1385" spans="2:6">
      <c r="B1385" t="s">
        <v>1085</v>
      </c>
      <c r="C1385">
        <v>1.05</v>
      </c>
      <c r="D1385" t="s">
        <v>2</v>
      </c>
      <c r="E1385">
        <f>+$F$25</f>
        <v>8154.9</v>
      </c>
      <c r="F1385">
        <f>C1385*E1385</f>
        <v>8562.6450000000004</v>
      </c>
    </row>
    <row r="1386" spans="2:6">
      <c r="B1386" t="s">
        <v>1087</v>
      </c>
      <c r="C1386">
        <v>3.24</v>
      </c>
      <c r="D1386" t="s">
        <v>126</v>
      </c>
      <c r="E1386">
        <f>+$F$62</f>
        <v>2913</v>
      </c>
      <c r="F1386">
        <f>C1386*E1386</f>
        <v>9438.1200000000008</v>
      </c>
    </row>
    <row r="1387" spans="2:6">
      <c r="B1387" t="s">
        <v>1089</v>
      </c>
      <c r="C1387">
        <f>1/0.25</f>
        <v>4</v>
      </c>
      <c r="D1387" t="s">
        <v>11</v>
      </c>
      <c r="E1387">
        <v>1200</v>
      </c>
      <c r="F1387">
        <f>C1387*E1387</f>
        <v>4800</v>
      </c>
    </row>
    <row r="1388" spans="2:6">
      <c r="E1388" t="s">
        <v>1031</v>
      </c>
      <c r="F1388">
        <f>ROUND(SUM(F1385:F1387),2)</f>
        <v>22800.77</v>
      </c>
    </row>
    <row r="1390" spans="2:6">
      <c r="B1390" t="s">
        <v>2443</v>
      </c>
    </row>
    <row r="1391" spans="2:6">
      <c r="B1391" t="s">
        <v>1085</v>
      </c>
      <c r="C1391">
        <v>1.05</v>
      </c>
      <c r="D1391" t="s">
        <v>2</v>
      </c>
      <c r="E1391">
        <f>+$F$25</f>
        <v>8154.9</v>
      </c>
      <c r="F1391">
        <f>C1391*E1391</f>
        <v>8562.6450000000004</v>
      </c>
    </row>
    <row r="1392" spans="2:6">
      <c r="B1392" t="s">
        <v>1087</v>
      </c>
      <c r="C1392">
        <v>3.61</v>
      </c>
      <c r="D1392" t="s">
        <v>126</v>
      </c>
      <c r="E1392">
        <f>+$F$62</f>
        <v>2913</v>
      </c>
      <c r="F1392">
        <f>C1392*E1392</f>
        <v>10515.93</v>
      </c>
    </row>
    <row r="1393" spans="2:7">
      <c r="B1393" t="s">
        <v>1089</v>
      </c>
      <c r="C1393">
        <f>1/0.15</f>
        <v>6.6666666666666696</v>
      </c>
      <c r="D1393" t="s">
        <v>11</v>
      </c>
      <c r="E1393">
        <v>350</v>
      </c>
      <c r="F1393">
        <f>C1393*E1393</f>
        <v>2333.3333333333298</v>
      </c>
    </row>
    <row r="1394" spans="2:7">
      <c r="E1394" t="s">
        <v>1031</v>
      </c>
      <c r="F1394">
        <f>ROUND(SUM(F1391:F1393),2)</f>
        <v>21411.91</v>
      </c>
    </row>
    <row r="1397" spans="2:7">
      <c r="B1397" t="s">
        <v>2438</v>
      </c>
    </row>
    <row r="1398" spans="2:7" ht="20.25" customHeight="1">
      <c r="B1398" t="s">
        <v>2547</v>
      </c>
      <c r="C1398">
        <v>1.05</v>
      </c>
      <c r="D1398" t="s">
        <v>2550</v>
      </c>
      <c r="F1398">
        <f>C1398*E1398</f>
        <v>0</v>
      </c>
    </row>
    <row r="1399" spans="2:7">
      <c r="B1399" t="s">
        <v>2548</v>
      </c>
      <c r="C1399">
        <f>0.3*3.1416*1</f>
        <v>0.94247999999999998</v>
      </c>
      <c r="D1399" t="s">
        <v>207</v>
      </c>
      <c r="F1399">
        <f>C1399*E1399</f>
        <v>0</v>
      </c>
    </row>
    <row r="1400" spans="2:7">
      <c r="B1400" t="s">
        <v>2549</v>
      </c>
      <c r="C1400">
        <v>1</v>
      </c>
      <c r="D1400" t="s">
        <v>2551</v>
      </c>
      <c r="F1400">
        <f>C1400*E1400</f>
        <v>0</v>
      </c>
    </row>
    <row r="1401" spans="2:7">
      <c r="E1401" t="s">
        <v>1031</v>
      </c>
      <c r="F1401">
        <f>ROUND(SUM(F1398:F1400),2)</f>
        <v>0</v>
      </c>
      <c r="G1401" t="s">
        <v>2551</v>
      </c>
    </row>
    <row r="1404" spans="2:7">
      <c r="B1404" t="s">
        <v>2439</v>
      </c>
    </row>
    <row r="1405" spans="2:7" ht="20.25" customHeight="1">
      <c r="B1405" t="s">
        <v>2552</v>
      </c>
      <c r="C1405">
        <v>1</v>
      </c>
      <c r="D1405" t="s">
        <v>2553</v>
      </c>
      <c r="F1405">
        <f>C1405*E1405</f>
        <v>0</v>
      </c>
    </row>
    <row r="1406" spans="2:7">
      <c r="B1406" t="s">
        <v>2548</v>
      </c>
      <c r="C1406">
        <f>0.3*3.1416*1</f>
        <v>0.94247999999999998</v>
      </c>
      <c r="D1406" t="s">
        <v>207</v>
      </c>
      <c r="F1406">
        <f>C1406*E1406</f>
        <v>0</v>
      </c>
    </row>
    <row r="1407" spans="2:7">
      <c r="B1407" t="s">
        <v>2554</v>
      </c>
      <c r="C1407">
        <f>0.71*0.32*3.1416</f>
        <v>0.71377151999999999</v>
      </c>
      <c r="D1407" t="s">
        <v>207</v>
      </c>
      <c r="F1407">
        <f>C1407*E1407</f>
        <v>0</v>
      </c>
    </row>
    <row r="1408" spans="2:7">
      <c r="E1408" t="s">
        <v>1031</v>
      </c>
      <c r="F1408">
        <f>ROUND(SUM(F1405:F1407),2)</f>
        <v>0</v>
      </c>
      <c r="G1408" t="s">
        <v>2551</v>
      </c>
    </row>
  </sheetData>
  <customSheetViews>
    <customSheetView guid="{43BC9397-3E8C-478C-B548-E4A845A7F82B}" hiddenRows="1" topLeftCell="A745">
      <selection activeCell="F803" sqref="F803"/>
      <rowBreaks count="1" manualBreakCount="1">
        <brk id="788" max="6" man="1"/>
      </rowBreaks>
      <pageMargins left="0.7" right="0.7" top="0.75" bottom="0.75" header="0.3" footer="0.3"/>
      <pageSetup orientation="portrait" r:id="rId1"/>
    </customSheetView>
  </customSheetViews>
  <pageMargins left="0.7" right="0.7" top="0.75" bottom="0.75" header="0.3" footer="0.3"/>
  <pageSetup orientation="portrait" r:id="rId2"/>
  <rowBreaks count="1" manualBreakCount="1">
    <brk id="788" max="6"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2:IV1136"/>
  <sheetViews>
    <sheetView workbookViewId="0"/>
  </sheetViews>
  <sheetFormatPr baseColWidth="10" defaultColWidth="11.42578125" defaultRowHeight="12.75"/>
  <cols>
    <col min="1" max="1" width="8" style="1739" customWidth="1"/>
    <col min="2" max="2" width="53.42578125" style="7" customWidth="1"/>
    <col min="3" max="3" width="9.7109375" style="7" bestFit="1" customWidth="1"/>
    <col min="4" max="4" width="6.140625" style="7" customWidth="1"/>
    <col min="5" max="5" width="10.85546875" style="1739" customWidth="1"/>
    <col min="6" max="6" width="14.28515625" style="1739" bestFit="1" customWidth="1"/>
    <col min="7" max="7" width="15.140625" style="1844" customWidth="1"/>
    <col min="8" max="8" width="10.28515625" style="44" bestFit="1" customWidth="1"/>
    <col min="9" max="9" width="11.42578125" style="44"/>
    <col min="10" max="10" width="13.28515625" style="44" customWidth="1"/>
    <col min="11" max="12" width="11.42578125" style="44"/>
    <col min="13" max="13" width="12.85546875" style="7" bestFit="1" customWidth="1"/>
    <col min="14" max="16384" width="11.42578125" style="7"/>
  </cols>
  <sheetData>
    <row r="2" spans="1:7" s="1539" customFormat="1" ht="12.95" customHeight="1">
      <c r="A2" s="4769" t="s">
        <v>5</v>
      </c>
      <c r="B2" s="4769"/>
      <c r="C2" s="4769"/>
      <c r="D2" s="4769"/>
      <c r="E2" s="4769"/>
      <c r="F2" s="4769"/>
      <c r="G2" s="1329"/>
    </row>
    <row r="3" spans="1:7" s="1539" customFormat="1" ht="12.95" customHeight="1">
      <c r="A3" s="4769" t="s">
        <v>6</v>
      </c>
      <c r="B3" s="4769"/>
      <c r="C3" s="4769"/>
      <c r="D3" s="4769"/>
      <c r="E3" s="4769"/>
      <c r="F3" s="4769"/>
      <c r="G3" s="1329"/>
    </row>
    <row r="4" spans="1:7" s="1539" customFormat="1" ht="12.95" customHeight="1">
      <c r="A4" s="4769" t="s">
        <v>7</v>
      </c>
      <c r="B4" s="4769"/>
      <c r="C4" s="4769"/>
      <c r="D4" s="4769"/>
      <c r="E4" s="4769"/>
      <c r="F4" s="4769"/>
      <c r="G4" s="1329"/>
    </row>
    <row r="5" spans="1:7" s="1539" customFormat="1" ht="12.95" customHeight="1">
      <c r="A5" s="4769" t="s">
        <v>60</v>
      </c>
      <c r="B5" s="4769"/>
      <c r="C5" s="4769"/>
      <c r="D5" s="4769"/>
      <c r="E5" s="4769"/>
      <c r="F5" s="4769"/>
      <c r="G5" s="1329"/>
    </row>
    <row r="6" spans="1:7" s="1539" customFormat="1" ht="12.95" customHeight="1">
      <c r="A6" s="1796"/>
      <c r="B6" s="1796"/>
      <c r="C6" s="1796"/>
      <c r="D6" s="1796"/>
      <c r="E6" s="1796"/>
      <c r="F6" s="1796"/>
      <c r="G6" s="1329"/>
    </row>
    <row r="7" spans="1:7" s="1539" customFormat="1" ht="12.95" customHeight="1">
      <c r="A7" t="s">
        <v>2337</v>
      </c>
      <c r="B7"/>
      <c r="C7"/>
      <c r="D7"/>
      <c r="E7"/>
      <c r="F7"/>
      <c r="G7" s="1329"/>
    </row>
    <row r="8" spans="1:7" s="1539" customFormat="1" ht="32.25" customHeight="1">
      <c r="A8" s="1598" t="s">
        <v>2210</v>
      </c>
      <c r="B8" s="4769" t="s">
        <v>2338</v>
      </c>
      <c r="C8" s="4769"/>
      <c r="D8" s="4769"/>
      <c r="E8" s="4769"/>
      <c r="F8"/>
      <c r="G8" s="1329"/>
    </row>
    <row r="9" spans="1:7" s="1539" customFormat="1" ht="12.95" customHeight="1">
      <c r="A9" t="s">
        <v>2211</v>
      </c>
      <c r="B9"/>
      <c r="C9"/>
      <c r="D9" t="s">
        <v>2212</v>
      </c>
      <c r="E9"/>
      <c r="F9"/>
      <c r="G9" s="1329"/>
    </row>
    <row r="10" spans="1:7" s="1539" customFormat="1" ht="12.95" customHeight="1" thickBot="1">
      <c r="A10" s="7"/>
      <c r="B10" s="5"/>
      <c r="C10" s="7"/>
      <c r="D10" s="7"/>
      <c r="E10" s="7"/>
      <c r="F10" s="7"/>
      <c r="G10" s="1329"/>
    </row>
    <row r="11" spans="1:7" s="1740" customFormat="1" ht="21" customHeight="1">
      <c r="A11" s="1852" t="s">
        <v>28</v>
      </c>
      <c r="B11" s="1853" t="s">
        <v>29</v>
      </c>
      <c r="C11" s="1853" t="s">
        <v>30</v>
      </c>
      <c r="D11" s="1853" t="s">
        <v>976</v>
      </c>
      <c r="E11" s="1853" t="s">
        <v>44</v>
      </c>
      <c r="F11" s="1854" t="s">
        <v>45</v>
      </c>
    </row>
    <row r="12" spans="1:7" s="1539" customFormat="1" ht="12.75" customHeight="1">
      <c r="A12" s="1855"/>
      <c r="B12" s="3"/>
      <c r="C12" s="1794"/>
      <c r="D12" s="1794"/>
      <c r="E12" s="1794"/>
      <c r="F12" s="1856"/>
    </row>
    <row r="13" spans="1:7" s="650" customFormat="1" ht="30">
      <c r="A13" s="1857" t="s">
        <v>0</v>
      </c>
      <c r="B13" s="1403" t="s">
        <v>2231</v>
      </c>
      <c r="C13" s="31"/>
      <c r="D13" s="1794"/>
      <c r="E13" s="31"/>
      <c r="F13" s="1858"/>
      <c r="G13" s="1741"/>
    </row>
    <row r="14" spans="1:7" s="1539" customFormat="1">
      <c r="A14" s="1859"/>
      <c r="B14" s="51"/>
      <c r="C14" s="31"/>
      <c r="D14" s="1794"/>
      <c r="E14" s="31"/>
      <c r="F14" s="1858"/>
      <c r="G14" s="1741"/>
    </row>
    <row r="15" spans="1:7" s="1539" customFormat="1">
      <c r="A15" s="1855">
        <v>1</v>
      </c>
      <c r="B15" s="51" t="s">
        <v>2213</v>
      </c>
      <c r="C15" s="31"/>
      <c r="D15" s="1794"/>
      <c r="E15" s="31"/>
      <c r="F15" s="1858"/>
      <c r="G15" s="1741"/>
    </row>
    <row r="16" spans="1:7" s="1539" customFormat="1">
      <c r="A16" s="1860">
        <v>1.1000000000000001</v>
      </c>
      <c r="B16" s="28" t="s">
        <v>1494</v>
      </c>
      <c r="C16" s="31">
        <v>409</v>
      </c>
      <c r="D16" s="1794" t="s">
        <v>1</v>
      </c>
      <c r="E16" s="31">
        <v>45</v>
      </c>
      <c r="F16" s="1858">
        <f>+ROUND(C16*E16,2)</f>
        <v>18405</v>
      </c>
      <c r="G16" s="1741"/>
    </row>
    <row r="17" spans="1:9" s="1539" customFormat="1">
      <c r="A17" s="1860"/>
      <c r="B17" s="51"/>
      <c r="C17" s="31"/>
      <c r="D17" s="1794"/>
      <c r="E17" s="31"/>
      <c r="F17" s="1858">
        <f>+ROUND(C17*E17,2)</f>
        <v>0</v>
      </c>
      <c r="G17" s="1741"/>
    </row>
    <row r="18" spans="1:9" s="1539" customFormat="1">
      <c r="A18" s="1861">
        <v>2</v>
      </c>
      <c r="B18" s="711" t="s">
        <v>14</v>
      </c>
      <c r="C18" s="31"/>
      <c r="D18" s="713"/>
      <c r="E18" s="714"/>
      <c r="F18" s="1858">
        <f>+ROUND(C18*E18,2)</f>
        <v>0</v>
      </c>
      <c r="G18" s="1741"/>
    </row>
    <row r="19" spans="1:9" s="1539" customFormat="1">
      <c r="A19" s="1860"/>
      <c r="B19" s="711"/>
      <c r="C19" s="31"/>
      <c r="D19" s="713"/>
      <c r="E19" s="714"/>
      <c r="F19" s="1858"/>
      <c r="G19" s="1741"/>
    </row>
    <row r="20" spans="1:9" s="1539" customFormat="1">
      <c r="A20" s="1862">
        <v>2.1</v>
      </c>
      <c r="B20" s="1804" t="s">
        <v>2214</v>
      </c>
      <c r="C20" s="31"/>
      <c r="D20" s="713"/>
      <c r="E20" s="714"/>
      <c r="F20" s="1858"/>
      <c r="G20" s="1741"/>
    </row>
    <row r="21" spans="1:9" s="1539" customFormat="1">
      <c r="A21" s="1863" t="s">
        <v>1182</v>
      </c>
      <c r="B21" s="1201" t="s">
        <v>2314</v>
      </c>
      <c r="C21" s="31">
        <v>53.61</v>
      </c>
      <c r="D21" s="713" t="s">
        <v>2</v>
      </c>
      <c r="E21" s="714">
        <v>154.53</v>
      </c>
      <c r="F21" s="1864">
        <f>+ROUND(C21*E21,2)</f>
        <v>8284.35</v>
      </c>
      <c r="G21" s="1741"/>
      <c r="H21" s="1742"/>
      <c r="I21" s="1743"/>
    </row>
    <row r="22" spans="1:9" s="1539" customFormat="1" ht="25.5">
      <c r="A22" s="1863" t="s">
        <v>1183</v>
      </c>
      <c r="B22" s="1201" t="s">
        <v>2315</v>
      </c>
      <c r="C22" s="31">
        <v>22.98</v>
      </c>
      <c r="D22" s="713" t="s">
        <v>2</v>
      </c>
      <c r="E22" s="714">
        <v>1125.8</v>
      </c>
      <c r="F22" s="1864">
        <f>+ROUND(C22*E22,2)</f>
        <v>25870.880000000001</v>
      </c>
      <c r="G22" s="1741"/>
      <c r="H22" s="1742"/>
      <c r="I22" s="1743"/>
    </row>
    <row r="23" spans="1:9" s="1539" customFormat="1">
      <c r="A23" s="1863"/>
      <c r="B23" s="1201"/>
      <c r="C23" s="31"/>
      <c r="D23" s="713"/>
      <c r="E23" s="714"/>
      <c r="F23" s="1864"/>
      <c r="G23" s="1741"/>
      <c r="H23" s="1742"/>
      <c r="I23" s="1743"/>
    </row>
    <row r="24" spans="1:9" s="1539" customFormat="1">
      <c r="A24" s="1863">
        <v>2.2000000000000002</v>
      </c>
      <c r="B24" s="1201" t="s">
        <v>1181</v>
      </c>
      <c r="C24" s="31">
        <v>58.65</v>
      </c>
      <c r="D24" s="713" t="s">
        <v>11</v>
      </c>
      <c r="E24" s="714">
        <v>28.5</v>
      </c>
      <c r="F24" s="1864">
        <f t="shared" ref="F24:F35" si="0">+ROUND(C24*E24,2)</f>
        <v>1671.53</v>
      </c>
      <c r="G24" s="1741"/>
      <c r="H24" s="1742"/>
      <c r="I24" s="1743"/>
    </row>
    <row r="25" spans="1:9" s="1539" customFormat="1">
      <c r="A25" s="1860">
        <v>2.2999999999999998</v>
      </c>
      <c r="B25" s="716" t="s">
        <v>2215</v>
      </c>
      <c r="C25" s="31">
        <v>5.87</v>
      </c>
      <c r="D25" s="713" t="s">
        <v>2</v>
      </c>
      <c r="E25" s="714">
        <v>1108.8900000000001</v>
      </c>
      <c r="F25" s="1858">
        <f t="shared" si="0"/>
        <v>6509.18</v>
      </c>
      <c r="G25" s="1741"/>
    </row>
    <row r="26" spans="1:9" s="1539" customFormat="1" ht="27.75" customHeight="1">
      <c r="A26" s="1860">
        <v>2.4</v>
      </c>
      <c r="B26" s="747" t="s">
        <v>1185</v>
      </c>
      <c r="C26" s="31">
        <v>28.72</v>
      </c>
      <c r="D26" s="713" t="s">
        <v>2</v>
      </c>
      <c r="E26" s="714">
        <v>668.95</v>
      </c>
      <c r="F26" s="1858">
        <f t="shared" si="0"/>
        <v>19212.240000000002</v>
      </c>
      <c r="G26" s="1741"/>
    </row>
    <row r="27" spans="1:9" s="1539" customFormat="1" ht="25.5">
      <c r="A27" s="1860">
        <v>2.5</v>
      </c>
      <c r="B27" s="1201" t="s">
        <v>1184</v>
      </c>
      <c r="C27" s="31">
        <v>62.4</v>
      </c>
      <c r="D27" s="713" t="s">
        <v>2</v>
      </c>
      <c r="E27" s="714">
        <v>183.5</v>
      </c>
      <c r="F27" s="1858">
        <f t="shared" si="0"/>
        <v>11450.4</v>
      </c>
      <c r="G27" s="1741"/>
    </row>
    <row r="28" spans="1:9" s="1539" customFormat="1" ht="25.5">
      <c r="A28" s="1860">
        <v>2.6</v>
      </c>
      <c r="B28" s="717" t="s">
        <v>2216</v>
      </c>
      <c r="C28" s="31">
        <v>57.23</v>
      </c>
      <c r="D28" s="713" t="s">
        <v>2</v>
      </c>
      <c r="E28" s="714">
        <v>210</v>
      </c>
      <c r="F28" s="1858">
        <f t="shared" si="0"/>
        <v>12018.3</v>
      </c>
      <c r="G28" s="1741"/>
    </row>
    <row r="29" spans="1:9" s="1539" customFormat="1">
      <c r="A29" s="1860"/>
      <c r="B29" s="28"/>
      <c r="C29" s="31"/>
      <c r="D29" s="1794"/>
      <c r="E29" s="31"/>
      <c r="F29" s="1858">
        <f t="shared" si="0"/>
        <v>0</v>
      </c>
      <c r="G29" s="1741"/>
    </row>
    <row r="30" spans="1:9" s="1539" customFormat="1">
      <c r="A30" s="1861">
        <v>3</v>
      </c>
      <c r="B30" s="711" t="s">
        <v>25</v>
      </c>
      <c r="C30" s="31"/>
      <c r="D30" s="713"/>
      <c r="E30" s="714"/>
      <c r="F30" s="1858">
        <f t="shared" si="0"/>
        <v>0</v>
      </c>
      <c r="G30" s="1741"/>
    </row>
    <row r="31" spans="1:9" s="1745" customFormat="1" ht="25.5">
      <c r="A31" s="1865">
        <v>3.1</v>
      </c>
      <c r="B31" s="853" t="s">
        <v>2217</v>
      </c>
      <c r="C31" s="31">
        <v>409</v>
      </c>
      <c r="D31" s="1805" t="s">
        <v>1</v>
      </c>
      <c r="E31" s="31">
        <v>6935.55</v>
      </c>
      <c r="F31" s="1858">
        <f t="shared" si="0"/>
        <v>2836639.95</v>
      </c>
      <c r="G31" s="1744"/>
    </row>
    <row r="32" spans="1:9" s="1539" customFormat="1">
      <c r="A32" s="1860"/>
      <c r="B32" s="51"/>
      <c r="C32" s="31"/>
      <c r="D32" s="1805"/>
      <c r="E32" s="31"/>
      <c r="F32" s="1858">
        <f t="shared" si="0"/>
        <v>0</v>
      </c>
      <c r="G32" s="1741"/>
    </row>
    <row r="33" spans="1:7" s="1539" customFormat="1">
      <c r="A33" s="1861">
        <v>4</v>
      </c>
      <c r="B33" s="51" t="s">
        <v>26</v>
      </c>
      <c r="C33" s="31"/>
      <c r="D33" s="1805"/>
      <c r="E33" s="31"/>
      <c r="F33" s="1858">
        <f t="shared" si="0"/>
        <v>0</v>
      </c>
      <c r="G33" s="1741"/>
    </row>
    <row r="34" spans="1:7" s="1745" customFormat="1" ht="25.5">
      <c r="A34" s="1865">
        <v>4.0999999999999996</v>
      </c>
      <c r="B34" s="853" t="s">
        <v>2217</v>
      </c>
      <c r="C34" s="31">
        <v>409</v>
      </c>
      <c r="D34" s="1805" t="s">
        <v>1</v>
      </c>
      <c r="E34" s="31">
        <v>481.64</v>
      </c>
      <c r="F34" s="1858">
        <f t="shared" si="0"/>
        <v>196990.76</v>
      </c>
      <c r="G34" s="1744"/>
    </row>
    <row r="35" spans="1:7" s="1539" customFormat="1" ht="15" customHeight="1">
      <c r="A35" s="1860"/>
      <c r="B35" s="28"/>
      <c r="C35" s="31"/>
      <c r="D35" s="1794"/>
      <c r="E35" s="31"/>
      <c r="F35" s="1858">
        <f t="shared" si="0"/>
        <v>0</v>
      </c>
      <c r="G35" s="1741"/>
    </row>
    <row r="36" spans="1:7" s="1745" customFormat="1" ht="20.25" customHeight="1">
      <c r="A36" s="1861">
        <v>5</v>
      </c>
      <c r="B36" s="851" t="s">
        <v>2218</v>
      </c>
      <c r="C36" s="31"/>
      <c r="D36" s="814"/>
      <c r="E36" s="1582"/>
      <c r="F36" s="1858"/>
      <c r="G36" s="1744"/>
    </row>
    <row r="37" spans="1:7" s="1539" customFormat="1" ht="25.5" customHeight="1">
      <c r="A37" s="1860">
        <v>5.0999999999999996</v>
      </c>
      <c r="B37" s="1746" t="s">
        <v>1190</v>
      </c>
      <c r="C37" s="31">
        <v>5</v>
      </c>
      <c r="D37" s="814" t="s">
        <v>3</v>
      </c>
      <c r="E37" s="32">
        <v>11305.07</v>
      </c>
      <c r="F37" s="1864">
        <f>ROUND(C37*E37,2)</f>
        <v>56525.35</v>
      </c>
      <c r="G37" s="1741"/>
    </row>
    <row r="38" spans="1:7" s="1539" customFormat="1" ht="25.5" customHeight="1">
      <c r="A38" s="1860">
        <v>5.2</v>
      </c>
      <c r="B38" s="1746" t="s">
        <v>1191</v>
      </c>
      <c r="C38" s="31">
        <v>2</v>
      </c>
      <c r="D38" s="814" t="s">
        <v>3</v>
      </c>
      <c r="E38" s="1582">
        <v>14160.67</v>
      </c>
      <c r="F38" s="1864">
        <f>ROUND(C38*E38,2)</f>
        <v>28321.34</v>
      </c>
      <c r="G38" s="1741"/>
    </row>
    <row r="39" spans="1:7" s="1539" customFormat="1" ht="29.25" customHeight="1">
      <c r="A39" s="1865">
        <v>5.3</v>
      </c>
      <c r="B39" s="28" t="s">
        <v>2316</v>
      </c>
      <c r="C39" s="31">
        <v>6</v>
      </c>
      <c r="D39" s="1805" t="s">
        <v>3</v>
      </c>
      <c r="E39" s="31">
        <v>2500</v>
      </c>
      <c r="F39" s="1864">
        <f>+ROUND(C39*E39,2)</f>
        <v>15000</v>
      </c>
      <c r="G39" s="1741"/>
    </row>
    <row r="40" spans="1:7" s="1539" customFormat="1" ht="27" customHeight="1">
      <c r="A40" s="1865">
        <v>54</v>
      </c>
      <c r="B40" s="28" t="s">
        <v>2227</v>
      </c>
      <c r="C40" s="1811">
        <v>7</v>
      </c>
      <c r="D40" s="1805" t="s">
        <v>3</v>
      </c>
      <c r="E40" s="1811">
        <v>16415.560000000001</v>
      </c>
      <c r="F40" s="1866">
        <f>ROUND(C40*E40,2)</f>
        <v>114908.92</v>
      </c>
      <c r="G40" s="1741"/>
    </row>
    <row r="41" spans="1:7" s="1539" customFormat="1" ht="10.5" customHeight="1">
      <c r="A41" s="1860"/>
      <c r="B41" s="28"/>
      <c r="C41" s="31"/>
      <c r="D41" s="522"/>
      <c r="E41" s="31"/>
      <c r="F41" s="1858"/>
      <c r="G41" s="1741"/>
    </row>
    <row r="42" spans="1:7" s="1539" customFormat="1" ht="25.5">
      <c r="A42" s="1867">
        <v>6</v>
      </c>
      <c r="B42" s="51" t="s">
        <v>2228</v>
      </c>
      <c r="C42" s="31"/>
      <c r="D42" s="522"/>
      <c r="E42" s="31"/>
      <c r="F42" s="1858"/>
      <c r="G42" s="1741"/>
    </row>
    <row r="43" spans="1:7" s="1745" customFormat="1" ht="26.25" customHeight="1">
      <c r="A43" s="1865">
        <v>6.1</v>
      </c>
      <c r="B43" s="1053" t="s">
        <v>2222</v>
      </c>
      <c r="C43" s="31">
        <v>28</v>
      </c>
      <c r="D43" s="814" t="s">
        <v>3</v>
      </c>
      <c r="E43" s="1582">
        <v>16415.560000000001</v>
      </c>
      <c r="F43" s="1864">
        <f>ROUND(C43*E43,2)</f>
        <v>459635.68</v>
      </c>
      <c r="G43" s="1744"/>
    </row>
    <row r="44" spans="1:7" s="1745" customFormat="1" ht="15" customHeight="1">
      <c r="A44" s="1868">
        <v>6.2</v>
      </c>
      <c r="B44" s="1822" t="s">
        <v>2219</v>
      </c>
      <c r="C44" s="1813">
        <v>112</v>
      </c>
      <c r="D44" s="1821" t="s">
        <v>47</v>
      </c>
      <c r="E44" s="1825">
        <v>397.75</v>
      </c>
      <c r="F44" s="1869">
        <f>+ROUND(C44*E44,2)</f>
        <v>44548</v>
      </c>
      <c r="G44" s="1744"/>
    </row>
    <row r="45" spans="1:7" s="1539" customFormat="1" ht="12.95" customHeight="1">
      <c r="A45" s="1860"/>
      <c r="B45" s="18"/>
      <c r="C45" s="31"/>
      <c r="D45" s="713"/>
      <c r="E45" s="714"/>
      <c r="F45" s="1858"/>
      <c r="G45" s="1741"/>
    </row>
    <row r="46" spans="1:7" s="1539" customFormat="1" ht="38.25">
      <c r="A46" s="1865">
        <v>7</v>
      </c>
      <c r="B46" s="1053" t="s">
        <v>2229</v>
      </c>
      <c r="C46" s="31">
        <v>40</v>
      </c>
      <c r="D46" s="814" t="s">
        <v>3</v>
      </c>
      <c r="E46" s="1582">
        <v>3550</v>
      </c>
      <c r="F46" s="1864">
        <f>ROUND(C46*E46,2)</f>
        <v>142000</v>
      </c>
      <c r="G46" s="1741"/>
    </row>
    <row r="47" spans="1:7" s="1539" customFormat="1" ht="12.95" customHeight="1">
      <c r="A47" s="1860"/>
      <c r="B47" s="18"/>
      <c r="C47" s="31"/>
      <c r="D47" s="713"/>
      <c r="E47" s="714"/>
      <c r="F47" s="1858"/>
      <c r="G47" s="1741"/>
    </row>
    <row r="48" spans="1:7" s="1539" customFormat="1">
      <c r="A48" s="1860">
        <v>8</v>
      </c>
      <c r="B48" s="722" t="s">
        <v>39</v>
      </c>
      <c r="C48" s="31"/>
      <c r="D48" s="713"/>
      <c r="E48" s="714"/>
      <c r="F48" s="1858">
        <f t="shared" ref="F48:F53" si="1">+ROUND(C48*E48,2)</f>
        <v>0</v>
      </c>
      <c r="G48" s="1741"/>
    </row>
    <row r="49" spans="1:10" s="1539" customFormat="1" ht="51">
      <c r="A49" s="1860">
        <v>8.1</v>
      </c>
      <c r="B49" s="1746" t="s">
        <v>2232</v>
      </c>
      <c r="C49" s="31">
        <v>1</v>
      </c>
      <c r="D49" s="713" t="s">
        <v>3</v>
      </c>
      <c r="E49" s="714">
        <v>111255.8</v>
      </c>
      <c r="F49" s="1858">
        <f t="shared" si="1"/>
        <v>111255.8</v>
      </c>
      <c r="G49" s="1741"/>
    </row>
    <row r="50" spans="1:10" s="1539" customFormat="1">
      <c r="A50" s="1860">
        <v>8.1999999999999993</v>
      </c>
      <c r="B50" s="1746" t="s">
        <v>2220</v>
      </c>
      <c r="C50" s="31">
        <v>2</v>
      </c>
      <c r="D50" s="713" t="s">
        <v>3</v>
      </c>
      <c r="E50" s="714">
        <v>38964.559999999998</v>
      </c>
      <c r="F50" s="1858">
        <f t="shared" si="1"/>
        <v>77929.119999999995</v>
      </c>
      <c r="G50" s="1741"/>
    </row>
    <row r="51" spans="1:10" s="1539" customFormat="1" ht="66.75" customHeight="1">
      <c r="A51" s="1860">
        <v>8.3000000000000007</v>
      </c>
      <c r="B51" s="1746" t="s">
        <v>2233</v>
      </c>
      <c r="C51" s="31">
        <v>1</v>
      </c>
      <c r="D51" s="713" t="s">
        <v>3</v>
      </c>
      <c r="E51" s="714">
        <v>50772.81</v>
      </c>
      <c r="F51" s="1858">
        <f t="shared" si="1"/>
        <v>50772.81</v>
      </c>
      <c r="G51" s="1741"/>
    </row>
    <row r="52" spans="1:10" s="1539" customFormat="1">
      <c r="A52" s="1860">
        <v>8.4</v>
      </c>
      <c r="B52" s="18" t="s">
        <v>414</v>
      </c>
      <c r="C52" s="31">
        <v>1</v>
      </c>
      <c r="D52" s="713" t="s">
        <v>3</v>
      </c>
      <c r="E52" s="714">
        <v>3500</v>
      </c>
      <c r="F52" s="1858">
        <f t="shared" si="1"/>
        <v>3500</v>
      </c>
      <c r="G52" s="1741"/>
    </row>
    <row r="53" spans="1:10" s="1539" customFormat="1" ht="14.25" customHeight="1">
      <c r="A53" s="1860">
        <v>8.5</v>
      </c>
      <c r="B53" s="18" t="s">
        <v>2230</v>
      </c>
      <c r="C53" s="31">
        <v>1</v>
      </c>
      <c r="D53" s="713" t="s">
        <v>3</v>
      </c>
      <c r="E53" s="714">
        <v>22500</v>
      </c>
      <c r="F53" s="1858">
        <f t="shared" si="1"/>
        <v>22500</v>
      </c>
      <c r="G53" s="1741"/>
    </row>
    <row r="54" spans="1:10" s="1539" customFormat="1" ht="14.25" customHeight="1">
      <c r="A54" s="1860"/>
      <c r="B54" s="18"/>
      <c r="C54" s="31"/>
      <c r="D54" s="713"/>
      <c r="E54" s="714"/>
      <c r="F54" s="1858"/>
      <c r="G54" s="1741"/>
    </row>
    <row r="55" spans="1:10" s="1539" customFormat="1">
      <c r="A55" s="1861">
        <v>9</v>
      </c>
      <c r="B55" s="722" t="s">
        <v>59</v>
      </c>
      <c r="C55" s="31"/>
      <c r="D55" s="522"/>
      <c r="E55" s="522"/>
      <c r="F55" s="1858">
        <f>+ROUND(C55*E55,2)</f>
        <v>0</v>
      </c>
      <c r="G55" s="1741"/>
    </row>
    <row r="56" spans="1:10" s="1745" customFormat="1" ht="25.5">
      <c r="A56" s="1865">
        <v>9.1</v>
      </c>
      <c r="B56" s="853" t="s">
        <v>981</v>
      </c>
      <c r="C56" s="31">
        <v>409</v>
      </c>
      <c r="D56" s="713" t="s">
        <v>1</v>
      </c>
      <c r="E56" s="1747">
        <v>53.28</v>
      </c>
      <c r="F56" s="1858">
        <f>+ROUND(C56*E56,2)</f>
        <v>21791.52</v>
      </c>
      <c r="G56" s="1744"/>
    </row>
    <row r="57" spans="1:10" s="1745" customFormat="1" ht="11.25" customHeight="1">
      <c r="A57" s="1870"/>
      <c r="B57" s="1052"/>
      <c r="C57" s="31"/>
      <c r="D57" s="713"/>
      <c r="E57" s="1747"/>
      <c r="F57" s="1858">
        <f>+ROUND(C57*E57,2)</f>
        <v>0</v>
      </c>
      <c r="G57" s="1744"/>
    </row>
    <row r="58" spans="1:10" s="1745" customFormat="1" ht="38.25">
      <c r="A58" s="1871">
        <v>10</v>
      </c>
      <c r="B58" s="1053" t="s">
        <v>520</v>
      </c>
      <c r="C58" s="31">
        <v>409</v>
      </c>
      <c r="D58" s="814" t="s">
        <v>1</v>
      </c>
      <c r="E58" s="32">
        <v>23.11</v>
      </c>
      <c r="F58" s="1858">
        <f>ROUND(C58*E58,2)</f>
        <v>9451.99</v>
      </c>
      <c r="G58" s="1744"/>
      <c r="J58" s="1748"/>
    </row>
    <row r="59" spans="1:10" s="1745" customFormat="1" ht="12.75" customHeight="1">
      <c r="A59" s="1860"/>
      <c r="B59" s="1052"/>
      <c r="C59" s="31"/>
      <c r="D59" s="814"/>
      <c r="E59" s="1777"/>
      <c r="F59" s="1872"/>
      <c r="G59" s="1744"/>
    </row>
    <row r="60" spans="1:10" s="1745" customFormat="1" ht="12.75" customHeight="1">
      <c r="A60" s="1860">
        <v>11</v>
      </c>
      <c r="B60" s="1052" t="s">
        <v>462</v>
      </c>
      <c r="C60" s="31">
        <v>409</v>
      </c>
      <c r="D60" s="814" t="s">
        <v>1</v>
      </c>
      <c r="E60" s="1777">
        <v>15</v>
      </c>
      <c r="F60" s="1858">
        <f>ROUND(C60*E60,2)</f>
        <v>6135</v>
      </c>
      <c r="G60" s="1744"/>
      <c r="J60" s="1748"/>
    </row>
    <row r="61" spans="1:10" s="1539" customFormat="1" ht="16.5" customHeight="1">
      <c r="A61" s="1873">
        <v>0</v>
      </c>
      <c r="B61" s="1827" t="s">
        <v>456</v>
      </c>
      <c r="C61" s="1827"/>
      <c r="D61" s="1827"/>
      <c r="E61" s="1828"/>
      <c r="F61" s="1874">
        <f>SUM(F16:F60)</f>
        <v>4301328.12</v>
      </c>
      <c r="G61" s="1741"/>
    </row>
    <row r="62" spans="1:10" s="1539" customFormat="1" ht="12.75" customHeight="1">
      <c r="A62" s="1860"/>
      <c r="B62" s="522"/>
      <c r="C62" s="31"/>
      <c r="D62" s="522"/>
      <c r="E62" s="31"/>
      <c r="F62" s="1875"/>
      <c r="G62" s="1741"/>
    </row>
    <row r="63" spans="1:10" s="650" customFormat="1" ht="30">
      <c r="A63" s="1857" t="s">
        <v>9</v>
      </c>
      <c r="B63" s="1403" t="s">
        <v>2317</v>
      </c>
      <c r="C63" s="31"/>
      <c r="D63" s="1794"/>
      <c r="E63" s="31"/>
      <c r="F63" s="1858"/>
      <c r="G63" s="1741"/>
    </row>
    <row r="64" spans="1:10" s="44" customFormat="1" ht="12.75" customHeight="1">
      <c r="A64" s="1860"/>
      <c r="B64" s="522"/>
      <c r="C64" s="31"/>
      <c r="D64" s="522"/>
      <c r="E64" s="522"/>
      <c r="F64" s="1875"/>
      <c r="G64" s="328"/>
      <c r="H64" s="328"/>
      <c r="I64" s="328"/>
      <c r="J64" s="328"/>
    </row>
    <row r="65" spans="1:10" s="44" customFormat="1" ht="15" customHeight="1">
      <c r="A65" s="1857" t="s">
        <v>482</v>
      </c>
      <c r="B65" s="819" t="s">
        <v>576</v>
      </c>
      <c r="C65" s="31"/>
      <c r="D65" s="1798"/>
      <c r="E65" s="1749"/>
      <c r="F65" s="1875">
        <f>+C65*E65</f>
        <v>0</v>
      </c>
      <c r="G65" s="251"/>
      <c r="H65" s="251"/>
      <c r="I65" s="251"/>
      <c r="J65" s="251"/>
    </row>
    <row r="66" spans="1:10" s="44" customFormat="1" ht="12.75" customHeight="1">
      <c r="A66" s="1876"/>
      <c r="B66" s="522"/>
      <c r="C66" s="31"/>
      <c r="D66" s="1798"/>
      <c r="E66" s="1749"/>
      <c r="F66" s="1875"/>
      <c r="G66" s="251"/>
      <c r="H66" s="251"/>
      <c r="I66" s="251"/>
      <c r="J66" s="251"/>
    </row>
    <row r="67" spans="1:10" s="44" customFormat="1" ht="12.75" customHeight="1">
      <c r="A67" s="1876">
        <v>1</v>
      </c>
      <c r="B67" s="522" t="s">
        <v>577</v>
      </c>
      <c r="C67" s="31">
        <v>10</v>
      </c>
      <c r="D67" s="1798" t="s">
        <v>578</v>
      </c>
      <c r="E67" s="1749">
        <v>22500</v>
      </c>
      <c r="F67" s="1864">
        <f>+ROUND((E67*C67),2)</f>
        <v>225000</v>
      </c>
      <c r="G67" s="251"/>
      <c r="H67" s="251"/>
      <c r="I67" s="251"/>
      <c r="J67" s="251"/>
    </row>
    <row r="68" spans="1:10" s="44" customFormat="1" ht="6" customHeight="1">
      <c r="A68" s="1876"/>
      <c r="B68" s="522"/>
      <c r="C68" s="31"/>
      <c r="D68" s="1798"/>
      <c r="E68" s="1749"/>
      <c r="F68" s="1864">
        <f t="shared" ref="F68:F76" si="2">+ROUND((E68*C68),2)</f>
        <v>0</v>
      </c>
      <c r="G68" s="251"/>
      <c r="H68" s="251"/>
      <c r="I68" s="251"/>
      <c r="J68" s="251"/>
    </row>
    <row r="69" spans="1:10" s="44" customFormat="1" ht="12.75" customHeight="1">
      <c r="A69" s="1861">
        <v>2</v>
      </c>
      <c r="B69" s="819" t="s">
        <v>579</v>
      </c>
      <c r="C69" s="31"/>
      <c r="D69" s="1750"/>
      <c r="E69" s="522"/>
      <c r="F69" s="1864">
        <f t="shared" si="2"/>
        <v>0</v>
      </c>
      <c r="G69" s="840"/>
      <c r="H69" s="840"/>
      <c r="I69" s="840"/>
      <c r="J69" s="840"/>
    </row>
    <row r="70" spans="1:10" s="44" customFormat="1" ht="8.25" customHeight="1">
      <c r="A70" s="1861"/>
      <c r="B70" s="819"/>
      <c r="C70" s="31"/>
      <c r="D70" s="1750"/>
      <c r="E70" s="522"/>
      <c r="F70" s="1864"/>
      <c r="G70" s="840"/>
      <c r="H70" s="840"/>
      <c r="I70" s="840"/>
      <c r="J70" s="840"/>
    </row>
    <row r="71" spans="1:10" s="44" customFormat="1" ht="25.5">
      <c r="A71" s="1877">
        <f>A69+0.1</f>
        <v>2.1</v>
      </c>
      <c r="B71" s="1797" t="s">
        <v>2183</v>
      </c>
      <c r="C71" s="1794"/>
      <c r="D71" s="522"/>
      <c r="E71" s="1751"/>
      <c r="F71" s="1864"/>
      <c r="G71" s="840"/>
      <c r="H71" s="840"/>
      <c r="I71" s="840"/>
      <c r="J71" s="840"/>
    </row>
    <row r="72" spans="1:10" s="1539" customFormat="1">
      <c r="A72" s="1863" t="s">
        <v>1182</v>
      </c>
      <c r="B72" s="1201" t="s">
        <v>2314</v>
      </c>
      <c r="C72" s="31">
        <v>11991</v>
      </c>
      <c r="D72" s="713" t="s">
        <v>2</v>
      </c>
      <c r="E72" s="714">
        <v>65</v>
      </c>
      <c r="F72" s="1864">
        <f>+ROUND(C72*E72,2)</f>
        <v>779415</v>
      </c>
      <c r="G72" s="1741"/>
      <c r="H72" s="1742"/>
      <c r="I72" s="1743"/>
    </row>
    <row r="73" spans="1:10" s="1539" customFormat="1">
      <c r="A73" s="1863" t="s">
        <v>1183</v>
      </c>
      <c r="B73" s="1201" t="s">
        <v>2318</v>
      </c>
      <c r="C73" s="31">
        <v>5139</v>
      </c>
      <c r="D73" s="713" t="s">
        <v>2</v>
      </c>
      <c r="E73" s="714">
        <v>450.8</v>
      </c>
      <c r="F73" s="1864">
        <f>+ROUND(C73*E73,2)</f>
        <v>2316661.2000000002</v>
      </c>
      <c r="G73" s="1741"/>
      <c r="H73" s="1742"/>
      <c r="I73" s="1743"/>
    </row>
    <row r="74" spans="1:10" ht="25.5">
      <c r="A74" s="1863" t="s">
        <v>1958</v>
      </c>
      <c r="B74" s="1201" t="s">
        <v>2184</v>
      </c>
      <c r="C74" s="31">
        <v>6423.75</v>
      </c>
      <c r="D74" s="1799" t="s">
        <v>2</v>
      </c>
      <c r="E74" s="714">
        <v>183.5</v>
      </c>
      <c r="F74" s="1864">
        <f t="shared" si="2"/>
        <v>1178758.1299999999</v>
      </c>
      <c r="G74" s="44"/>
    </row>
    <row r="75" spans="1:10" s="44" customFormat="1" ht="25.5">
      <c r="A75" s="1878" t="s">
        <v>1959</v>
      </c>
      <c r="B75" s="1824" t="s">
        <v>2223</v>
      </c>
      <c r="C75" s="1813">
        <v>10170.94</v>
      </c>
      <c r="D75" s="1817" t="s">
        <v>2</v>
      </c>
      <c r="E75" s="1829">
        <v>210</v>
      </c>
      <c r="F75" s="1879">
        <f t="shared" si="2"/>
        <v>2135897.4</v>
      </c>
      <c r="G75" s="840"/>
      <c r="H75" s="840"/>
      <c r="I75" s="840"/>
      <c r="J75" s="840"/>
    </row>
    <row r="76" spans="1:10" s="44" customFormat="1" ht="12.75" customHeight="1">
      <c r="A76" s="1880"/>
      <c r="B76" s="1799"/>
      <c r="C76" s="31"/>
      <c r="D76" s="522"/>
      <c r="E76" s="1751"/>
      <c r="F76" s="1864">
        <f t="shared" si="2"/>
        <v>0</v>
      </c>
      <c r="G76" s="840"/>
      <c r="H76" s="840"/>
      <c r="I76" s="840"/>
      <c r="J76" s="840"/>
    </row>
    <row r="77" spans="1:10" s="44" customFormat="1" ht="25.5">
      <c r="A77" s="1877">
        <v>3</v>
      </c>
      <c r="B77" s="1797" t="s">
        <v>2224</v>
      </c>
      <c r="C77" s="1794"/>
      <c r="D77" s="522"/>
      <c r="E77" s="1751"/>
      <c r="F77" s="1864"/>
      <c r="G77" s="840"/>
      <c r="H77" s="840"/>
      <c r="I77" s="840"/>
      <c r="J77" s="840"/>
    </row>
    <row r="78" spans="1:10" s="44" customFormat="1" ht="12.75" customHeight="1">
      <c r="A78" s="1880">
        <v>3.1</v>
      </c>
      <c r="B78" s="1752" t="s">
        <v>1534</v>
      </c>
      <c r="C78" s="31">
        <v>2.2999999999999998</v>
      </c>
      <c r="D78" s="1798" t="s">
        <v>2</v>
      </c>
      <c r="E78" s="1749">
        <v>17748.18</v>
      </c>
      <c r="F78" s="1864">
        <f t="shared" ref="F78:F99" si="3">+ROUND((E78*C78),2)</f>
        <v>40820.81</v>
      </c>
      <c r="G78" s="510"/>
      <c r="H78" s="840"/>
      <c r="I78" s="840"/>
      <c r="J78" s="840"/>
    </row>
    <row r="79" spans="1:10" s="44" customFormat="1" ht="25.5">
      <c r="A79" s="1880">
        <f>+A78+0.1</f>
        <v>3.2</v>
      </c>
      <c r="B79" s="1753" t="s">
        <v>1532</v>
      </c>
      <c r="C79" s="31">
        <v>2.93</v>
      </c>
      <c r="D79" s="1798" t="s">
        <v>2</v>
      </c>
      <c r="E79" s="1749">
        <v>15161.86</v>
      </c>
      <c r="F79" s="1864">
        <f t="shared" si="3"/>
        <v>44424.25</v>
      </c>
      <c r="G79" s="510"/>
      <c r="H79" s="840"/>
      <c r="I79" s="840"/>
      <c r="J79" s="840"/>
    </row>
    <row r="80" spans="1:10" s="44" customFormat="1" ht="12.75" customHeight="1">
      <c r="A80" s="1880">
        <f t="shared" ref="A80:A86" si="4">+A79+0.1</f>
        <v>3.3</v>
      </c>
      <c r="B80" s="522" t="s">
        <v>1522</v>
      </c>
      <c r="C80" s="31">
        <v>224.21</v>
      </c>
      <c r="D80" s="1798" t="s">
        <v>2</v>
      </c>
      <c r="E80" s="1749">
        <v>19757.759999999998</v>
      </c>
      <c r="F80" s="1864">
        <f t="shared" si="3"/>
        <v>4429887.37</v>
      </c>
      <c r="G80" s="510"/>
      <c r="H80" s="251"/>
      <c r="J80" s="251"/>
    </row>
    <row r="81" spans="1:10" s="44" customFormat="1" ht="12.75" customHeight="1">
      <c r="A81" s="1880">
        <f t="shared" si="4"/>
        <v>3.4</v>
      </c>
      <c r="B81" s="522" t="s">
        <v>1523</v>
      </c>
      <c r="C81" s="31">
        <v>1.79</v>
      </c>
      <c r="D81" s="1798" t="s">
        <v>2</v>
      </c>
      <c r="E81" s="1749">
        <v>14048.28</v>
      </c>
      <c r="F81" s="1864">
        <f t="shared" si="3"/>
        <v>25146.42</v>
      </c>
      <c r="G81" s="510"/>
      <c r="H81" s="251"/>
      <c r="I81" s="251"/>
      <c r="J81" s="251"/>
    </row>
    <row r="82" spans="1:10" s="44" customFormat="1" ht="12.75" customHeight="1">
      <c r="A82" s="1880">
        <f t="shared" si="4"/>
        <v>3.5</v>
      </c>
      <c r="B82" s="522" t="s">
        <v>1524</v>
      </c>
      <c r="C82" s="31">
        <v>15.46</v>
      </c>
      <c r="D82" s="1798" t="s">
        <v>2</v>
      </c>
      <c r="E82" s="1749">
        <v>17228.18</v>
      </c>
      <c r="F82" s="1864">
        <f t="shared" si="3"/>
        <v>266347.65999999997</v>
      </c>
      <c r="G82" s="510"/>
      <c r="H82" s="251"/>
      <c r="J82" s="251"/>
    </row>
    <row r="83" spans="1:10" s="44" customFormat="1" ht="12.75" customHeight="1">
      <c r="A83" s="1880">
        <f t="shared" si="4"/>
        <v>3.6</v>
      </c>
      <c r="B83" s="1752" t="s">
        <v>1525</v>
      </c>
      <c r="C83" s="31">
        <v>4.9000000000000004</v>
      </c>
      <c r="D83" s="1798" t="s">
        <v>2</v>
      </c>
      <c r="E83" s="1749">
        <v>18757.37</v>
      </c>
      <c r="F83" s="1864">
        <f t="shared" si="3"/>
        <v>91911.11</v>
      </c>
      <c r="G83" s="510"/>
      <c r="H83" s="840"/>
      <c r="I83" s="840"/>
      <c r="J83" s="840"/>
    </row>
    <row r="84" spans="1:10" s="44" customFormat="1" ht="27" customHeight="1">
      <c r="A84" s="1880">
        <f t="shared" si="4"/>
        <v>3.7</v>
      </c>
      <c r="B84" s="1753" t="s">
        <v>1526</v>
      </c>
      <c r="C84" s="31">
        <v>7.32</v>
      </c>
      <c r="D84" s="1798" t="s">
        <v>2</v>
      </c>
      <c r="E84" s="1749">
        <v>22107.32</v>
      </c>
      <c r="F84" s="1864">
        <f t="shared" si="3"/>
        <v>161825.57999999999</v>
      </c>
      <c r="G84" s="510"/>
      <c r="H84" s="840"/>
      <c r="I84" s="840"/>
      <c r="J84" s="840"/>
    </row>
    <row r="85" spans="1:10" s="44" customFormat="1" ht="12.75" customHeight="1">
      <c r="A85" s="1880">
        <f t="shared" si="4"/>
        <v>3.8</v>
      </c>
      <c r="B85" s="522" t="s">
        <v>1550</v>
      </c>
      <c r="C85" s="31">
        <v>7.4</v>
      </c>
      <c r="D85" s="1798" t="s">
        <v>2</v>
      </c>
      <c r="E85" s="1749">
        <v>26913.77</v>
      </c>
      <c r="F85" s="1864">
        <f t="shared" si="3"/>
        <v>199161.9</v>
      </c>
      <c r="G85" s="510"/>
      <c r="H85" s="251"/>
      <c r="I85" s="251"/>
      <c r="J85" s="251"/>
    </row>
    <row r="86" spans="1:10" s="44" customFormat="1" ht="24.75" customHeight="1">
      <c r="A86" s="1880">
        <f t="shared" si="4"/>
        <v>3.9</v>
      </c>
      <c r="B86" s="1753" t="s">
        <v>1528</v>
      </c>
      <c r="C86" s="31">
        <v>2.93</v>
      </c>
      <c r="D86" s="1798" t="s">
        <v>2</v>
      </c>
      <c r="E86" s="1749">
        <v>20709.080000000002</v>
      </c>
      <c r="F86" s="1864">
        <f t="shared" si="3"/>
        <v>60677.599999999999</v>
      </c>
      <c r="G86" s="510"/>
      <c r="H86" s="251"/>
      <c r="I86" s="251"/>
      <c r="J86" s="251"/>
    </row>
    <row r="87" spans="1:10" s="44" customFormat="1" ht="12.75" customHeight="1">
      <c r="A87" s="1855">
        <v>3.1</v>
      </c>
      <c r="B87" s="522" t="s">
        <v>1529</v>
      </c>
      <c r="C87" s="31">
        <v>13.72</v>
      </c>
      <c r="D87" s="1798" t="s">
        <v>2</v>
      </c>
      <c r="E87" s="1749">
        <v>18262.16</v>
      </c>
      <c r="F87" s="1864">
        <f t="shared" si="3"/>
        <v>250556.84</v>
      </c>
      <c r="G87" s="510"/>
      <c r="H87" s="251"/>
      <c r="I87" s="251"/>
      <c r="J87" s="251"/>
    </row>
    <row r="88" spans="1:10" s="44" customFormat="1" ht="12.75" customHeight="1">
      <c r="A88" s="1855">
        <v>3.11</v>
      </c>
      <c r="B88" s="1752" t="s">
        <v>1530</v>
      </c>
      <c r="C88" s="31">
        <v>2.92</v>
      </c>
      <c r="D88" s="1798" t="s">
        <v>2</v>
      </c>
      <c r="E88" s="1749">
        <v>19802.72</v>
      </c>
      <c r="F88" s="1864">
        <f t="shared" si="3"/>
        <v>57823.94</v>
      </c>
      <c r="G88" s="510"/>
      <c r="H88" s="1369"/>
      <c r="I88" s="251"/>
      <c r="J88" s="251"/>
    </row>
    <row r="89" spans="1:10" s="44" customFormat="1" ht="12.75" customHeight="1">
      <c r="A89" s="1855">
        <v>3.12</v>
      </c>
      <c r="B89" s="1752" t="s">
        <v>1531</v>
      </c>
      <c r="C89" s="31">
        <v>0.04</v>
      </c>
      <c r="D89" s="1798" t="s">
        <v>2</v>
      </c>
      <c r="E89" s="1749">
        <v>23116.9</v>
      </c>
      <c r="F89" s="1864">
        <f t="shared" si="3"/>
        <v>924.68</v>
      </c>
      <c r="G89" s="510"/>
      <c r="H89" s="251"/>
      <c r="I89" s="251"/>
      <c r="J89" s="251"/>
    </row>
    <row r="90" spans="1:10" s="44" customFormat="1" ht="12.75" customHeight="1">
      <c r="A90" s="1855">
        <v>3.13</v>
      </c>
      <c r="B90" s="1752" t="s">
        <v>1539</v>
      </c>
      <c r="C90" s="31">
        <v>87.63</v>
      </c>
      <c r="D90" s="1798" t="s">
        <v>2</v>
      </c>
      <c r="E90" s="1749">
        <v>12553.46</v>
      </c>
      <c r="F90" s="1864">
        <f t="shared" si="3"/>
        <v>1100059.7</v>
      </c>
      <c r="G90" s="510"/>
      <c r="H90" s="251"/>
      <c r="I90" s="251"/>
      <c r="J90" s="251"/>
    </row>
    <row r="91" spans="1:10" s="44" customFormat="1" ht="12.75" customHeight="1">
      <c r="A91" s="1855">
        <v>3.14</v>
      </c>
      <c r="B91" s="1752" t="s">
        <v>1533</v>
      </c>
      <c r="C91" s="31">
        <v>5.59</v>
      </c>
      <c r="D91" s="1798" t="s">
        <v>2</v>
      </c>
      <c r="E91" s="1749">
        <v>15699.5</v>
      </c>
      <c r="F91" s="1864">
        <f t="shared" si="3"/>
        <v>87760.21</v>
      </c>
      <c r="G91" s="510"/>
      <c r="H91" s="251"/>
      <c r="I91" s="251"/>
      <c r="J91" s="251"/>
    </row>
    <row r="92" spans="1:10" s="44" customFormat="1" ht="12.75" customHeight="1">
      <c r="A92" s="1855">
        <v>3.15</v>
      </c>
      <c r="B92" s="1752" t="s">
        <v>1535</v>
      </c>
      <c r="C92" s="31">
        <v>1.1299999999999999</v>
      </c>
      <c r="D92" s="1798" t="s">
        <v>2</v>
      </c>
      <c r="E92" s="1749">
        <v>12407.81</v>
      </c>
      <c r="F92" s="1864">
        <f t="shared" si="3"/>
        <v>14020.83</v>
      </c>
      <c r="G92" s="510"/>
      <c r="H92" s="251"/>
      <c r="I92" s="251"/>
      <c r="J92" s="251"/>
    </row>
    <row r="93" spans="1:10" s="44" customFormat="1" ht="26.25" customHeight="1">
      <c r="A93" s="1855">
        <v>3.16</v>
      </c>
      <c r="B93" s="1753" t="s">
        <v>1536</v>
      </c>
      <c r="C93" s="31">
        <v>0.86</v>
      </c>
      <c r="D93" s="1798" t="s">
        <v>2</v>
      </c>
      <c r="E93" s="1749">
        <v>11941.73</v>
      </c>
      <c r="F93" s="1864">
        <f t="shared" si="3"/>
        <v>10269.89</v>
      </c>
      <c r="G93" s="510"/>
      <c r="H93" s="251"/>
      <c r="I93" s="251"/>
      <c r="J93" s="251"/>
    </row>
    <row r="94" spans="1:10" s="44" customFormat="1" ht="12.75" customHeight="1">
      <c r="A94" s="1855">
        <v>3.17</v>
      </c>
      <c r="B94" s="1752" t="s">
        <v>1537</v>
      </c>
      <c r="C94" s="31">
        <v>6.6</v>
      </c>
      <c r="D94" s="1798" t="s">
        <v>2</v>
      </c>
      <c r="E94" s="1749">
        <v>12582.59</v>
      </c>
      <c r="F94" s="1864">
        <f t="shared" si="3"/>
        <v>83045.09</v>
      </c>
      <c r="G94" s="510"/>
      <c r="H94" s="251"/>
      <c r="I94" s="251"/>
      <c r="J94" s="251"/>
    </row>
    <row r="95" spans="1:10" s="44" customFormat="1" ht="12.75" customHeight="1">
      <c r="A95" s="1855">
        <v>3.18</v>
      </c>
      <c r="B95" s="1752" t="s">
        <v>1538</v>
      </c>
      <c r="C95" s="31">
        <v>0.75</v>
      </c>
      <c r="D95" s="1798" t="s">
        <v>2</v>
      </c>
      <c r="E95" s="1749">
        <v>13223.45</v>
      </c>
      <c r="F95" s="1864">
        <f t="shared" si="3"/>
        <v>9917.59</v>
      </c>
      <c r="G95" s="510"/>
      <c r="H95" s="251"/>
      <c r="I95" s="251"/>
      <c r="J95" s="251"/>
    </row>
    <row r="96" spans="1:10" s="44" customFormat="1" ht="25.5">
      <c r="A96" s="1855">
        <v>3.19</v>
      </c>
      <c r="B96" s="1753" t="s">
        <v>1540</v>
      </c>
      <c r="C96" s="31">
        <v>0.54</v>
      </c>
      <c r="D96" s="1798" t="s">
        <v>2</v>
      </c>
      <c r="E96" s="1749">
        <v>11165.15</v>
      </c>
      <c r="F96" s="1864">
        <f t="shared" si="3"/>
        <v>6029.18</v>
      </c>
      <c r="G96" s="510"/>
      <c r="H96" s="251"/>
      <c r="I96" s="251"/>
      <c r="J96" s="251"/>
    </row>
    <row r="97" spans="1:14" s="44" customFormat="1" ht="27.75" customHeight="1">
      <c r="A97" s="1855">
        <v>3.2</v>
      </c>
      <c r="B97" s="1753" t="s">
        <v>1542</v>
      </c>
      <c r="C97" s="31">
        <v>0.66</v>
      </c>
      <c r="D97" s="1798" t="s">
        <v>2</v>
      </c>
      <c r="E97" s="1749">
        <v>10491.75</v>
      </c>
      <c r="F97" s="1864">
        <f t="shared" si="3"/>
        <v>6924.56</v>
      </c>
      <c r="G97" s="510"/>
      <c r="H97" s="251"/>
      <c r="I97" s="251"/>
      <c r="J97" s="251"/>
      <c r="N97" s="44">
        <v>1.84</v>
      </c>
    </row>
    <row r="98" spans="1:14" s="44" customFormat="1" ht="12.75" customHeight="1">
      <c r="A98" s="1855">
        <v>3.21</v>
      </c>
      <c r="B98" s="1752" t="s">
        <v>1541</v>
      </c>
      <c r="C98" s="31">
        <v>7.16</v>
      </c>
      <c r="D98" s="1798" t="s">
        <v>2</v>
      </c>
      <c r="E98" s="1749">
        <v>14595.49</v>
      </c>
      <c r="F98" s="1864">
        <f t="shared" si="3"/>
        <v>104503.71</v>
      </c>
      <c r="G98" s="510"/>
      <c r="H98" s="251"/>
      <c r="I98" s="251"/>
      <c r="J98" s="251"/>
      <c r="N98" s="44">
        <f>1.95+0.15+0.5</f>
        <v>2.6</v>
      </c>
    </row>
    <row r="99" spans="1:14" s="44" customFormat="1" ht="12.75" customHeight="1">
      <c r="A99" s="1855">
        <v>3.22</v>
      </c>
      <c r="B99" s="1794" t="s">
        <v>1543</v>
      </c>
      <c r="C99" s="1794">
        <v>0.56999999999999995</v>
      </c>
      <c r="D99" s="1794" t="s">
        <v>2</v>
      </c>
      <c r="E99" s="1794">
        <v>16401.55</v>
      </c>
      <c r="F99" s="1856">
        <f t="shared" si="3"/>
        <v>9348.8799999999992</v>
      </c>
      <c r="G99" s="510"/>
      <c r="H99" s="251"/>
      <c r="I99" s="251"/>
      <c r="J99" s="251"/>
      <c r="N99" s="44">
        <f>+N98*N97*6</f>
        <v>28.704000000000001</v>
      </c>
    </row>
    <row r="100" spans="1:14" s="44" customFormat="1" ht="12.75" customHeight="1">
      <c r="A100" s="1855">
        <v>3.23</v>
      </c>
      <c r="B100" s="1752" t="s">
        <v>1982</v>
      </c>
      <c r="C100" s="31">
        <v>28.7</v>
      </c>
      <c r="D100" s="1798" t="s">
        <v>11</v>
      </c>
      <c r="E100" s="1749">
        <v>7952.56</v>
      </c>
      <c r="F100" s="1864">
        <f>+ROUND((E100*C100),2)</f>
        <v>228238.47</v>
      </c>
      <c r="G100" s="510"/>
      <c r="H100" s="251"/>
      <c r="I100" s="251"/>
      <c r="J100" s="251"/>
      <c r="N100" s="44">
        <f>+N99*6</f>
        <v>172.22399999999999</v>
      </c>
    </row>
    <row r="101" spans="1:14" s="44" customFormat="1" ht="12.75" customHeight="1">
      <c r="A101" s="1880"/>
      <c r="B101" s="1799"/>
      <c r="C101" s="31"/>
      <c r="D101" s="522"/>
      <c r="E101" s="1751"/>
      <c r="F101" s="1864"/>
      <c r="G101" s="510"/>
      <c r="H101" s="840"/>
      <c r="I101" s="840"/>
      <c r="J101" s="840"/>
    </row>
    <row r="102" spans="1:14" s="44" customFormat="1" ht="12.75" customHeight="1">
      <c r="A102" s="1861">
        <v>4</v>
      </c>
      <c r="B102" s="819" t="s">
        <v>600</v>
      </c>
      <c r="C102" s="31"/>
      <c r="D102" s="1798"/>
      <c r="E102" s="1749"/>
      <c r="F102" s="1864">
        <f t="shared" ref="F102:F107" si="5">+ROUND((E102*C102),2)</f>
        <v>0</v>
      </c>
      <c r="G102" s="251"/>
      <c r="H102" s="251"/>
      <c r="I102" s="251"/>
      <c r="J102" s="251"/>
    </row>
    <row r="103" spans="1:14" s="44" customFormat="1" ht="12.75" customHeight="1">
      <c r="A103" s="1876">
        <v>4.0999999999999996</v>
      </c>
      <c r="B103" s="522" t="s">
        <v>587</v>
      </c>
      <c r="C103" s="522">
        <v>338.94</v>
      </c>
      <c r="D103" s="1798" t="s">
        <v>11</v>
      </c>
      <c r="E103" s="1749">
        <v>518.98</v>
      </c>
      <c r="F103" s="1864">
        <f t="shared" si="5"/>
        <v>175903.08</v>
      </c>
      <c r="G103" s="251"/>
      <c r="H103" s="251"/>
      <c r="I103" s="251"/>
      <c r="J103" s="251"/>
    </row>
    <row r="104" spans="1:14" s="275" customFormat="1" ht="12.75" customHeight="1">
      <c r="A104" s="1876">
        <v>4.2</v>
      </c>
      <c r="B104" s="522" t="s">
        <v>174</v>
      </c>
      <c r="C104" s="522">
        <v>51.58</v>
      </c>
      <c r="D104" s="1798" t="s">
        <v>11</v>
      </c>
      <c r="E104" s="1749">
        <v>501.75</v>
      </c>
      <c r="F104" s="1864">
        <f t="shared" si="5"/>
        <v>25880.27</v>
      </c>
      <c r="G104" s="251"/>
      <c r="H104" s="251"/>
      <c r="I104" s="251"/>
      <c r="J104" s="251"/>
    </row>
    <row r="105" spans="1:14" s="275" customFormat="1" ht="12.75" customHeight="1">
      <c r="A105" s="1876">
        <v>4.3</v>
      </c>
      <c r="B105" s="522" t="s">
        <v>165</v>
      </c>
      <c r="C105" s="522">
        <v>583.35</v>
      </c>
      <c r="D105" s="1798" t="s">
        <v>11</v>
      </c>
      <c r="E105" s="1749">
        <v>312.7</v>
      </c>
      <c r="F105" s="1864">
        <f t="shared" si="5"/>
        <v>182413.55</v>
      </c>
      <c r="G105" s="251"/>
      <c r="H105" s="251"/>
      <c r="I105" s="251"/>
      <c r="J105" s="251"/>
    </row>
    <row r="106" spans="1:14" s="275" customFormat="1" ht="12.75" customHeight="1">
      <c r="A106" s="1876">
        <v>4.4000000000000004</v>
      </c>
      <c r="B106" s="522" t="s">
        <v>152</v>
      </c>
      <c r="C106" s="522">
        <v>452.26</v>
      </c>
      <c r="D106" s="1798" t="s">
        <v>11</v>
      </c>
      <c r="E106" s="1749">
        <v>331.47</v>
      </c>
      <c r="F106" s="1864">
        <f t="shared" si="5"/>
        <v>149910.62</v>
      </c>
      <c r="G106" s="251"/>
      <c r="H106" s="251"/>
      <c r="I106" s="251"/>
      <c r="J106" s="251"/>
    </row>
    <row r="107" spans="1:14" s="44" customFormat="1" ht="12.75" customHeight="1">
      <c r="A107" s="1876">
        <v>4.5</v>
      </c>
      <c r="B107" s="522" t="s">
        <v>177</v>
      </c>
      <c r="C107" s="522">
        <v>328.17</v>
      </c>
      <c r="D107" s="1798" t="s">
        <v>1</v>
      </c>
      <c r="E107" s="1749">
        <v>82.21</v>
      </c>
      <c r="F107" s="1864">
        <f t="shared" si="5"/>
        <v>26978.86</v>
      </c>
      <c r="G107" s="251"/>
      <c r="H107" s="251"/>
      <c r="I107" s="251"/>
      <c r="J107" s="251"/>
    </row>
    <row r="108" spans="1:14" s="44" customFormat="1" ht="12.75" customHeight="1">
      <c r="A108" s="1880"/>
      <c r="B108" s="1799"/>
      <c r="C108" s="31"/>
      <c r="D108" s="522"/>
      <c r="E108" s="1751"/>
      <c r="F108" s="1864"/>
      <c r="G108" s="840"/>
      <c r="H108" s="840"/>
      <c r="I108" s="840"/>
      <c r="J108" s="840"/>
    </row>
    <row r="109" spans="1:14" s="44" customFormat="1" ht="12.75" customHeight="1">
      <c r="A109" s="1876">
        <v>5</v>
      </c>
      <c r="B109" s="522" t="s">
        <v>766</v>
      </c>
      <c r="C109" s="522">
        <v>180.08</v>
      </c>
      <c r="D109" s="1798" t="s">
        <v>11</v>
      </c>
      <c r="E109" s="1749">
        <v>777.08</v>
      </c>
      <c r="F109" s="1864">
        <f>+ROUND((E109*C109),2)</f>
        <v>139936.57</v>
      </c>
      <c r="G109" s="251"/>
      <c r="H109" s="251"/>
      <c r="I109" s="251"/>
      <c r="J109" s="251"/>
    </row>
    <row r="110" spans="1:14" s="44" customFormat="1" ht="12.75" customHeight="1">
      <c r="A110" s="1876"/>
      <c r="B110" s="522"/>
      <c r="C110" s="31"/>
      <c r="D110" s="1798"/>
      <c r="E110" s="1749"/>
      <c r="F110" s="1856"/>
      <c r="G110" s="251"/>
      <c r="H110" s="251"/>
      <c r="I110" s="251"/>
      <c r="J110" s="251"/>
    </row>
    <row r="111" spans="1:14" s="44" customFormat="1" ht="25.5">
      <c r="A111" s="1867">
        <v>6</v>
      </c>
      <c r="B111" s="744" t="s">
        <v>2226</v>
      </c>
      <c r="C111" s="31"/>
      <c r="D111" s="1798"/>
      <c r="E111" s="1749"/>
      <c r="F111" s="1856">
        <f>+ROUND((E111*C111),2)</f>
        <v>0</v>
      </c>
      <c r="G111" s="251"/>
      <c r="H111" s="251"/>
      <c r="I111" s="251"/>
      <c r="J111" s="251"/>
    </row>
    <row r="112" spans="1:14" s="44" customFormat="1" ht="25.5">
      <c r="A112" s="1881">
        <v>6.1</v>
      </c>
      <c r="B112" s="1830" t="s">
        <v>2159</v>
      </c>
      <c r="C112" s="1813">
        <v>3</v>
      </c>
      <c r="D112" s="1815" t="s">
        <v>13</v>
      </c>
      <c r="E112" s="1816">
        <v>7417.19</v>
      </c>
      <c r="F112" s="1879">
        <f>+ROUND((E112*C112),2)</f>
        <v>22251.57</v>
      </c>
      <c r="H112" s="251"/>
      <c r="I112" s="251"/>
      <c r="J112" s="251"/>
    </row>
    <row r="113" spans="1:10" ht="25.5">
      <c r="A113" s="1865">
        <v>6.2</v>
      </c>
      <c r="B113" s="1753" t="s">
        <v>2235</v>
      </c>
      <c r="C113" s="31">
        <v>1</v>
      </c>
      <c r="D113" s="1798" t="s">
        <v>3</v>
      </c>
      <c r="E113" s="1749">
        <v>14160.67</v>
      </c>
      <c r="F113" s="1864">
        <f>ROUND(E113*C113,2)</f>
        <v>14160.67</v>
      </c>
      <c r="G113" s="1754"/>
      <c r="H113" s="1754"/>
      <c r="I113" s="1754"/>
      <c r="J113" s="1754"/>
    </row>
    <row r="114" spans="1:10">
      <c r="A114" s="1865">
        <v>6.3</v>
      </c>
      <c r="B114" s="1753" t="s">
        <v>1169</v>
      </c>
      <c r="C114" s="31">
        <v>1</v>
      </c>
      <c r="D114" s="1798" t="s">
        <v>3</v>
      </c>
      <c r="E114" s="1749">
        <v>3500</v>
      </c>
      <c r="F114" s="1864">
        <f>ROUND(E114*C114,2)</f>
        <v>3500</v>
      </c>
      <c r="G114" s="1754"/>
      <c r="H114" s="1754"/>
      <c r="I114" s="1754"/>
      <c r="J114" s="1754"/>
    </row>
    <row r="115" spans="1:10" s="44" customFormat="1">
      <c r="A115" s="1876"/>
      <c r="B115" s="522"/>
      <c r="C115" s="31"/>
      <c r="D115" s="1798"/>
      <c r="E115" s="1749"/>
      <c r="F115" s="1864"/>
      <c r="H115" s="251"/>
      <c r="I115" s="251"/>
      <c r="J115" s="251"/>
    </row>
    <row r="116" spans="1:10" s="44" customFormat="1" ht="12.75" customHeight="1">
      <c r="A116" s="1861">
        <v>7</v>
      </c>
      <c r="B116" s="819" t="s">
        <v>710</v>
      </c>
      <c r="C116" s="31">
        <v>0</v>
      </c>
      <c r="D116" s="1798"/>
      <c r="E116" s="1749"/>
      <c r="F116" s="1864">
        <f t="shared" ref="F116:F122" si="6">ROUND(E116*C116,2)</f>
        <v>0</v>
      </c>
      <c r="G116" s="251"/>
      <c r="H116" s="251"/>
      <c r="I116" s="251"/>
      <c r="J116" s="251"/>
    </row>
    <row r="117" spans="1:10" ht="25.5">
      <c r="A117" s="1860">
        <v>7.1</v>
      </c>
      <c r="B117" s="1753" t="s">
        <v>1990</v>
      </c>
      <c r="C117" s="31">
        <v>19.5</v>
      </c>
      <c r="D117" s="1798" t="s">
        <v>1</v>
      </c>
      <c r="E117" s="1749">
        <v>7417.19</v>
      </c>
      <c r="F117" s="1864">
        <f t="shared" si="6"/>
        <v>144635.21</v>
      </c>
      <c r="G117" s="1754"/>
      <c r="H117" s="1754"/>
      <c r="I117" s="1754"/>
      <c r="J117" s="1754"/>
    </row>
    <row r="118" spans="1:10" ht="26.25" customHeight="1">
      <c r="A118" s="1860">
        <v>7.2</v>
      </c>
      <c r="B118" s="1753" t="s">
        <v>1991</v>
      </c>
      <c r="C118" s="31">
        <v>2</v>
      </c>
      <c r="D118" s="1798" t="s">
        <v>3</v>
      </c>
      <c r="E118" s="1749">
        <v>111255.8</v>
      </c>
      <c r="F118" s="1864">
        <f t="shared" si="6"/>
        <v>222511.6</v>
      </c>
      <c r="G118" s="1754"/>
      <c r="H118" s="1754"/>
      <c r="I118" s="1754"/>
      <c r="J118" s="1754"/>
    </row>
    <row r="119" spans="1:10" ht="25.5">
      <c r="A119" s="1860">
        <v>7.3</v>
      </c>
      <c r="B119" s="1753" t="s">
        <v>2235</v>
      </c>
      <c r="C119" s="31">
        <v>2</v>
      </c>
      <c r="D119" s="1798" t="s">
        <v>3</v>
      </c>
      <c r="E119" s="1749">
        <v>14160.67</v>
      </c>
      <c r="F119" s="1864">
        <f t="shared" si="6"/>
        <v>28321.34</v>
      </c>
      <c r="G119" s="1754"/>
      <c r="H119" s="1754"/>
      <c r="I119" s="1754"/>
      <c r="J119" s="1754"/>
    </row>
    <row r="120" spans="1:10" ht="25.5">
      <c r="A120" s="1860">
        <v>7.4</v>
      </c>
      <c r="B120" s="1753" t="s">
        <v>2236</v>
      </c>
      <c r="C120" s="31">
        <v>1</v>
      </c>
      <c r="D120" s="1798" t="s">
        <v>3</v>
      </c>
      <c r="E120" s="1749">
        <v>14160.67</v>
      </c>
      <c r="F120" s="1864">
        <f>ROUND(E120*C120,2)</f>
        <v>14160.67</v>
      </c>
      <c r="G120" s="1754"/>
      <c r="H120" s="1754"/>
      <c r="I120" s="1754"/>
      <c r="J120" s="1754"/>
    </row>
    <row r="121" spans="1:10" ht="25.5">
      <c r="A121" s="1860">
        <v>7.5</v>
      </c>
      <c r="B121" s="1753" t="s">
        <v>2237</v>
      </c>
      <c r="C121" s="31">
        <v>2</v>
      </c>
      <c r="D121" s="1798" t="s">
        <v>3</v>
      </c>
      <c r="E121" s="1749">
        <v>3152.42</v>
      </c>
      <c r="F121" s="1864">
        <f t="shared" si="6"/>
        <v>6304.84</v>
      </c>
      <c r="G121" s="1754"/>
      <c r="H121" s="1754"/>
      <c r="I121" s="1754"/>
      <c r="J121" s="1754"/>
    </row>
    <row r="122" spans="1:10">
      <c r="A122" s="1860">
        <v>7.6</v>
      </c>
      <c r="B122" s="522" t="s">
        <v>1992</v>
      </c>
      <c r="C122" s="31">
        <v>7</v>
      </c>
      <c r="D122" s="1798" t="s">
        <v>3</v>
      </c>
      <c r="E122" s="1749">
        <v>4144.3100000000004</v>
      </c>
      <c r="F122" s="1864">
        <f t="shared" si="6"/>
        <v>29010.17</v>
      </c>
      <c r="G122" s="1754"/>
      <c r="H122" s="1754"/>
      <c r="I122" s="1754"/>
      <c r="J122" s="1754"/>
    </row>
    <row r="123" spans="1:10" ht="15.75" customHeight="1">
      <c r="A123" s="1860">
        <v>7.7</v>
      </c>
      <c r="B123" s="522" t="s">
        <v>1994</v>
      </c>
      <c r="C123" s="31">
        <v>2</v>
      </c>
      <c r="D123" s="1798" t="s">
        <v>3</v>
      </c>
      <c r="E123" s="1749">
        <v>22500</v>
      </c>
      <c r="F123" s="1864">
        <f>ROUND(E123*C123,2)</f>
        <v>45000</v>
      </c>
      <c r="G123" s="1754"/>
      <c r="H123" s="1754"/>
      <c r="I123" s="1754"/>
      <c r="J123" s="1754"/>
    </row>
    <row r="124" spans="1:10" ht="15.75" customHeight="1">
      <c r="A124" s="1860"/>
      <c r="B124" s="522"/>
      <c r="C124" s="31"/>
      <c r="D124" s="1798"/>
      <c r="E124" s="522"/>
      <c r="F124" s="1864"/>
      <c r="G124" s="1754"/>
      <c r="H124" s="1754"/>
      <c r="I124" s="1754"/>
      <c r="J124" s="1754"/>
    </row>
    <row r="125" spans="1:10" s="44" customFormat="1" ht="12.75" customHeight="1">
      <c r="A125" s="1861">
        <v>8</v>
      </c>
      <c r="B125" s="819" t="s">
        <v>607</v>
      </c>
      <c r="C125" s="31"/>
      <c r="D125" s="1798"/>
      <c r="E125" s="1749"/>
      <c r="F125" s="1864">
        <f>+ROUND((E125*C125),2)</f>
        <v>0</v>
      </c>
      <c r="G125" s="251"/>
      <c r="H125" s="251"/>
      <c r="I125" s="251"/>
      <c r="J125" s="251"/>
    </row>
    <row r="126" spans="1:10" ht="67.5" customHeight="1">
      <c r="A126" s="1882">
        <v>8.1</v>
      </c>
      <c r="B126" s="853" t="s">
        <v>1553</v>
      </c>
      <c r="C126" s="31">
        <v>2</v>
      </c>
      <c r="D126" s="1798" t="s">
        <v>3</v>
      </c>
      <c r="E126" s="713">
        <v>413827.28</v>
      </c>
      <c r="F126" s="1864">
        <f>+ROUND((E126*C126),2)</f>
        <v>827654.56</v>
      </c>
      <c r="G126" s="251"/>
      <c r="H126" s="251"/>
      <c r="I126" s="251"/>
      <c r="J126" s="251"/>
    </row>
    <row r="127" spans="1:10" ht="15.75" customHeight="1">
      <c r="A127" s="1883">
        <v>8.1999999999999993</v>
      </c>
      <c r="B127" s="1794" t="s">
        <v>1552</v>
      </c>
      <c r="C127" s="1794">
        <v>2929.5</v>
      </c>
      <c r="D127" s="1794" t="s">
        <v>155</v>
      </c>
      <c r="E127" s="1794">
        <v>3851.55</v>
      </c>
      <c r="F127" s="1856">
        <f t="shared" ref="F127:F132" si="7">+ROUND((E127*C127),2)</f>
        <v>11283115.73</v>
      </c>
      <c r="G127" s="251"/>
      <c r="H127" s="251"/>
      <c r="I127" s="251"/>
      <c r="J127" s="251"/>
    </row>
    <row r="128" spans="1:10" ht="14.25" customHeight="1">
      <c r="A128" s="1882"/>
      <c r="B128" s="745"/>
      <c r="C128" s="31"/>
      <c r="D128" s="1798"/>
      <c r="E128" s="1749"/>
      <c r="F128" s="1864">
        <f t="shared" si="7"/>
        <v>0</v>
      </c>
      <c r="G128" s="251"/>
      <c r="H128" s="251"/>
      <c r="I128" s="251"/>
      <c r="J128" s="251"/>
    </row>
    <row r="129" spans="1:13" ht="14.25" customHeight="1">
      <c r="A129" s="1884">
        <v>9</v>
      </c>
      <c r="B129" s="819" t="s">
        <v>621</v>
      </c>
      <c r="C129" s="31"/>
      <c r="D129" s="1798"/>
      <c r="E129" s="1749"/>
      <c r="F129" s="1864">
        <f t="shared" si="7"/>
        <v>0</v>
      </c>
      <c r="G129" s="251"/>
      <c r="H129" s="251"/>
      <c r="I129" s="251"/>
      <c r="J129" s="251"/>
    </row>
    <row r="130" spans="1:13" ht="102">
      <c r="A130" s="1885">
        <v>9.1</v>
      </c>
      <c r="B130" s="1053" t="s">
        <v>1554</v>
      </c>
      <c r="C130" s="31">
        <v>1</v>
      </c>
      <c r="D130" s="1798" t="s">
        <v>3</v>
      </c>
      <c r="E130" s="1749">
        <v>66115.7</v>
      </c>
      <c r="F130" s="1864">
        <f t="shared" si="7"/>
        <v>66115.7</v>
      </c>
      <c r="G130" s="251"/>
      <c r="H130" s="251"/>
      <c r="I130" s="251"/>
      <c r="J130" s="251"/>
    </row>
    <row r="131" spans="1:13" s="660" customFormat="1" ht="25.5">
      <c r="A131" s="1865">
        <v>9.1999999999999993</v>
      </c>
      <c r="B131" s="745" t="s">
        <v>2238</v>
      </c>
      <c r="C131" s="31">
        <v>1</v>
      </c>
      <c r="D131" s="1798" t="s">
        <v>3</v>
      </c>
      <c r="E131" s="1749">
        <v>2100</v>
      </c>
      <c r="F131" s="1864">
        <f t="shared" si="7"/>
        <v>2100</v>
      </c>
      <c r="G131" s="251"/>
      <c r="H131" s="251"/>
      <c r="I131" s="251"/>
      <c r="J131" s="251"/>
    </row>
    <row r="132" spans="1:13" ht="14.25" customHeight="1">
      <c r="A132" s="1860"/>
      <c r="B132" s="745"/>
      <c r="C132" s="31"/>
      <c r="D132" s="1798"/>
      <c r="E132" s="1749"/>
      <c r="F132" s="1864">
        <f t="shared" si="7"/>
        <v>0</v>
      </c>
      <c r="G132" s="251"/>
      <c r="H132" s="251"/>
      <c r="I132" s="251"/>
      <c r="J132" s="251"/>
    </row>
    <row r="133" spans="1:13" s="44" customFormat="1" ht="12.75" customHeight="1">
      <c r="A133" s="1861">
        <v>10</v>
      </c>
      <c r="B133" s="819" t="s">
        <v>642</v>
      </c>
      <c r="C133" s="31"/>
      <c r="D133" s="1798"/>
      <c r="E133" s="1749"/>
      <c r="F133" s="1864">
        <f t="shared" ref="F133:F150" si="8">+ROUND((E133*C133),2)</f>
        <v>0</v>
      </c>
      <c r="G133" s="251"/>
      <c r="H133" s="251"/>
      <c r="I133" s="251"/>
      <c r="J133" s="251"/>
    </row>
    <row r="134" spans="1:13" s="44" customFormat="1" ht="12.75" customHeight="1">
      <c r="A134" s="1861"/>
      <c r="B134" s="819"/>
      <c r="C134" s="31"/>
      <c r="D134" s="1798"/>
      <c r="E134" s="1749"/>
      <c r="F134" s="1864"/>
      <c r="G134" s="251"/>
      <c r="H134" s="251"/>
      <c r="I134" s="251"/>
      <c r="J134" s="251"/>
    </row>
    <row r="135" spans="1:13" s="44" customFormat="1" ht="12.75" customHeight="1">
      <c r="A135" s="1861">
        <v>10.1</v>
      </c>
      <c r="B135" s="819" t="s">
        <v>639</v>
      </c>
      <c r="C135" s="31"/>
      <c r="D135" s="1798"/>
      <c r="E135" s="1749"/>
      <c r="F135" s="1864">
        <f t="shared" si="8"/>
        <v>0</v>
      </c>
      <c r="G135" s="251"/>
      <c r="H135" s="251"/>
      <c r="I135" s="251"/>
      <c r="J135" s="251"/>
    </row>
    <row r="136" spans="1:13" s="44" customFormat="1" ht="65.25" customHeight="1">
      <c r="A136" s="1881" t="s">
        <v>667</v>
      </c>
      <c r="B136" s="1818" t="s">
        <v>1562</v>
      </c>
      <c r="C136" s="1813">
        <v>2</v>
      </c>
      <c r="D136" s="1815" t="s">
        <v>3</v>
      </c>
      <c r="E136" s="1816">
        <v>353976.49</v>
      </c>
      <c r="F136" s="1879">
        <f t="shared" si="8"/>
        <v>707952.98</v>
      </c>
      <c r="G136" s="251"/>
      <c r="H136" s="251"/>
      <c r="I136" s="251"/>
      <c r="J136" s="251"/>
    </row>
    <row r="137" spans="1:13" s="44" customFormat="1" ht="6" customHeight="1">
      <c r="A137" s="1876"/>
      <c r="B137" s="522"/>
      <c r="C137" s="31"/>
      <c r="D137" s="1798"/>
      <c r="E137" s="1749"/>
      <c r="F137" s="1864">
        <f t="shared" si="8"/>
        <v>0</v>
      </c>
      <c r="G137" s="251"/>
      <c r="H137" s="251"/>
      <c r="I137" s="251"/>
      <c r="J137" s="251"/>
    </row>
    <row r="138" spans="1:13" s="44" customFormat="1" ht="12.75" customHeight="1">
      <c r="A138" s="1861">
        <v>10.199999999999999</v>
      </c>
      <c r="B138" s="819" t="s">
        <v>2185</v>
      </c>
      <c r="C138" s="31"/>
      <c r="D138" s="1798"/>
      <c r="E138" s="1749"/>
      <c r="F138" s="1864">
        <f t="shared" si="8"/>
        <v>0</v>
      </c>
      <c r="G138" s="251"/>
      <c r="H138" s="251"/>
      <c r="I138" s="251"/>
      <c r="J138" s="251"/>
    </row>
    <row r="139" spans="1:13" s="842" customFormat="1" ht="30" customHeight="1">
      <c r="A139" s="1876" t="s">
        <v>669</v>
      </c>
      <c r="B139" s="1053" t="s">
        <v>1993</v>
      </c>
      <c r="C139" s="31">
        <v>35.479999999999997</v>
      </c>
      <c r="D139" s="1798" t="s">
        <v>2</v>
      </c>
      <c r="E139" s="1749">
        <v>6349.9</v>
      </c>
      <c r="F139" s="1864">
        <f t="shared" si="8"/>
        <v>225294.45</v>
      </c>
      <c r="G139" s="1754"/>
      <c r="H139" s="1754"/>
      <c r="I139" s="1754"/>
      <c r="J139" s="1754"/>
      <c r="M139" s="842">
        <f>+L139*1.05</f>
        <v>0</v>
      </c>
    </row>
    <row r="140" spans="1:13" s="44" customFormat="1" ht="4.5" customHeight="1">
      <c r="A140" s="1876"/>
      <c r="B140" s="522"/>
      <c r="C140" s="31"/>
      <c r="D140" s="1798"/>
      <c r="E140" s="1749"/>
      <c r="F140" s="1864">
        <f t="shared" si="8"/>
        <v>0</v>
      </c>
      <c r="G140" s="251"/>
      <c r="H140" s="251"/>
      <c r="I140" s="251"/>
      <c r="J140" s="251"/>
    </row>
    <row r="141" spans="1:13" s="44" customFormat="1" ht="12.75" customHeight="1">
      <c r="A141" s="1861">
        <v>11</v>
      </c>
      <c r="B141" s="819" t="s">
        <v>648</v>
      </c>
      <c r="C141" s="31"/>
      <c r="D141" s="522"/>
      <c r="E141" s="1749"/>
      <c r="F141" s="1864">
        <f t="shared" si="8"/>
        <v>0</v>
      </c>
      <c r="G141" s="251"/>
      <c r="H141" s="251"/>
      <c r="I141" s="251"/>
      <c r="J141" s="251"/>
    </row>
    <row r="142" spans="1:13" s="842" customFormat="1" ht="25.5">
      <c r="A142" s="1876">
        <v>11.1</v>
      </c>
      <c r="B142" s="853" t="s">
        <v>1979</v>
      </c>
      <c r="C142" s="31">
        <v>29.7</v>
      </c>
      <c r="D142" s="1798" t="s">
        <v>1</v>
      </c>
      <c r="E142" s="1755">
        <v>7417.19</v>
      </c>
      <c r="F142" s="1864">
        <f t="shared" si="8"/>
        <v>220290.54</v>
      </c>
      <c r="G142" s="44"/>
      <c r="H142" s="44"/>
      <c r="I142" s="44"/>
      <c r="J142" s="44"/>
    </row>
    <row r="143" spans="1:13" s="44" customFormat="1" ht="25.5">
      <c r="A143" s="1876">
        <v>11.2</v>
      </c>
      <c r="B143" s="829" t="s">
        <v>2239</v>
      </c>
      <c r="C143" s="31">
        <v>6</v>
      </c>
      <c r="D143" s="1798" t="s">
        <v>3</v>
      </c>
      <c r="E143" s="1755">
        <v>1000</v>
      </c>
      <c r="F143" s="1864">
        <f t="shared" si="8"/>
        <v>6000</v>
      </c>
      <c r="G143" s="1367"/>
      <c r="H143" s="1367"/>
      <c r="I143" s="1367"/>
      <c r="J143" s="1367"/>
    </row>
    <row r="144" spans="1:13" s="44" customFormat="1" ht="168" customHeight="1">
      <c r="A144" s="1876">
        <v>11.3</v>
      </c>
      <c r="B144" s="853" t="s">
        <v>1567</v>
      </c>
      <c r="C144" s="31">
        <v>4</v>
      </c>
      <c r="D144" s="1798" t="s">
        <v>3</v>
      </c>
      <c r="E144" s="1755">
        <v>121894</v>
      </c>
      <c r="F144" s="1864">
        <f>+ROUND((E144*C144),2)</f>
        <v>487576</v>
      </c>
      <c r="H144" s="251"/>
      <c r="I144" s="251"/>
      <c r="J144" s="251"/>
    </row>
    <row r="145" spans="1:12" s="44" customFormat="1" ht="25.5">
      <c r="A145" s="1876">
        <v>11.4</v>
      </c>
      <c r="B145" s="853" t="s">
        <v>1975</v>
      </c>
      <c r="C145" s="31">
        <v>12</v>
      </c>
      <c r="D145" s="1798" t="s">
        <v>3</v>
      </c>
      <c r="E145" s="1755">
        <v>9656.61</v>
      </c>
      <c r="F145" s="1864">
        <f>ROUND(E145*C145,2)</f>
        <v>115879.32</v>
      </c>
      <c r="H145" s="251"/>
      <c r="I145" s="251"/>
      <c r="J145" s="251"/>
    </row>
    <row r="146" spans="1:12" s="44" customFormat="1">
      <c r="A146" s="1876">
        <v>11.5</v>
      </c>
      <c r="B146" s="522" t="s">
        <v>1976</v>
      </c>
      <c r="C146" s="31">
        <v>4</v>
      </c>
      <c r="D146" s="1798" t="s">
        <v>3</v>
      </c>
      <c r="E146" s="1755">
        <v>5749.11</v>
      </c>
      <c r="F146" s="1864">
        <f>ROUND(E146*C146,2)</f>
        <v>22996.44</v>
      </c>
      <c r="H146" s="251"/>
      <c r="I146" s="251"/>
      <c r="J146" s="251"/>
    </row>
    <row r="147" spans="1:12" s="44" customFormat="1" ht="12.75" customHeight="1">
      <c r="A147" s="1876">
        <v>11.6</v>
      </c>
      <c r="B147" s="522" t="s">
        <v>656</v>
      </c>
      <c r="C147" s="31">
        <v>12</v>
      </c>
      <c r="D147" s="1798" t="s">
        <v>3</v>
      </c>
      <c r="E147" s="1755">
        <v>3366.95</v>
      </c>
      <c r="F147" s="1864">
        <f t="shared" si="8"/>
        <v>40403.4</v>
      </c>
      <c r="G147" s="251"/>
      <c r="H147" s="251"/>
      <c r="I147" s="251"/>
      <c r="J147" s="251"/>
    </row>
    <row r="148" spans="1:12" s="44" customFormat="1" ht="12.75" customHeight="1">
      <c r="A148" s="1883">
        <v>11.7</v>
      </c>
      <c r="B148" s="522" t="s">
        <v>658</v>
      </c>
      <c r="C148" s="31">
        <v>12</v>
      </c>
      <c r="D148" s="1798" t="s">
        <v>3</v>
      </c>
      <c r="E148" s="1755">
        <v>250</v>
      </c>
      <c r="F148" s="1886">
        <f t="shared" si="8"/>
        <v>3000</v>
      </c>
      <c r="G148" s="251"/>
      <c r="H148" s="251"/>
      <c r="I148" s="251"/>
      <c r="J148" s="251"/>
    </row>
    <row r="149" spans="1:12" s="842" customFormat="1" ht="81.75" customHeight="1">
      <c r="A149" s="1876">
        <v>11.8</v>
      </c>
      <c r="B149" s="1053" t="s">
        <v>1561</v>
      </c>
      <c r="C149" s="1755">
        <v>1777.01</v>
      </c>
      <c r="D149" s="1798" t="s">
        <v>661</v>
      </c>
      <c r="E149" s="1755">
        <v>3341</v>
      </c>
      <c r="F149" s="1864">
        <f t="shared" si="8"/>
        <v>5936990.4100000001</v>
      </c>
      <c r="G149" s="1754"/>
      <c r="H149" s="1754"/>
      <c r="I149" s="1754"/>
      <c r="J149" s="1754"/>
    </row>
    <row r="150" spans="1:12" s="44" customFormat="1" ht="3" customHeight="1">
      <c r="A150" s="1860"/>
      <c r="B150" s="819"/>
      <c r="C150" s="31"/>
      <c r="D150" s="1798"/>
      <c r="E150" s="1749"/>
      <c r="F150" s="1864">
        <f t="shared" si="8"/>
        <v>0</v>
      </c>
      <c r="G150" s="251"/>
      <c r="H150" s="251"/>
      <c r="I150" s="251"/>
      <c r="J150" s="251"/>
    </row>
    <row r="151" spans="1:12" s="44" customFormat="1" ht="12.75" customHeight="1">
      <c r="A151" s="1861">
        <v>12</v>
      </c>
      <c r="B151" s="819" t="s">
        <v>673</v>
      </c>
      <c r="C151" s="31"/>
      <c r="D151" s="1798"/>
      <c r="E151" s="1749"/>
      <c r="F151" s="1864">
        <f t="shared" ref="F151:F159" si="9">+ROUND((E151*C151),2)</f>
        <v>0</v>
      </c>
      <c r="G151" s="251"/>
      <c r="H151" s="251"/>
      <c r="I151" s="251"/>
      <c r="J151" s="251"/>
    </row>
    <row r="152" spans="1:12" s="44" customFormat="1" ht="25.5">
      <c r="A152" s="1865">
        <v>12.1</v>
      </c>
      <c r="B152" s="1053" t="s">
        <v>1978</v>
      </c>
      <c r="C152" s="31">
        <v>231.64</v>
      </c>
      <c r="D152" s="713" t="s">
        <v>155</v>
      </c>
      <c r="E152" s="1755">
        <v>7424.14</v>
      </c>
      <c r="F152" s="1864">
        <f>ROUND(E152*C152,2)</f>
        <v>1719727.79</v>
      </c>
      <c r="G152" s="251"/>
      <c r="H152" s="251"/>
      <c r="I152" s="251"/>
      <c r="J152" s="251"/>
    </row>
    <row r="153" spans="1:12" s="44" customFormat="1" ht="6.75" customHeight="1">
      <c r="A153" s="1860"/>
      <c r="B153" s="819"/>
      <c r="C153" s="31"/>
      <c r="D153" s="1798"/>
      <c r="E153" s="1749"/>
      <c r="F153" s="1864">
        <f t="shared" si="9"/>
        <v>0</v>
      </c>
      <c r="G153" s="251"/>
      <c r="H153" s="251"/>
      <c r="I153" s="251"/>
      <c r="J153" s="251"/>
      <c r="L153" s="1845"/>
    </row>
    <row r="154" spans="1:12" s="44" customFormat="1" ht="12.75" customHeight="1">
      <c r="A154" s="1861">
        <v>12.2</v>
      </c>
      <c r="B154" s="819" t="s">
        <v>690</v>
      </c>
      <c r="C154" s="31"/>
      <c r="D154" s="1798"/>
      <c r="E154" s="1749"/>
      <c r="F154" s="1864">
        <f t="shared" si="9"/>
        <v>0</v>
      </c>
      <c r="G154" s="251"/>
      <c r="H154" s="251"/>
      <c r="I154" s="251"/>
      <c r="J154" s="251"/>
    </row>
    <row r="155" spans="1:12" s="44" customFormat="1" ht="28.5" customHeight="1">
      <c r="A155" s="1876" t="s">
        <v>2110</v>
      </c>
      <c r="B155" s="1053" t="s">
        <v>2309</v>
      </c>
      <c r="C155" s="31">
        <v>19</v>
      </c>
      <c r="D155" s="1798" t="s">
        <v>2</v>
      </c>
      <c r="E155" s="1749">
        <v>15169.31</v>
      </c>
      <c r="F155" s="1864">
        <f t="shared" si="9"/>
        <v>288216.89</v>
      </c>
      <c r="G155" s="251"/>
      <c r="H155" s="251"/>
      <c r="I155" s="251"/>
      <c r="J155" s="251"/>
    </row>
    <row r="156" spans="1:12" s="44" customFormat="1" ht="12.75" customHeight="1">
      <c r="A156" s="1876" t="s">
        <v>2111</v>
      </c>
      <c r="B156" s="522" t="s">
        <v>694</v>
      </c>
      <c r="C156" s="31">
        <v>19</v>
      </c>
      <c r="D156" s="1798" t="s">
        <v>2</v>
      </c>
      <c r="E156" s="1749">
        <v>930</v>
      </c>
      <c r="F156" s="1864">
        <f t="shared" si="9"/>
        <v>17670</v>
      </c>
      <c r="G156" s="251"/>
      <c r="H156" s="251"/>
      <c r="I156" s="251"/>
      <c r="J156" s="251"/>
    </row>
    <row r="157" spans="1:12" s="44" customFormat="1" ht="12.75" customHeight="1">
      <c r="A157" s="1881" t="s">
        <v>2112</v>
      </c>
      <c r="B157" s="1795" t="s">
        <v>696</v>
      </c>
      <c r="C157" s="1813">
        <v>19</v>
      </c>
      <c r="D157" s="1815" t="s">
        <v>2</v>
      </c>
      <c r="E157" s="1816">
        <v>950</v>
      </c>
      <c r="F157" s="1879">
        <f t="shared" si="9"/>
        <v>18050</v>
      </c>
      <c r="G157" s="251"/>
      <c r="H157" s="251"/>
      <c r="I157" s="251"/>
      <c r="J157" s="251"/>
    </row>
    <row r="158" spans="1:12" s="44" customFormat="1" ht="5.25" customHeight="1">
      <c r="A158" s="1876"/>
      <c r="B158" s="522"/>
      <c r="C158" s="31"/>
      <c r="D158" s="1798"/>
      <c r="E158" s="1749"/>
      <c r="F158" s="1864">
        <f t="shared" si="9"/>
        <v>0</v>
      </c>
      <c r="G158" s="251"/>
      <c r="H158" s="251"/>
      <c r="I158" s="251"/>
      <c r="J158" s="251"/>
    </row>
    <row r="159" spans="1:12" s="44" customFormat="1" ht="12.75" customHeight="1">
      <c r="A159" s="1861">
        <v>12.3</v>
      </c>
      <c r="B159" s="819" t="s">
        <v>1559</v>
      </c>
      <c r="C159" s="31"/>
      <c r="D159" s="1798"/>
      <c r="E159" s="1749"/>
      <c r="F159" s="1864">
        <f t="shared" si="9"/>
        <v>0</v>
      </c>
      <c r="G159" s="251"/>
      <c r="H159" s="251"/>
      <c r="I159" s="251"/>
      <c r="J159" s="251"/>
    </row>
    <row r="160" spans="1:12" s="44" customFormat="1" ht="155.25" customHeight="1">
      <c r="A160" s="1876" t="s">
        <v>2113</v>
      </c>
      <c r="B160" s="1053" t="s">
        <v>1980</v>
      </c>
      <c r="C160" s="1826">
        <v>6</v>
      </c>
      <c r="D160" s="1798" t="s">
        <v>3</v>
      </c>
      <c r="E160" s="1750">
        <v>47349.51</v>
      </c>
      <c r="F160" s="1887">
        <f>+ROUND((E160*C160),2)</f>
        <v>284097.06</v>
      </c>
      <c r="G160" s="251"/>
      <c r="H160" s="251"/>
      <c r="I160" s="251"/>
      <c r="J160" s="251"/>
    </row>
    <row r="161" spans="1:12" s="44" customFormat="1" ht="155.25" customHeight="1">
      <c r="A161" s="1876" t="s">
        <v>2114</v>
      </c>
      <c r="B161" s="1053" t="s">
        <v>1568</v>
      </c>
      <c r="C161" s="1826">
        <v>6</v>
      </c>
      <c r="D161" s="1798" t="s">
        <v>3</v>
      </c>
      <c r="E161" s="1750">
        <v>34444.57</v>
      </c>
      <c r="F161" s="1887">
        <f>+ROUND((E161*C161),2)</f>
        <v>206667.42</v>
      </c>
      <c r="G161" s="251"/>
      <c r="H161" s="251"/>
      <c r="I161" s="251"/>
      <c r="J161" s="251"/>
    </row>
    <row r="162" spans="1:12" s="842" customFormat="1" ht="171" customHeight="1">
      <c r="A162" s="1881" t="s">
        <v>2115</v>
      </c>
      <c r="B162" s="1818" t="s">
        <v>1981</v>
      </c>
      <c r="C162">
        <v>1</v>
      </c>
      <c r="D162" s="1815" t="s">
        <v>3</v>
      </c>
      <c r="E162" s="1819">
        <v>34444.57</v>
      </c>
      <c r="F162">
        <f>+ROUND((E162*C162),2)</f>
        <v>34444.57</v>
      </c>
      <c r="G162" s="44"/>
      <c r="H162" s="44"/>
      <c r="I162" s="44"/>
      <c r="J162" s="44"/>
    </row>
    <row r="163" spans="1:12" s="842" customFormat="1" ht="154.5" customHeight="1">
      <c r="A163" s="1876" t="s">
        <v>2116</v>
      </c>
      <c r="B163" s="1053" t="s">
        <v>1569</v>
      </c>
      <c r="C163" s="1826">
        <v>6</v>
      </c>
      <c r="D163" s="1798" t="s">
        <v>3</v>
      </c>
      <c r="E163" s="1750">
        <v>121894</v>
      </c>
      <c r="F163" s="1887">
        <f>+ROUND((E163*C163),2)</f>
        <v>731364</v>
      </c>
      <c r="G163" s="1754"/>
      <c r="H163" s="1754"/>
      <c r="I163" s="1754"/>
      <c r="J163" s="1754"/>
    </row>
    <row r="164" spans="1:12" s="842" customFormat="1" ht="80.25" customHeight="1">
      <c r="A164" s="1876" t="s">
        <v>2117</v>
      </c>
      <c r="B164" s="1053" t="s">
        <v>2186</v>
      </c>
      <c r="C164" s="1826">
        <v>6</v>
      </c>
      <c r="D164" s="1798" t="s">
        <v>3</v>
      </c>
      <c r="E164" s="1750">
        <v>365800</v>
      </c>
      <c r="F164" s="1887">
        <f>+ROUND((E164*C164),2)</f>
        <v>2194800</v>
      </c>
      <c r="G164" s="1754"/>
      <c r="H164" s="1754"/>
      <c r="I164" s="1754"/>
      <c r="J164" s="1754"/>
    </row>
    <row r="165" spans="1:12" s="842" customFormat="1">
      <c r="A165" s="1876"/>
      <c r="B165" s="1053"/>
      <c r="C165" s="1826"/>
      <c r="D165" s="1798"/>
      <c r="E165" s="1750"/>
      <c r="F165" s="1887"/>
      <c r="G165" s="1754"/>
      <c r="H165" s="1754"/>
      <c r="I165" s="1754"/>
      <c r="J165" s="1754"/>
    </row>
    <row r="166" spans="1:12" s="6" customFormat="1" ht="15" customHeight="1">
      <c r="A166" s="1861" t="s">
        <v>2118</v>
      </c>
      <c r="B166" s="819" t="s">
        <v>2128</v>
      </c>
      <c r="C166" s="31"/>
      <c r="D166" s="1798"/>
      <c r="E166" s="1799"/>
      <c r="F166" s="1864"/>
      <c r="G166" s="1367"/>
      <c r="H166" s="1367"/>
      <c r="I166" s="1367"/>
      <c r="J166" s="1367"/>
      <c r="K166" s="1367"/>
      <c r="L166" s="1367"/>
    </row>
    <row r="167" spans="1:12" s="6" customFormat="1" ht="83.25" customHeight="1">
      <c r="A167" s="1865" t="s">
        <v>2319</v>
      </c>
      <c r="B167" s="1053" t="s">
        <v>2187</v>
      </c>
      <c r="C167" s="31">
        <v>1</v>
      </c>
      <c r="D167" s="1798" t="s">
        <v>3</v>
      </c>
      <c r="E167" s="1749">
        <v>502126.85</v>
      </c>
      <c r="F167" s="1864">
        <f>ROUND(C167*E167,2)</f>
        <v>502126.85</v>
      </c>
      <c r="G167" s="1367"/>
      <c r="H167" s="1367"/>
      <c r="I167" s="1367"/>
      <c r="J167" s="1367"/>
      <c r="K167" s="1367"/>
      <c r="L167" s="1367"/>
    </row>
    <row r="168" spans="1:12" s="1756" customFormat="1" ht="12.75" customHeight="1">
      <c r="A168" s="1876" t="s">
        <v>2320</v>
      </c>
      <c r="B168" s="522" t="s">
        <v>1977</v>
      </c>
      <c r="C168" s="31">
        <v>231.64</v>
      </c>
      <c r="D168" s="1798" t="s">
        <v>155</v>
      </c>
      <c r="E168" s="1749">
        <v>6674.61</v>
      </c>
      <c r="F168" s="1864">
        <f>ROUND(E168*C168,2)</f>
        <v>1546106.66</v>
      </c>
      <c r="G168" s="44"/>
      <c r="H168" s="44"/>
      <c r="I168" s="44"/>
      <c r="J168" s="44"/>
    </row>
    <row r="169" spans="1:12" s="44" customFormat="1" ht="12.75" customHeight="1">
      <c r="A169" s="1876"/>
      <c r="B169" s="522"/>
      <c r="C169" s="31"/>
      <c r="D169" s="1798"/>
      <c r="E169" s="1749"/>
      <c r="F169" s="1864"/>
      <c r="G169" s="251"/>
      <c r="H169" s="251"/>
      <c r="I169" s="251"/>
      <c r="J169" s="251"/>
    </row>
    <row r="170" spans="1:12" s="842" customFormat="1" ht="38.25">
      <c r="A170" s="1876" t="s">
        <v>2321</v>
      </c>
      <c r="B170" s="1053" t="s">
        <v>2188</v>
      </c>
      <c r="C170" s="31">
        <v>1</v>
      </c>
      <c r="D170" s="1798" t="s">
        <v>3</v>
      </c>
      <c r="E170" s="1749">
        <v>9200</v>
      </c>
      <c r="F170" s="1864">
        <f>+ROUND((E170*C170),2)</f>
        <v>9200</v>
      </c>
      <c r="G170" s="1754"/>
      <c r="H170" s="1754"/>
      <c r="I170" s="1754"/>
      <c r="J170" s="1754"/>
    </row>
    <row r="171" spans="1:12" s="44" customFormat="1" ht="51">
      <c r="A171" s="1876" t="s">
        <v>2119</v>
      </c>
      <c r="B171" s="1053" t="s">
        <v>2189</v>
      </c>
      <c r="C171" s="31">
        <v>6</v>
      </c>
      <c r="D171" s="1798" t="s">
        <v>3</v>
      </c>
      <c r="E171" s="1749">
        <v>9200</v>
      </c>
      <c r="F171" s="1864">
        <f>+ROUND((E171*C171),2)</f>
        <v>55200</v>
      </c>
      <c r="G171" s="251"/>
      <c r="H171" s="251"/>
      <c r="I171" s="251"/>
      <c r="J171" s="251"/>
    </row>
    <row r="172" spans="1:12" s="44" customFormat="1" ht="6.75" customHeight="1">
      <c r="A172" s="1876"/>
      <c r="B172" s="522"/>
      <c r="C172" s="31"/>
      <c r="D172" s="1798"/>
      <c r="E172" s="1749"/>
      <c r="F172" s="1864"/>
      <c r="G172" s="251"/>
      <c r="H172" s="251"/>
      <c r="I172" s="251"/>
      <c r="J172" s="251"/>
    </row>
    <row r="173" spans="1:12" s="44" customFormat="1" ht="12.75" customHeight="1">
      <c r="A173" s="1861">
        <v>13</v>
      </c>
      <c r="B173" s="819" t="s">
        <v>1983</v>
      </c>
      <c r="C173" s="31">
        <v>0</v>
      </c>
      <c r="D173" s="1798"/>
      <c r="E173" s="1749"/>
      <c r="F173" s="1864">
        <f t="shared" ref="F173:F181" si="10">ROUND(E173*C173,2)</f>
        <v>0</v>
      </c>
      <c r="G173" s="251"/>
      <c r="H173" s="251"/>
      <c r="I173" s="251"/>
      <c r="J173" s="251"/>
    </row>
    <row r="174" spans="1:12" s="44" customFormat="1" ht="12.75" customHeight="1">
      <c r="A174" s="1860">
        <v>13.1</v>
      </c>
      <c r="B174" s="522" t="s">
        <v>1984</v>
      </c>
      <c r="C174" s="31">
        <v>0.26</v>
      </c>
      <c r="D174" s="1798" t="s">
        <v>2</v>
      </c>
      <c r="E174" s="1749">
        <v>17920.86</v>
      </c>
      <c r="F174" s="1864">
        <f t="shared" si="10"/>
        <v>4659.42</v>
      </c>
      <c r="G174" s="251"/>
      <c r="H174" s="251"/>
      <c r="I174" s="251"/>
      <c r="J174" s="251"/>
    </row>
    <row r="175" spans="1:12" s="44" customFormat="1" ht="12.75" customHeight="1">
      <c r="A175" s="1860">
        <v>13.2</v>
      </c>
      <c r="B175" s="522" t="s">
        <v>1985</v>
      </c>
      <c r="C175" s="31">
        <v>2.71</v>
      </c>
      <c r="D175" s="1798" t="s">
        <v>2</v>
      </c>
      <c r="E175" s="1749">
        <v>19852.38</v>
      </c>
      <c r="F175" s="1864">
        <f t="shared" si="10"/>
        <v>53799.95</v>
      </c>
      <c r="G175" s="251"/>
      <c r="H175" s="251"/>
      <c r="I175" s="251"/>
      <c r="J175" s="251"/>
    </row>
    <row r="176" spans="1:12" s="44" customFormat="1" ht="12.75" customHeight="1">
      <c r="A176" s="1860">
        <v>13.3</v>
      </c>
      <c r="B176" s="522" t="s">
        <v>1986</v>
      </c>
      <c r="C176" s="31">
        <v>0.12</v>
      </c>
      <c r="D176" s="1798" t="s">
        <v>2</v>
      </c>
      <c r="E176" s="1749">
        <v>18883.64</v>
      </c>
      <c r="F176" s="1864">
        <f>ROUND(E176*C176,2)</f>
        <v>2266.04</v>
      </c>
      <c r="G176" s="251"/>
      <c r="H176" s="251"/>
      <c r="I176" s="251"/>
      <c r="J176" s="251"/>
    </row>
    <row r="177" spans="1:10" s="44" customFormat="1" ht="12.75" customHeight="1">
      <c r="A177" s="1860">
        <v>13.4</v>
      </c>
      <c r="B177" s="522" t="s">
        <v>1264</v>
      </c>
      <c r="C177" s="31">
        <v>0.6</v>
      </c>
      <c r="D177" s="1798" t="s">
        <v>11</v>
      </c>
      <c r="E177" s="1749">
        <v>535.76</v>
      </c>
      <c r="F177" s="1864">
        <f t="shared" si="10"/>
        <v>321.45999999999998</v>
      </c>
      <c r="G177" s="251"/>
      <c r="H177" s="251"/>
      <c r="I177" s="251"/>
      <c r="J177" s="251"/>
    </row>
    <row r="178" spans="1:10" s="44" customFormat="1" ht="12.75" customHeight="1">
      <c r="A178" s="1860">
        <v>13.5</v>
      </c>
      <c r="B178" s="522" t="s">
        <v>1987</v>
      </c>
      <c r="C178" s="31">
        <v>8.5500000000000007</v>
      </c>
      <c r="D178" s="1798" t="s">
        <v>11</v>
      </c>
      <c r="E178" s="1749">
        <v>319.99</v>
      </c>
      <c r="F178" s="1864">
        <f t="shared" si="10"/>
        <v>2735.91</v>
      </c>
      <c r="G178" s="251"/>
      <c r="H178" s="251"/>
      <c r="I178" s="251"/>
      <c r="J178" s="251"/>
    </row>
    <row r="179" spans="1:10" s="44" customFormat="1" ht="12.75" customHeight="1">
      <c r="A179" s="1860">
        <v>13.6</v>
      </c>
      <c r="B179" s="522" t="s">
        <v>588</v>
      </c>
      <c r="C179" s="31">
        <v>12.35</v>
      </c>
      <c r="D179" s="1798" t="s">
        <v>11</v>
      </c>
      <c r="E179" s="1749">
        <v>327.45</v>
      </c>
      <c r="F179" s="1864">
        <f t="shared" si="10"/>
        <v>4044.01</v>
      </c>
      <c r="G179" s="251"/>
      <c r="H179" s="251"/>
      <c r="I179" s="251"/>
      <c r="J179" s="251"/>
    </row>
    <row r="180" spans="1:10" s="44" customFormat="1" ht="12.75" customHeight="1">
      <c r="A180" s="1860">
        <v>13.7</v>
      </c>
      <c r="B180" s="522" t="s">
        <v>177</v>
      </c>
      <c r="C180" s="31">
        <v>5.5</v>
      </c>
      <c r="D180" s="1798" t="s">
        <v>1</v>
      </c>
      <c r="E180" s="1749">
        <v>82.21</v>
      </c>
      <c r="F180" s="1864">
        <f t="shared" si="10"/>
        <v>452.16</v>
      </c>
      <c r="G180" s="251"/>
      <c r="H180" s="251"/>
      <c r="I180" s="251"/>
      <c r="J180" s="251"/>
    </row>
    <row r="181" spans="1:10" s="44" customFormat="1" ht="12.75" customHeight="1">
      <c r="A181" s="1860">
        <v>13.8</v>
      </c>
      <c r="B181" s="522" t="s">
        <v>1988</v>
      </c>
      <c r="C181" s="31">
        <v>1</v>
      </c>
      <c r="D181" s="1798" t="s">
        <v>3</v>
      </c>
      <c r="E181" s="1749">
        <v>5500</v>
      </c>
      <c r="F181" s="1864">
        <f t="shared" si="10"/>
        <v>5500</v>
      </c>
      <c r="G181" s="251"/>
      <c r="H181" s="251"/>
      <c r="I181" s="251"/>
      <c r="J181" s="251"/>
    </row>
    <row r="182" spans="1:10" ht="25.5" customHeight="1">
      <c r="A182" s="1888">
        <v>13.9</v>
      </c>
      <c r="B182" s="1812" t="s">
        <v>2146</v>
      </c>
      <c r="C182" s="1813">
        <v>1</v>
      </c>
      <c r="D182" s="1815" t="s">
        <v>3</v>
      </c>
      <c r="E182" s="1816">
        <v>1500</v>
      </c>
      <c r="F182" s="1879">
        <f>ROUND(C182*E182,2)</f>
        <v>1500</v>
      </c>
      <c r="G182" s="44"/>
    </row>
    <row r="183" spans="1:10" s="44" customFormat="1" ht="12.75" customHeight="1">
      <c r="A183" s="1860"/>
      <c r="B183" s="522"/>
      <c r="C183" s="31"/>
      <c r="D183" s="1798"/>
      <c r="E183" s="1749"/>
      <c r="F183" s="1864"/>
      <c r="G183" s="251"/>
      <c r="H183" s="251"/>
      <c r="I183" s="251"/>
      <c r="J183" s="251"/>
    </row>
    <row r="184" spans="1:10" s="44" customFormat="1" ht="12.75" customHeight="1">
      <c r="A184" s="1861">
        <v>14</v>
      </c>
      <c r="B184" s="819" t="s">
        <v>1989</v>
      </c>
      <c r="C184" s="31"/>
      <c r="D184" s="1798"/>
      <c r="E184" s="1749"/>
      <c r="F184" s="1864">
        <f t="shared" ref="F184:F212" si="11">+ROUND((E184*C184),2)</f>
        <v>0</v>
      </c>
      <c r="G184" s="251"/>
      <c r="H184" s="251"/>
      <c r="I184" s="251"/>
      <c r="J184" s="251"/>
    </row>
    <row r="185" spans="1:10" s="842" customFormat="1" ht="90" customHeight="1">
      <c r="A185" s="1876">
        <v>14.1</v>
      </c>
      <c r="B185" s="1053" t="s">
        <v>1560</v>
      </c>
      <c r="C185" s="31">
        <v>117.85</v>
      </c>
      <c r="D185" s="1798" t="s">
        <v>1</v>
      </c>
      <c r="E185" s="1749">
        <v>4240</v>
      </c>
      <c r="F185" s="1864">
        <f t="shared" si="11"/>
        <v>499684</v>
      </c>
      <c r="G185" s="44"/>
      <c r="H185" s="44"/>
      <c r="I185" s="44"/>
      <c r="J185" s="44"/>
    </row>
    <row r="186" spans="1:10" s="44" customFormat="1">
      <c r="A186" s="1865">
        <v>14.2</v>
      </c>
      <c r="B186" s="522" t="s">
        <v>2322</v>
      </c>
      <c r="C186" s="31">
        <v>1</v>
      </c>
      <c r="D186" s="1798" t="s">
        <v>3</v>
      </c>
      <c r="E186" s="1755">
        <v>69000</v>
      </c>
      <c r="F186" s="1864">
        <f>ROUND(E186*C186,2)</f>
        <v>69000</v>
      </c>
      <c r="G186" s="251"/>
      <c r="H186" s="251"/>
      <c r="I186" s="251"/>
      <c r="J186" s="251"/>
    </row>
    <row r="187" spans="1:10" s="44" customFormat="1" ht="12.75" customHeight="1">
      <c r="A187" s="1876"/>
      <c r="B187" s="425"/>
      <c r="C187" s="31"/>
      <c r="D187" s="1798"/>
      <c r="E187" s="1749"/>
      <c r="F187" s="1864">
        <f t="shared" si="11"/>
        <v>0</v>
      </c>
      <c r="G187" s="251"/>
      <c r="H187" s="251"/>
      <c r="I187" s="251"/>
      <c r="J187" s="251"/>
    </row>
    <row r="188" spans="1:10" s="44" customFormat="1" ht="12.75" customHeight="1">
      <c r="A188" s="1861">
        <v>15</v>
      </c>
      <c r="B188" s="819" t="s">
        <v>741</v>
      </c>
      <c r="C188" s="31"/>
      <c r="D188" s="1798"/>
      <c r="E188" s="1749"/>
      <c r="F188" s="1864">
        <f t="shared" si="11"/>
        <v>0</v>
      </c>
      <c r="G188" s="251"/>
      <c r="H188" s="251"/>
      <c r="I188" s="251"/>
      <c r="J188" s="251"/>
    </row>
    <row r="189" spans="1:10" s="44" customFormat="1" ht="12.75" customHeight="1">
      <c r="A189" s="1876"/>
      <c r="B189" s="522"/>
      <c r="C189" s="31"/>
      <c r="D189" s="1798"/>
      <c r="E189" s="1749"/>
      <c r="F189" s="1864">
        <f t="shared" si="11"/>
        <v>0</v>
      </c>
      <c r="G189" s="251"/>
      <c r="H189" s="251"/>
      <c r="I189" s="251"/>
      <c r="J189" s="251"/>
    </row>
    <row r="190" spans="1:10" s="44" customFormat="1" ht="12.75" customHeight="1">
      <c r="A190" s="1861">
        <v>15.1</v>
      </c>
      <c r="B190" s="819" t="s">
        <v>748</v>
      </c>
      <c r="C190" s="31"/>
      <c r="D190" s="1798"/>
      <c r="E190" s="1749"/>
      <c r="F190" s="1864">
        <f t="shared" si="11"/>
        <v>0</v>
      </c>
      <c r="G190" s="251"/>
      <c r="H190" s="251"/>
      <c r="I190" s="251"/>
      <c r="J190" s="251"/>
    </row>
    <row r="191" spans="1:10" s="44" customFormat="1" ht="12.75" customHeight="1">
      <c r="A191" s="1876" t="s">
        <v>724</v>
      </c>
      <c r="B191" s="522" t="s">
        <v>750</v>
      </c>
      <c r="C191" s="31">
        <v>19</v>
      </c>
      <c r="D191" s="1798" t="s">
        <v>1</v>
      </c>
      <c r="E191" s="1749">
        <v>5187.57</v>
      </c>
      <c r="F191" s="1864">
        <f t="shared" si="11"/>
        <v>98563.83</v>
      </c>
      <c r="G191" s="251"/>
      <c r="H191" s="251"/>
      <c r="I191" s="251"/>
      <c r="J191" s="251"/>
    </row>
    <row r="192" spans="1:10" s="44" customFormat="1" ht="12.75" customHeight="1">
      <c r="A192" s="1876" t="s">
        <v>2030</v>
      </c>
      <c r="B192" s="522" t="s">
        <v>752</v>
      </c>
      <c r="C192" s="31">
        <v>2</v>
      </c>
      <c r="D192" s="1798" t="s">
        <v>3</v>
      </c>
      <c r="E192" s="1749">
        <v>6186.89</v>
      </c>
      <c r="F192" s="1864">
        <f t="shared" si="11"/>
        <v>12373.78</v>
      </c>
      <c r="G192" s="251"/>
      <c r="H192" s="251"/>
      <c r="I192" s="251"/>
      <c r="J192" s="251"/>
    </row>
    <row r="193" spans="1:10" s="842" customFormat="1" ht="38.25">
      <c r="A193" s="1876" t="s">
        <v>2032</v>
      </c>
      <c r="B193" s="745" t="s">
        <v>1563</v>
      </c>
      <c r="C193" s="31">
        <v>3</v>
      </c>
      <c r="D193" s="1798" t="s">
        <v>3</v>
      </c>
      <c r="E193" s="1749">
        <v>8000</v>
      </c>
      <c r="F193" s="1864">
        <f t="shared" si="11"/>
        <v>24000</v>
      </c>
      <c r="G193" s="1754"/>
      <c r="H193" s="1754"/>
      <c r="I193" s="1754"/>
      <c r="J193" s="1754"/>
    </row>
    <row r="194" spans="1:10" s="44" customFormat="1" ht="12.75" customHeight="1">
      <c r="A194" s="1876"/>
      <c r="B194" s="425"/>
      <c r="C194" s="31"/>
      <c r="D194" s="1798"/>
      <c r="E194" s="1749"/>
      <c r="F194" s="1864">
        <f t="shared" si="11"/>
        <v>0</v>
      </c>
      <c r="G194" s="251"/>
      <c r="H194" s="251"/>
      <c r="I194" s="251"/>
      <c r="J194" s="251"/>
    </row>
    <row r="195" spans="1:10" s="44" customFormat="1" ht="12.75" customHeight="1">
      <c r="A195" s="1861">
        <v>15.2</v>
      </c>
      <c r="B195" s="819" t="s">
        <v>755</v>
      </c>
      <c r="C195" s="31"/>
      <c r="D195" s="1798"/>
      <c r="E195" s="1749"/>
      <c r="F195" s="1864">
        <f>+ROUND((E195*C195),2)</f>
        <v>0</v>
      </c>
      <c r="G195" s="251"/>
      <c r="H195" s="251"/>
      <c r="I195" s="251"/>
      <c r="J195" s="251"/>
    </row>
    <row r="196" spans="1:10" s="44" customFormat="1" ht="12.75" customHeight="1">
      <c r="A196" s="1882" t="s">
        <v>725</v>
      </c>
      <c r="B196" s="816" t="s">
        <v>581</v>
      </c>
      <c r="C196" s="31">
        <v>26.6</v>
      </c>
      <c r="D196" s="1798" t="s">
        <v>2</v>
      </c>
      <c r="E196" s="1749">
        <v>334.5</v>
      </c>
      <c r="F196" s="1864">
        <f>+ROUND((E196*C196),2)</f>
        <v>8897.7000000000007</v>
      </c>
      <c r="G196" s="251"/>
      <c r="H196" s="251"/>
      <c r="I196" s="251"/>
      <c r="J196" s="251"/>
    </row>
    <row r="197" spans="1:10" s="44" customFormat="1" ht="12.75" customHeight="1">
      <c r="A197" s="1882" t="s">
        <v>726</v>
      </c>
      <c r="B197" s="522" t="s">
        <v>253</v>
      </c>
      <c r="C197" s="31">
        <v>7.47</v>
      </c>
      <c r="D197" s="1798" t="s">
        <v>2</v>
      </c>
      <c r="E197" s="1749">
        <v>183.68</v>
      </c>
      <c r="F197" s="1864">
        <f t="shared" si="11"/>
        <v>1372.09</v>
      </c>
      <c r="G197" s="251"/>
      <c r="H197" s="251"/>
      <c r="I197" s="251"/>
      <c r="J197" s="251"/>
    </row>
    <row r="198" spans="1:10" s="44" customFormat="1" ht="12.75" customHeight="1">
      <c r="A198" s="1882" t="s">
        <v>727</v>
      </c>
      <c r="B198" s="522" t="s">
        <v>759</v>
      </c>
      <c r="C198" s="31">
        <v>22.96</v>
      </c>
      <c r="D198" s="1798" t="s">
        <v>2</v>
      </c>
      <c r="E198" s="1749">
        <v>210</v>
      </c>
      <c r="F198" s="1864">
        <f t="shared" si="11"/>
        <v>4821.6000000000004</v>
      </c>
      <c r="G198" s="251"/>
      <c r="H198" s="251"/>
      <c r="I198" s="251"/>
      <c r="J198" s="251"/>
    </row>
    <row r="199" spans="1:10" s="44" customFormat="1" ht="12.75" customHeight="1">
      <c r="A199" s="1882"/>
      <c r="B199" s="522"/>
      <c r="C199" s="31"/>
      <c r="D199" s="1798"/>
      <c r="E199" s="1749"/>
      <c r="F199" s="1864">
        <f t="shared" si="11"/>
        <v>0</v>
      </c>
      <c r="G199" s="251"/>
      <c r="H199" s="251"/>
      <c r="I199" s="251"/>
      <c r="J199" s="251"/>
    </row>
    <row r="200" spans="1:10" s="44" customFormat="1" ht="12.75" customHeight="1">
      <c r="A200" s="1861">
        <v>16</v>
      </c>
      <c r="B200" s="819" t="s">
        <v>760</v>
      </c>
      <c r="C200" s="31"/>
      <c r="D200" s="1798"/>
      <c r="E200" s="1749"/>
      <c r="F200" s="1864">
        <f t="shared" si="11"/>
        <v>0</v>
      </c>
      <c r="G200" s="251"/>
      <c r="H200" s="251"/>
      <c r="I200" s="251"/>
      <c r="J200" s="251"/>
    </row>
    <row r="201" spans="1:10" s="44" customFormat="1" ht="12.75" customHeight="1">
      <c r="A201" s="1855">
        <v>16.100000000000001</v>
      </c>
      <c r="B201" s="1794" t="s">
        <v>763</v>
      </c>
      <c r="C201" s="1794">
        <v>1</v>
      </c>
      <c r="D201" s="1794" t="s">
        <v>3</v>
      </c>
      <c r="E201" s="1794">
        <v>185000</v>
      </c>
      <c r="F201" s="1856">
        <f t="shared" si="11"/>
        <v>185000</v>
      </c>
      <c r="G201" s="251"/>
      <c r="H201" s="251"/>
      <c r="I201" s="251"/>
      <c r="J201" s="251"/>
    </row>
    <row r="202" spans="1:10" s="44" customFormat="1" ht="12.75" customHeight="1">
      <c r="A202" s="1876"/>
      <c r="B202" s="522"/>
      <c r="C202" s="31"/>
      <c r="D202" s="1798"/>
      <c r="E202" s="1749"/>
      <c r="F202" s="1864">
        <f t="shared" si="11"/>
        <v>0</v>
      </c>
      <c r="G202" s="251"/>
      <c r="H202" s="251"/>
      <c r="I202" s="251"/>
      <c r="J202" s="251"/>
    </row>
    <row r="203" spans="1:10" s="44" customFormat="1" ht="12.75" customHeight="1">
      <c r="A203" s="1861">
        <v>17</v>
      </c>
      <c r="B203" s="819" t="s">
        <v>764</v>
      </c>
      <c r="C203" s="31"/>
      <c r="D203" s="1798"/>
      <c r="E203" s="1749"/>
      <c r="F203" s="1864">
        <f t="shared" si="11"/>
        <v>0</v>
      </c>
      <c r="G203" s="251"/>
      <c r="H203" s="251"/>
      <c r="I203" s="251"/>
      <c r="J203" s="251"/>
    </row>
    <row r="204" spans="1:10" s="44" customFormat="1" ht="12.75" customHeight="1">
      <c r="A204" s="1876">
        <v>17.100000000000001</v>
      </c>
      <c r="B204" s="522" t="s">
        <v>261</v>
      </c>
      <c r="C204" s="31">
        <v>204.75</v>
      </c>
      <c r="D204" s="1798" t="s">
        <v>11</v>
      </c>
      <c r="E204" s="1749">
        <v>144</v>
      </c>
      <c r="F204" s="1864">
        <f t="shared" si="11"/>
        <v>29484</v>
      </c>
      <c r="G204" s="251"/>
      <c r="H204" s="251"/>
      <c r="I204" s="251"/>
      <c r="J204" s="251"/>
    </row>
    <row r="205" spans="1:10" s="44" customFormat="1" ht="12.75" customHeight="1">
      <c r="A205" s="1876">
        <v>17.2</v>
      </c>
      <c r="B205" s="522" t="s">
        <v>767</v>
      </c>
      <c r="C205" s="31">
        <v>204.75</v>
      </c>
      <c r="D205" s="1798" t="s">
        <v>11</v>
      </c>
      <c r="E205" s="1749">
        <v>144</v>
      </c>
      <c r="F205" s="1864">
        <f t="shared" si="11"/>
        <v>29484</v>
      </c>
      <c r="G205" s="251"/>
      <c r="H205" s="251"/>
      <c r="I205" s="251"/>
      <c r="J205" s="251"/>
    </row>
    <row r="206" spans="1:10" s="44" customFormat="1" ht="12.75" customHeight="1">
      <c r="A206" s="1876">
        <v>17.3</v>
      </c>
      <c r="B206" s="522" t="s">
        <v>768</v>
      </c>
      <c r="C206" s="31">
        <v>1</v>
      </c>
      <c r="D206" s="1798" t="s">
        <v>3</v>
      </c>
      <c r="E206" s="1749">
        <v>7500</v>
      </c>
      <c r="F206" s="1864">
        <f t="shared" si="11"/>
        <v>7500</v>
      </c>
      <c r="G206" s="251"/>
      <c r="I206" s="251"/>
      <c r="J206" s="251"/>
    </row>
    <row r="207" spans="1:10" s="44" customFormat="1" ht="12.75" customHeight="1">
      <c r="A207" s="1876"/>
      <c r="B207" s="522"/>
      <c r="C207" s="31"/>
      <c r="D207" s="1798"/>
      <c r="E207" s="1749"/>
      <c r="F207" s="1864">
        <f t="shared" si="11"/>
        <v>0</v>
      </c>
      <c r="G207" s="251"/>
      <c r="H207" s="251"/>
      <c r="I207" s="251"/>
      <c r="J207" s="251"/>
    </row>
    <row r="208" spans="1:10" s="44" customFormat="1" ht="12.75" customHeight="1">
      <c r="A208" s="1861">
        <v>18</v>
      </c>
      <c r="B208" s="819" t="s">
        <v>769</v>
      </c>
      <c r="C208" s="31"/>
      <c r="D208" s="1798"/>
      <c r="E208" s="1749"/>
      <c r="F208" s="1864">
        <f t="shared" si="11"/>
        <v>0</v>
      </c>
      <c r="G208" s="251"/>
      <c r="H208" s="251"/>
      <c r="I208" s="251"/>
      <c r="J208" s="251"/>
    </row>
    <row r="209" spans="1:10" s="44" customFormat="1">
      <c r="A209" s="1889">
        <v>18.100000000000001</v>
      </c>
      <c r="B209" s="522" t="s">
        <v>770</v>
      </c>
      <c r="C209" s="31">
        <v>360</v>
      </c>
      <c r="D209" s="1798" t="s">
        <v>138</v>
      </c>
      <c r="E209" s="1749">
        <v>304.5</v>
      </c>
      <c r="F209" s="1864">
        <f t="shared" si="11"/>
        <v>109620</v>
      </c>
      <c r="G209" s="1369"/>
      <c r="H209" s="1370"/>
      <c r="I209" s="251"/>
      <c r="J209" s="251"/>
    </row>
    <row r="210" spans="1:10" s="44" customFormat="1" ht="12.75" customHeight="1">
      <c r="A210" s="1889">
        <v>18.2</v>
      </c>
      <c r="B210" s="522" t="s">
        <v>2087</v>
      </c>
      <c r="C210" s="31">
        <v>163.36000000000001</v>
      </c>
      <c r="D210" s="1798" t="s">
        <v>1</v>
      </c>
      <c r="E210" s="1749">
        <v>414</v>
      </c>
      <c r="F210" s="1864">
        <f t="shared" si="11"/>
        <v>67631.039999999994</v>
      </c>
      <c r="G210" s="1369"/>
      <c r="H210" s="251"/>
      <c r="I210" s="251"/>
      <c r="J210" s="251"/>
    </row>
    <row r="211" spans="1:10" s="44" customFormat="1">
      <c r="A211" s="1889">
        <v>18.3</v>
      </c>
      <c r="B211" s="522" t="s">
        <v>772</v>
      </c>
      <c r="C211" s="31">
        <v>1</v>
      </c>
      <c r="D211" s="1750" t="s">
        <v>42</v>
      </c>
      <c r="E211" s="1749">
        <v>75000</v>
      </c>
      <c r="F211" s="1864">
        <f t="shared" si="11"/>
        <v>75000</v>
      </c>
      <c r="G211" s="251"/>
      <c r="H211" s="1757"/>
      <c r="I211" s="1758"/>
      <c r="J211" s="1759"/>
    </row>
    <row r="212" spans="1:10" s="44" customFormat="1" ht="12.75" customHeight="1">
      <c r="A212" s="1889">
        <v>18.399999999999999</v>
      </c>
      <c r="B212" s="425" t="s">
        <v>773</v>
      </c>
      <c r="C212" s="31">
        <v>1</v>
      </c>
      <c r="D212" s="1798" t="s">
        <v>3</v>
      </c>
      <c r="E212" s="1749">
        <v>50000</v>
      </c>
      <c r="F212" s="1864">
        <f t="shared" si="11"/>
        <v>50000</v>
      </c>
      <c r="G212" s="251"/>
      <c r="H212" s="251"/>
      <c r="I212" s="251"/>
      <c r="J212" s="251"/>
    </row>
    <row r="213" spans="1:10" s="44" customFormat="1" ht="12.75" customHeight="1">
      <c r="A213" s="1889"/>
      <c r="B213" s="425"/>
      <c r="C213" s="31"/>
      <c r="D213" s="1798"/>
      <c r="E213" s="1749"/>
      <c r="F213" s="1864"/>
      <c r="G213" s="251"/>
      <c r="H213" s="251"/>
      <c r="I213" s="251"/>
      <c r="J213" s="251"/>
    </row>
    <row r="214" spans="1:10" s="1539" customFormat="1" ht="16.5" customHeight="1">
      <c r="A214" s="1873"/>
      <c r="B214" s="1827" t="s">
        <v>2127</v>
      </c>
      <c r="C214" s="1827"/>
      <c r="D214" s="1827"/>
      <c r="E214" s="1828"/>
      <c r="F214" s="1874">
        <f>SUM(F65:F212)</f>
        <v>44056988.780000001</v>
      </c>
      <c r="G214" s="1741"/>
    </row>
    <row r="215" spans="1:10" s="44" customFormat="1" ht="12.75" customHeight="1">
      <c r="A215" s="1860"/>
      <c r="B215" s="1760"/>
      <c r="C215" s="31"/>
      <c r="D215" s="1761"/>
      <c r="E215" s="1762"/>
      <c r="F215" s="1864">
        <f>+ROUND((E215*C215),2)</f>
        <v>0</v>
      </c>
      <c r="G215" s="328"/>
    </row>
    <row r="216" spans="1:10" s="44" customFormat="1" ht="12.75" customHeight="1">
      <c r="A216" s="1890" t="s">
        <v>774</v>
      </c>
      <c r="B216" s="819" t="s">
        <v>1995</v>
      </c>
      <c r="C216" s="31"/>
      <c r="D216" s="522"/>
      <c r="E216" s="522"/>
      <c r="F216" s="1864">
        <f>ROUND((C216*E216),2)</f>
        <v>0</v>
      </c>
      <c r="G216" s="328"/>
    </row>
    <row r="217" spans="1:10" s="44" customFormat="1" ht="12.75" customHeight="1">
      <c r="A217" s="1860"/>
      <c r="B217" s="522"/>
      <c r="C217" s="31"/>
      <c r="D217" s="522"/>
      <c r="E217" s="1749"/>
      <c r="F217" s="1864">
        <f>ROUND((C217*E217),2)</f>
        <v>0</v>
      </c>
      <c r="G217" s="328"/>
    </row>
    <row r="218" spans="1:10" s="44" customFormat="1" ht="12.75" customHeight="1">
      <c r="A218" s="1860">
        <v>1</v>
      </c>
      <c r="B218" s="522" t="s">
        <v>37</v>
      </c>
      <c r="C218" s="31">
        <v>1</v>
      </c>
      <c r="D218" s="713" t="s">
        <v>3</v>
      </c>
      <c r="E218" s="1749">
        <v>1500</v>
      </c>
      <c r="F218" s="1864">
        <f t="shared" ref="F218:F284" si="12">ROUND(E218*C218,2)</f>
        <v>1500</v>
      </c>
      <c r="G218" s="328"/>
    </row>
    <row r="219" spans="1:10" s="44" customFormat="1" ht="12.75" customHeight="1">
      <c r="A219" s="1860"/>
      <c r="B219" s="522"/>
      <c r="C219" s="31"/>
      <c r="D219" s="713"/>
      <c r="E219" s="1749"/>
      <c r="F219" s="1864">
        <f t="shared" si="12"/>
        <v>0</v>
      </c>
      <c r="G219" s="328"/>
    </row>
    <row r="220" spans="1:10" s="44" customFormat="1" ht="12.75" customHeight="1">
      <c r="A220" s="1868">
        <v>2</v>
      </c>
      <c r="B220" s="1795" t="s">
        <v>38</v>
      </c>
      <c r="C220" s="1813">
        <v>1</v>
      </c>
      <c r="D220" s="1821" t="s">
        <v>3</v>
      </c>
      <c r="E220" s="1816">
        <v>8500</v>
      </c>
      <c r="F220" s="1879">
        <f t="shared" si="12"/>
        <v>8500</v>
      </c>
      <c r="G220" s="328"/>
    </row>
    <row r="221" spans="1:10" s="44" customFormat="1" ht="12.75" customHeight="1">
      <c r="A221" s="1860"/>
      <c r="B221" s="522"/>
      <c r="C221" s="31"/>
      <c r="D221" s="713"/>
      <c r="E221" s="1749"/>
      <c r="F221" s="1864">
        <f t="shared" si="12"/>
        <v>0</v>
      </c>
      <c r="G221" s="328"/>
    </row>
    <row r="222" spans="1:10" s="44" customFormat="1" ht="25.5">
      <c r="A222" s="1867">
        <v>3</v>
      </c>
      <c r="B222" s="1807" t="s">
        <v>2246</v>
      </c>
      <c r="C222" s="31"/>
      <c r="D222" s="713"/>
      <c r="E222" s="1749"/>
      <c r="F222" s="1864">
        <f t="shared" si="12"/>
        <v>0</v>
      </c>
      <c r="G222" s="328"/>
    </row>
    <row r="223" spans="1:10" s="44" customFormat="1" ht="12.75" customHeight="1">
      <c r="A223" s="1860">
        <f>A222+0.1</f>
        <v>3.1</v>
      </c>
      <c r="B223" s="1760" t="s">
        <v>2155</v>
      </c>
      <c r="C223" s="31">
        <v>8.1</v>
      </c>
      <c r="D223" s="713" t="s">
        <v>2</v>
      </c>
      <c r="E223" s="1749">
        <v>12273.61</v>
      </c>
      <c r="F223" s="1864">
        <f t="shared" ref="F223:F233" si="13">ROUND(E223*C223,2)</f>
        <v>99416.24</v>
      </c>
      <c r="G223" s="328"/>
    </row>
    <row r="224" spans="1:10" s="44" customFormat="1" ht="12.75" customHeight="1">
      <c r="A224" s="1860">
        <f t="shared" ref="A224:A229" si="14">A223+0.1</f>
        <v>3.2</v>
      </c>
      <c r="B224" s="1760" t="s">
        <v>2155</v>
      </c>
      <c r="C224" s="31">
        <v>1.3</v>
      </c>
      <c r="D224" s="713" t="s">
        <v>2</v>
      </c>
      <c r="E224" s="1749">
        <v>14355.53</v>
      </c>
      <c r="F224" s="1864">
        <f t="shared" si="13"/>
        <v>18662.189999999999</v>
      </c>
      <c r="G224" s="328"/>
    </row>
    <row r="225" spans="1:7" s="44" customFormat="1" ht="12.75" customHeight="1">
      <c r="A225" s="1860">
        <f>A224+0.1</f>
        <v>3.3</v>
      </c>
      <c r="B225" s="522" t="s">
        <v>1998</v>
      </c>
      <c r="C225" s="31">
        <v>1.1299999999999999</v>
      </c>
      <c r="D225" s="713" t="s">
        <v>2</v>
      </c>
      <c r="E225" s="1749">
        <v>24437.89</v>
      </c>
      <c r="F225" s="1864">
        <f t="shared" si="13"/>
        <v>27614.82</v>
      </c>
      <c r="G225" s="328"/>
    </row>
    <row r="226" spans="1:7" s="44" customFormat="1" ht="12.75" customHeight="1">
      <c r="A226" s="1860">
        <f t="shared" si="14"/>
        <v>3.4</v>
      </c>
      <c r="B226" s="522" t="s">
        <v>1999</v>
      </c>
      <c r="C226" s="31">
        <v>6.98</v>
      </c>
      <c r="D226" s="713" t="s">
        <v>2</v>
      </c>
      <c r="E226" s="1749">
        <v>25050.62</v>
      </c>
      <c r="F226" s="1864">
        <f t="shared" si="13"/>
        <v>174853.33</v>
      </c>
      <c r="G226" s="328"/>
    </row>
    <row r="227" spans="1:7" s="44" customFormat="1" ht="12.75" customHeight="1">
      <c r="A227" s="1860">
        <f t="shared" si="14"/>
        <v>3.5</v>
      </c>
      <c r="B227" s="522" t="s">
        <v>2156</v>
      </c>
      <c r="C227" s="31">
        <v>3.04</v>
      </c>
      <c r="D227" s="713" t="s">
        <v>2</v>
      </c>
      <c r="E227" s="1749">
        <v>21652.59</v>
      </c>
      <c r="F227" s="1864">
        <f t="shared" si="13"/>
        <v>65823.87</v>
      </c>
      <c r="G227" s="328"/>
    </row>
    <row r="228" spans="1:7" s="44" customFormat="1" ht="12.75" customHeight="1">
      <c r="A228" s="1860">
        <f t="shared" si="14"/>
        <v>3.6</v>
      </c>
      <c r="B228" s="522" t="s">
        <v>2157</v>
      </c>
      <c r="C228" s="31">
        <v>5.31</v>
      </c>
      <c r="D228" s="713" t="s">
        <v>2</v>
      </c>
      <c r="E228" s="1749">
        <v>25892.62</v>
      </c>
      <c r="F228" s="1864">
        <f t="shared" si="13"/>
        <v>137489.81</v>
      </c>
      <c r="G228" s="328"/>
    </row>
    <row r="229" spans="1:7" s="44" customFormat="1" ht="12.75" customHeight="1">
      <c r="A229" s="1860">
        <f t="shared" si="14"/>
        <v>3.7</v>
      </c>
      <c r="B229" s="522" t="s">
        <v>2158</v>
      </c>
      <c r="C229" s="31">
        <v>4.5599999999999996</v>
      </c>
      <c r="D229" s="713" t="s">
        <v>2</v>
      </c>
      <c r="E229" s="1749">
        <v>19152.64</v>
      </c>
      <c r="F229" s="1864">
        <f t="shared" si="13"/>
        <v>87336.04</v>
      </c>
      <c r="G229" s="328"/>
    </row>
    <row r="230" spans="1:7" s="44" customFormat="1" ht="12.75" customHeight="1">
      <c r="A230" s="1860">
        <v>3.11</v>
      </c>
      <c r="B230" s="522" t="s">
        <v>2004</v>
      </c>
      <c r="C230" s="31">
        <v>8.4700000000000006</v>
      </c>
      <c r="D230" s="713" t="s">
        <v>2</v>
      </c>
      <c r="E230" s="1749">
        <v>12875.9</v>
      </c>
      <c r="F230" s="1864">
        <f t="shared" si="13"/>
        <v>109058.87</v>
      </c>
      <c r="G230" s="328"/>
    </row>
    <row r="231" spans="1:7" s="44" customFormat="1" ht="12.75" customHeight="1">
      <c r="A231" s="1860">
        <v>3.12</v>
      </c>
      <c r="B231" s="522" t="s">
        <v>2005</v>
      </c>
      <c r="C231" s="31">
        <v>11.09</v>
      </c>
      <c r="D231" s="713" t="s">
        <v>2</v>
      </c>
      <c r="E231" s="1749">
        <v>12875.9</v>
      </c>
      <c r="F231" s="1864">
        <f t="shared" si="13"/>
        <v>142793.73000000001</v>
      </c>
      <c r="G231" s="328"/>
    </row>
    <row r="232" spans="1:7" s="44" customFormat="1" ht="12.75" customHeight="1">
      <c r="A232" s="1860">
        <v>3.13</v>
      </c>
      <c r="B232" s="522" t="s">
        <v>2006</v>
      </c>
      <c r="C232" s="31">
        <v>1.37</v>
      </c>
      <c r="D232" s="713" t="s">
        <v>2</v>
      </c>
      <c r="E232" s="1749">
        <v>14166.63</v>
      </c>
      <c r="F232" s="1864">
        <f t="shared" si="13"/>
        <v>19408.28</v>
      </c>
      <c r="G232" s="328"/>
    </row>
    <row r="233" spans="1:7" s="44" customFormat="1" ht="12.75" customHeight="1">
      <c r="A233" s="1860">
        <v>3.15</v>
      </c>
      <c r="B233" s="522" t="s">
        <v>2008</v>
      </c>
      <c r="C233" s="31">
        <v>1.1000000000000001</v>
      </c>
      <c r="D233" s="713" t="s">
        <v>3</v>
      </c>
      <c r="E233" s="1749">
        <v>15500</v>
      </c>
      <c r="F233" s="1864">
        <f t="shared" si="13"/>
        <v>17050</v>
      </c>
      <c r="G233" s="328"/>
    </row>
    <row r="234" spans="1:7" s="44" customFormat="1" ht="12.75" customHeight="1">
      <c r="A234" s="1860"/>
      <c r="B234" s="522"/>
      <c r="C234" s="31">
        <v>0</v>
      </c>
      <c r="D234" s="713"/>
      <c r="E234" s="1749"/>
      <c r="F234" s="1864">
        <f t="shared" si="12"/>
        <v>0</v>
      </c>
      <c r="G234" s="328"/>
    </row>
    <row r="235" spans="1:7" s="44" customFormat="1" ht="12.75" customHeight="1">
      <c r="A235" s="1861">
        <v>4</v>
      </c>
      <c r="B235" s="819" t="s">
        <v>784</v>
      </c>
      <c r="C235" s="31">
        <v>0</v>
      </c>
      <c r="D235" s="713"/>
      <c r="E235" s="1749"/>
      <c r="F235" s="1864">
        <f t="shared" si="12"/>
        <v>0</v>
      </c>
      <c r="G235" s="328"/>
    </row>
    <row r="236" spans="1:7" s="44" customFormat="1" ht="12.75" customHeight="1">
      <c r="A236" s="1860">
        <v>4.0999999999999996</v>
      </c>
      <c r="B236" s="522" t="s">
        <v>2009</v>
      </c>
      <c r="C236" s="31">
        <v>47.19</v>
      </c>
      <c r="D236" s="713" t="s">
        <v>11</v>
      </c>
      <c r="E236" s="1749">
        <v>878.76</v>
      </c>
      <c r="F236" s="1864">
        <f>ROUND(E236*C236,2)</f>
        <v>41468.68</v>
      </c>
      <c r="G236" s="328"/>
    </row>
    <row r="237" spans="1:7" s="44" customFormat="1" ht="12.75" customHeight="1">
      <c r="A237" s="1860">
        <v>4.2</v>
      </c>
      <c r="B237" s="522" t="s">
        <v>2010</v>
      </c>
      <c r="C237" s="31">
        <v>225.18</v>
      </c>
      <c r="D237" s="713" t="s">
        <v>11</v>
      </c>
      <c r="E237" s="1749">
        <v>893.71</v>
      </c>
      <c r="F237" s="1864">
        <f>ROUND(E237*C237,2)</f>
        <v>201245.62</v>
      </c>
      <c r="G237" s="328"/>
    </row>
    <row r="238" spans="1:7" s="44" customFormat="1" ht="12.75" customHeight="1">
      <c r="A238" s="1860"/>
      <c r="B238" s="522"/>
      <c r="C238" s="31">
        <v>0</v>
      </c>
      <c r="D238" s="713"/>
      <c r="E238" s="1749"/>
      <c r="F238" s="1864">
        <f t="shared" si="12"/>
        <v>0</v>
      </c>
      <c r="G238" s="328"/>
    </row>
    <row r="239" spans="1:7" s="44" customFormat="1" ht="12.75" customHeight="1">
      <c r="A239" s="1861">
        <v>5</v>
      </c>
      <c r="B239" s="819" t="s">
        <v>787</v>
      </c>
      <c r="C239" s="31">
        <v>0</v>
      </c>
      <c r="D239" s="713"/>
      <c r="E239" s="1749"/>
      <c r="F239" s="1864">
        <f t="shared" si="12"/>
        <v>0</v>
      </c>
      <c r="G239" s="328"/>
    </row>
    <row r="240" spans="1:7" s="44" customFormat="1" ht="12.75" customHeight="1">
      <c r="A240" s="1860">
        <v>5.0999999999999996</v>
      </c>
      <c r="B240" s="522" t="s">
        <v>2011</v>
      </c>
      <c r="C240" s="31">
        <v>695.3</v>
      </c>
      <c r="D240" s="713" t="s">
        <v>11</v>
      </c>
      <c r="E240" s="1749">
        <v>277.06</v>
      </c>
      <c r="F240" s="1864">
        <f t="shared" si="12"/>
        <v>192639.82</v>
      </c>
      <c r="G240" s="328"/>
    </row>
    <row r="241" spans="1:7" s="44" customFormat="1" ht="12.75" customHeight="1">
      <c r="A241" s="1860">
        <v>5.2</v>
      </c>
      <c r="B241" s="522" t="s">
        <v>789</v>
      </c>
      <c r="C241" s="31">
        <v>71.38</v>
      </c>
      <c r="D241" s="713" t="s">
        <v>11</v>
      </c>
      <c r="E241" s="1749">
        <v>475.19</v>
      </c>
      <c r="F241" s="1864">
        <f t="shared" si="12"/>
        <v>33919.06</v>
      </c>
      <c r="G241" s="328"/>
    </row>
    <row r="242" spans="1:7" s="44" customFormat="1" ht="12.75" customHeight="1">
      <c r="A242" s="1860">
        <v>5.3</v>
      </c>
      <c r="B242" s="522" t="s">
        <v>2012</v>
      </c>
      <c r="C242" s="31">
        <v>33.799999999999997</v>
      </c>
      <c r="D242" s="713" t="s">
        <v>11</v>
      </c>
      <c r="E242" s="1749">
        <v>98.75</v>
      </c>
      <c r="F242" s="1864">
        <f t="shared" si="12"/>
        <v>3337.75</v>
      </c>
      <c r="G242" s="328"/>
    </row>
    <row r="243" spans="1:7" s="44" customFormat="1" ht="12.75" customHeight="1">
      <c r="A243" s="1860">
        <v>5.4</v>
      </c>
      <c r="B243" s="522" t="s">
        <v>618</v>
      </c>
      <c r="C243" s="31">
        <v>478.68</v>
      </c>
      <c r="D243" s="713" t="s">
        <v>1</v>
      </c>
      <c r="E243" s="1749">
        <v>89.18</v>
      </c>
      <c r="F243" s="1864">
        <f t="shared" si="12"/>
        <v>42688.68</v>
      </c>
      <c r="G243" s="328"/>
    </row>
    <row r="244" spans="1:7" s="44" customFormat="1" ht="12.75" customHeight="1">
      <c r="A244" s="1860">
        <v>5.5</v>
      </c>
      <c r="B244" s="522" t="s">
        <v>862</v>
      </c>
      <c r="C244" s="31">
        <v>33.799999999999997</v>
      </c>
      <c r="D244" s="713" t="s">
        <v>1</v>
      </c>
      <c r="E244" s="1749">
        <v>524.32000000000005</v>
      </c>
      <c r="F244" s="1864">
        <f t="shared" si="12"/>
        <v>17722.02</v>
      </c>
      <c r="G244" s="328"/>
    </row>
    <row r="245" spans="1:7" s="44" customFormat="1" ht="12.75" customHeight="1">
      <c r="A245" s="1860">
        <v>5.6</v>
      </c>
      <c r="B245" s="522" t="s">
        <v>2013</v>
      </c>
      <c r="C245" s="1794">
        <v>3.11</v>
      </c>
      <c r="D245" s="1794" t="s">
        <v>11</v>
      </c>
      <c r="E245" s="1794">
        <v>277.06</v>
      </c>
      <c r="F245" s="1856">
        <f t="shared" si="12"/>
        <v>861.66</v>
      </c>
      <c r="G245" s="328"/>
    </row>
    <row r="246" spans="1:7" s="44" customFormat="1" ht="12.75" customHeight="1">
      <c r="A246" s="1860">
        <v>5.7</v>
      </c>
      <c r="B246" s="522" t="s">
        <v>2014</v>
      </c>
      <c r="C246" s="31">
        <v>15.18</v>
      </c>
      <c r="D246" s="713" t="s">
        <v>11</v>
      </c>
      <c r="E246" s="1749">
        <v>294.29000000000002</v>
      </c>
      <c r="F246" s="1864">
        <f t="shared" si="12"/>
        <v>4467.32</v>
      </c>
      <c r="G246" s="328"/>
    </row>
    <row r="247" spans="1:7" s="44" customFormat="1" ht="12.75" customHeight="1">
      <c r="A247" s="1860">
        <v>5.8</v>
      </c>
      <c r="B247" s="522" t="s">
        <v>2015</v>
      </c>
      <c r="C247" s="31">
        <v>4.95</v>
      </c>
      <c r="D247" s="713" t="s">
        <v>11</v>
      </c>
      <c r="E247" s="1749">
        <v>624.79999999999995</v>
      </c>
      <c r="F247" s="1864">
        <f t="shared" si="12"/>
        <v>3092.76</v>
      </c>
      <c r="G247" s="328"/>
    </row>
    <row r="248" spans="1:7" s="44" customFormat="1" ht="12.75" customHeight="1">
      <c r="A248" s="1860">
        <v>5.9</v>
      </c>
      <c r="B248" s="522" t="s">
        <v>2016</v>
      </c>
      <c r="C248" s="31">
        <v>20.13</v>
      </c>
      <c r="D248" s="713" t="s">
        <v>11</v>
      </c>
      <c r="E248" s="1749">
        <v>1875</v>
      </c>
      <c r="F248" s="1864">
        <f t="shared" si="12"/>
        <v>37743.75</v>
      </c>
      <c r="G248" s="328"/>
    </row>
    <row r="249" spans="1:7" s="44" customFormat="1" ht="12.75" customHeight="1">
      <c r="A249" s="1860">
        <v>5.0999999999999996</v>
      </c>
      <c r="B249" s="522" t="s">
        <v>2017</v>
      </c>
      <c r="C249" s="31">
        <v>98.88</v>
      </c>
      <c r="D249" s="713" t="s">
        <v>11</v>
      </c>
      <c r="E249" s="1749">
        <v>1224.8900000000001</v>
      </c>
      <c r="F249" s="1864">
        <f t="shared" si="12"/>
        <v>121117.12</v>
      </c>
      <c r="G249" s="328"/>
    </row>
    <row r="250" spans="1:7" s="44" customFormat="1" ht="12.75" customHeight="1">
      <c r="A250" s="1860">
        <v>5.1100000000000003</v>
      </c>
      <c r="B250" s="522" t="s">
        <v>2018</v>
      </c>
      <c r="C250" s="31">
        <v>77.150000000000006</v>
      </c>
      <c r="D250" s="713" t="s">
        <v>1</v>
      </c>
      <c r="E250" s="1749">
        <v>407.8</v>
      </c>
      <c r="F250" s="1864">
        <f t="shared" si="12"/>
        <v>31461.77</v>
      </c>
      <c r="G250" s="328"/>
    </row>
    <row r="251" spans="1:7" s="44" customFormat="1" ht="12.75" customHeight="1">
      <c r="A251" s="1860">
        <v>5.12</v>
      </c>
      <c r="B251" s="522" t="s">
        <v>1265</v>
      </c>
      <c r="C251" s="31">
        <v>695.3</v>
      </c>
      <c r="D251" s="713" t="s">
        <v>11</v>
      </c>
      <c r="E251" s="1749">
        <v>144</v>
      </c>
      <c r="F251" s="1864">
        <f t="shared" si="12"/>
        <v>100123.2</v>
      </c>
      <c r="G251" s="328"/>
    </row>
    <row r="252" spans="1:7" s="44" customFormat="1" ht="12.75" customHeight="1">
      <c r="A252" s="1860">
        <v>5.13</v>
      </c>
      <c r="B252" s="522" t="s">
        <v>261</v>
      </c>
      <c r="C252" s="31">
        <v>695.3</v>
      </c>
      <c r="D252" s="713" t="s">
        <v>11</v>
      </c>
      <c r="E252" s="1749">
        <v>144</v>
      </c>
      <c r="F252" s="1864">
        <f t="shared" si="12"/>
        <v>100123.2</v>
      </c>
      <c r="G252" s="328"/>
    </row>
    <row r="253" spans="1:7" s="44" customFormat="1" ht="12.75" customHeight="1">
      <c r="A253" s="1860">
        <v>5.14</v>
      </c>
      <c r="B253" s="522" t="s">
        <v>2190</v>
      </c>
      <c r="C253" s="31">
        <v>27.84</v>
      </c>
      <c r="D253" s="713" t="s">
        <v>11</v>
      </c>
      <c r="E253" s="1755">
        <v>777.08</v>
      </c>
      <c r="F253" s="1864">
        <f t="shared" si="12"/>
        <v>21633.91</v>
      </c>
      <c r="G253" s="328"/>
    </row>
    <row r="254" spans="1:7" s="44" customFormat="1" ht="12.75" customHeight="1">
      <c r="A254" s="1860"/>
      <c r="B254" s="522"/>
      <c r="C254" s="31"/>
      <c r="D254" s="713"/>
      <c r="E254" s="1794"/>
      <c r="F254" s="1864"/>
      <c r="G254" s="328"/>
    </row>
    <row r="255" spans="1:7" s="44" customFormat="1" ht="12.75" customHeight="1">
      <c r="A255" s="1861">
        <v>6</v>
      </c>
      <c r="B255" s="819" t="s">
        <v>793</v>
      </c>
      <c r="C255" s="31">
        <v>0</v>
      </c>
      <c r="D255" s="713"/>
      <c r="E255" s="1794"/>
      <c r="F255" s="1864">
        <f t="shared" si="12"/>
        <v>0</v>
      </c>
      <c r="G255" s="328"/>
    </row>
    <row r="256" spans="1:7" s="44" customFormat="1" ht="12.75" customHeight="1">
      <c r="A256" s="1860">
        <v>6.1</v>
      </c>
      <c r="B256" s="522" t="s">
        <v>2019</v>
      </c>
      <c r="C256" s="31">
        <v>3</v>
      </c>
      <c r="D256" s="713" t="s">
        <v>3</v>
      </c>
      <c r="E256" s="1749">
        <v>8200</v>
      </c>
      <c r="F256" s="1864">
        <f t="shared" si="12"/>
        <v>24600</v>
      </c>
      <c r="G256" s="328"/>
    </row>
    <row r="257" spans="1:7" s="44" customFormat="1" ht="12.75" customHeight="1">
      <c r="A257" s="1860">
        <v>6.2</v>
      </c>
      <c r="B257" s="522" t="s">
        <v>2020</v>
      </c>
      <c r="C257" s="31">
        <v>1</v>
      </c>
      <c r="D257" s="713" t="s">
        <v>3</v>
      </c>
      <c r="E257" s="1749">
        <v>28760.32</v>
      </c>
      <c r="F257" s="1864">
        <f t="shared" si="12"/>
        <v>28760.32</v>
      </c>
      <c r="G257" s="328"/>
    </row>
    <row r="258" spans="1:7" s="44" customFormat="1" ht="12.75" customHeight="1">
      <c r="A258" s="1860"/>
      <c r="B258" s="522"/>
      <c r="C258" s="31">
        <v>0</v>
      </c>
      <c r="D258" s="713"/>
      <c r="E258" s="1794"/>
      <c r="F258" s="1864"/>
      <c r="G258" s="328"/>
    </row>
    <row r="259" spans="1:7" s="44" customFormat="1" ht="12.75" customHeight="1">
      <c r="A259" s="1861">
        <v>7</v>
      </c>
      <c r="B259" s="819" t="s">
        <v>2021</v>
      </c>
      <c r="C259" s="31">
        <v>0</v>
      </c>
      <c r="D259" s="713"/>
      <c r="E259" s="1794"/>
      <c r="F259" s="1864">
        <f t="shared" si="12"/>
        <v>0</v>
      </c>
      <c r="G259" s="328"/>
    </row>
    <row r="260" spans="1:7" s="44" customFormat="1" ht="12.75" customHeight="1">
      <c r="A260" s="1860">
        <v>7.1</v>
      </c>
      <c r="B260" s="522" t="s">
        <v>2022</v>
      </c>
      <c r="C260" s="31">
        <v>258.45999999999998</v>
      </c>
      <c r="D260" s="713" t="s">
        <v>155</v>
      </c>
      <c r="E260" s="1749">
        <v>475</v>
      </c>
      <c r="F260" s="1864">
        <f t="shared" si="12"/>
        <v>122768.5</v>
      </c>
      <c r="G260" s="328"/>
    </row>
    <row r="261" spans="1:7" s="44" customFormat="1" ht="12.75" customHeight="1">
      <c r="A261" s="1860"/>
      <c r="B261" s="522"/>
      <c r="C261" s="31"/>
      <c r="D261" s="713"/>
      <c r="E261" s="1794"/>
      <c r="F261" s="1864">
        <f t="shared" si="12"/>
        <v>0</v>
      </c>
      <c r="G261" s="328"/>
    </row>
    <row r="262" spans="1:7" s="44" customFormat="1" ht="25.5">
      <c r="A262" s="1860">
        <v>8</v>
      </c>
      <c r="B262" s="1760" t="s">
        <v>2191</v>
      </c>
      <c r="C262" s="31">
        <v>1</v>
      </c>
      <c r="D262" s="713" t="s">
        <v>3</v>
      </c>
      <c r="E262" s="1755">
        <v>22500</v>
      </c>
      <c r="F262" s="1864">
        <f t="shared" si="12"/>
        <v>22500</v>
      </c>
      <c r="G262" s="328"/>
    </row>
    <row r="263" spans="1:7" s="44" customFormat="1" ht="25.5">
      <c r="A263" s="1868">
        <v>9</v>
      </c>
      <c r="B263" s="1839" t="s">
        <v>2192</v>
      </c>
      <c r="C263" s="1813">
        <v>1</v>
      </c>
      <c r="D263" s="1821" t="s">
        <v>3</v>
      </c>
      <c r="E263" s="1820">
        <v>18500</v>
      </c>
      <c r="F263" s="1879">
        <f t="shared" si="12"/>
        <v>18500</v>
      </c>
      <c r="G263" s="328"/>
    </row>
    <row r="264" spans="1:7" s="44" customFormat="1" ht="12.75" customHeight="1">
      <c r="A264" s="1860">
        <v>10</v>
      </c>
      <c r="B264" s="522" t="s">
        <v>2023</v>
      </c>
      <c r="C264" s="31">
        <v>2</v>
      </c>
      <c r="D264" s="713" t="s">
        <v>3</v>
      </c>
      <c r="E264" s="1755">
        <v>4500</v>
      </c>
      <c r="F264" s="1864">
        <f t="shared" si="12"/>
        <v>9000</v>
      </c>
      <c r="G264" s="328"/>
    </row>
    <row r="265" spans="1:7" s="44" customFormat="1" ht="76.5">
      <c r="A265" s="1860">
        <v>11</v>
      </c>
      <c r="B265" s="1760" t="s">
        <v>2024</v>
      </c>
      <c r="C265" s="31">
        <v>2</v>
      </c>
      <c r="D265" s="713" t="s">
        <v>3</v>
      </c>
      <c r="E265" s="1755">
        <v>271291.44</v>
      </c>
      <c r="F265" s="1864">
        <f t="shared" si="12"/>
        <v>542582.88</v>
      </c>
      <c r="G265" s="328"/>
    </row>
    <row r="266" spans="1:7" s="44" customFormat="1">
      <c r="A266" s="1860">
        <v>12</v>
      </c>
      <c r="B266" s="522" t="s">
        <v>2025</v>
      </c>
      <c r="C266" s="31">
        <v>1</v>
      </c>
      <c r="D266" s="713" t="s">
        <v>3</v>
      </c>
      <c r="E266" s="1762">
        <v>2200</v>
      </c>
      <c r="F266" s="1864">
        <f t="shared" si="12"/>
        <v>2200</v>
      </c>
      <c r="G266" s="328"/>
    </row>
    <row r="267" spans="1:7" s="44" customFormat="1" ht="78.75" customHeight="1">
      <c r="A267" s="1860">
        <v>13</v>
      </c>
      <c r="B267" s="1760" t="s">
        <v>1551</v>
      </c>
      <c r="C267" s="31">
        <v>2</v>
      </c>
      <c r="D267" s="713" t="s">
        <v>3</v>
      </c>
      <c r="E267" s="1755">
        <v>246136.2</v>
      </c>
      <c r="F267" s="1864">
        <f t="shared" si="12"/>
        <v>492272.4</v>
      </c>
      <c r="G267" s="328"/>
    </row>
    <row r="268" spans="1:7" s="44" customFormat="1" ht="25.5">
      <c r="A268" s="1860">
        <v>14</v>
      </c>
      <c r="B268" s="1760" t="s">
        <v>2026</v>
      </c>
      <c r="C268" s="31">
        <v>1</v>
      </c>
      <c r="D268" s="713" t="s">
        <v>3</v>
      </c>
      <c r="E268" s="1755">
        <v>30600</v>
      </c>
      <c r="F268" s="1864">
        <f t="shared" si="12"/>
        <v>30600</v>
      </c>
      <c r="G268" s="328"/>
    </row>
    <row r="269" spans="1:7" s="44" customFormat="1" ht="12.75" customHeight="1">
      <c r="A269" s="1860">
        <v>15</v>
      </c>
      <c r="B269" s="522" t="s">
        <v>2027</v>
      </c>
      <c r="C269" s="31">
        <v>1</v>
      </c>
      <c r="D269" s="713"/>
      <c r="E269" s="1755">
        <v>7500</v>
      </c>
      <c r="F269" s="1864">
        <f t="shared" si="12"/>
        <v>7500</v>
      </c>
      <c r="G269" s="328"/>
    </row>
    <row r="270" spans="1:7" s="44" customFormat="1" ht="12.75" customHeight="1">
      <c r="A270" s="1860"/>
      <c r="B270" s="522"/>
      <c r="C270" s="31"/>
      <c r="D270" s="713"/>
      <c r="E270" s="1794"/>
      <c r="F270" s="1864">
        <f t="shared" si="12"/>
        <v>0</v>
      </c>
      <c r="G270" s="328"/>
    </row>
    <row r="271" spans="1:7" s="44" customFormat="1" ht="12.75" customHeight="1">
      <c r="A271" s="1861">
        <v>16</v>
      </c>
      <c r="B271" s="819" t="s">
        <v>808</v>
      </c>
      <c r="C271" s="31"/>
      <c r="D271" s="713"/>
      <c r="E271" s="1794"/>
      <c r="F271" s="1864">
        <f t="shared" si="12"/>
        <v>0</v>
      </c>
      <c r="G271" s="328"/>
    </row>
    <row r="272" spans="1:7" s="44" customFormat="1" ht="12.75" customHeight="1">
      <c r="A272" s="1861"/>
      <c r="B272" s="819"/>
      <c r="C272" s="31"/>
      <c r="D272" s="713"/>
      <c r="E272" s="1794"/>
      <c r="F272" s="1864"/>
      <c r="G272" s="328"/>
    </row>
    <row r="273" spans="1:7" s="44" customFormat="1" ht="12.75" customHeight="1">
      <c r="A273" s="1861">
        <v>16.100000000000001</v>
      </c>
      <c r="B273" s="819" t="s">
        <v>2028</v>
      </c>
      <c r="C273" s="31"/>
      <c r="D273" s="713"/>
      <c r="E273" s="1794"/>
      <c r="F273" s="1864">
        <f t="shared" si="12"/>
        <v>0</v>
      </c>
      <c r="G273" s="328"/>
    </row>
    <row r="274" spans="1:7" s="44" customFormat="1" ht="12.75" customHeight="1">
      <c r="A274" s="1860" t="s">
        <v>729</v>
      </c>
      <c r="B274" s="522" t="s">
        <v>2029</v>
      </c>
      <c r="C274" s="31">
        <v>1</v>
      </c>
      <c r="D274" s="713" t="s">
        <v>3</v>
      </c>
      <c r="E274" s="1755">
        <v>8413.4</v>
      </c>
      <c r="F274" s="1864">
        <f>ROUND(E274*C274,2)</f>
        <v>8413.4</v>
      </c>
      <c r="G274" s="328"/>
    </row>
    <row r="275" spans="1:7" s="44" customFormat="1" ht="12.75" customHeight="1">
      <c r="A275" s="1860" t="s">
        <v>731</v>
      </c>
      <c r="B275" s="522" t="s">
        <v>2031</v>
      </c>
      <c r="C275" s="31">
        <v>36</v>
      </c>
      <c r="D275" s="713" t="s">
        <v>3</v>
      </c>
      <c r="E275" s="1755">
        <v>40.71</v>
      </c>
      <c r="F275" s="1864">
        <f>ROUND(E275*C275,2)</f>
        <v>1465.56</v>
      </c>
      <c r="G275" s="328"/>
    </row>
    <row r="276" spans="1:7" s="44" customFormat="1" ht="12.75" customHeight="1">
      <c r="A276" s="1860" t="s">
        <v>2193</v>
      </c>
      <c r="B276" s="522" t="s">
        <v>2033</v>
      </c>
      <c r="C276" s="31">
        <v>6</v>
      </c>
      <c r="D276" s="713" t="s">
        <v>3</v>
      </c>
      <c r="E276" s="1755">
        <v>4003.15</v>
      </c>
      <c r="F276" s="1864">
        <f>ROUND(E276*C276,2)</f>
        <v>24018.9</v>
      </c>
      <c r="G276" s="328"/>
    </row>
    <row r="277" spans="1:7" s="44" customFormat="1" ht="12.75" customHeight="1">
      <c r="A277" s="1860" t="s">
        <v>2194</v>
      </c>
      <c r="B277" s="522" t="s">
        <v>2034</v>
      </c>
      <c r="C277" s="31">
        <v>1</v>
      </c>
      <c r="D277" s="713" t="s">
        <v>3</v>
      </c>
      <c r="E277" s="1755">
        <v>6513.6</v>
      </c>
      <c r="F277" s="1864">
        <f t="shared" si="12"/>
        <v>6513.6</v>
      </c>
      <c r="G277" s="328"/>
    </row>
    <row r="278" spans="1:7" s="44" customFormat="1" ht="12.75" customHeight="1">
      <c r="A278" s="1860" t="s">
        <v>2195</v>
      </c>
      <c r="B278" s="522" t="s">
        <v>2035</v>
      </c>
      <c r="C278" s="31">
        <v>6</v>
      </c>
      <c r="D278" s="713" t="s">
        <v>3</v>
      </c>
      <c r="E278" s="1755">
        <v>515.66</v>
      </c>
      <c r="F278" s="1864">
        <f t="shared" si="12"/>
        <v>3093.96</v>
      </c>
      <c r="G278" s="328"/>
    </row>
    <row r="279" spans="1:7" s="44" customFormat="1" ht="12.75" customHeight="1">
      <c r="A279" s="1860" t="s">
        <v>2196</v>
      </c>
      <c r="B279" s="522" t="s">
        <v>2036</v>
      </c>
      <c r="C279" s="31">
        <v>3</v>
      </c>
      <c r="D279" s="713" t="s">
        <v>3</v>
      </c>
      <c r="E279" s="1755">
        <v>2239.0500000000002</v>
      </c>
      <c r="F279" s="1864">
        <f t="shared" si="12"/>
        <v>6717.15</v>
      </c>
      <c r="G279" s="328"/>
    </row>
    <row r="280" spans="1:7" s="44" customFormat="1" ht="12.75" customHeight="1">
      <c r="A280" s="1860" t="s">
        <v>2197</v>
      </c>
      <c r="B280" s="522" t="s">
        <v>2037</v>
      </c>
      <c r="C280" s="31">
        <v>8</v>
      </c>
      <c r="D280" s="713" t="s">
        <v>3</v>
      </c>
      <c r="E280" s="1755">
        <v>1628.4</v>
      </c>
      <c r="F280" s="1864">
        <f t="shared" si="12"/>
        <v>13027.2</v>
      </c>
      <c r="G280" s="328"/>
    </row>
    <row r="281" spans="1:7" s="44" customFormat="1" ht="12.75" customHeight="1">
      <c r="A281" s="1860" t="s">
        <v>2198</v>
      </c>
      <c r="B281" s="522" t="s">
        <v>2038</v>
      </c>
      <c r="C281" s="31">
        <v>7</v>
      </c>
      <c r="D281" s="713" t="s">
        <v>3</v>
      </c>
      <c r="E281" s="1755">
        <v>1289.1500000000001</v>
      </c>
      <c r="F281" s="1864">
        <f t="shared" si="12"/>
        <v>9024.0499999999993</v>
      </c>
      <c r="G281" s="328"/>
    </row>
    <row r="282" spans="1:7" s="44" customFormat="1" ht="12.75" customHeight="1">
      <c r="A282" s="1860" t="s">
        <v>2199</v>
      </c>
      <c r="B282" s="522" t="s">
        <v>2039</v>
      </c>
      <c r="C282" s="31">
        <v>5</v>
      </c>
      <c r="D282" s="713" t="s">
        <v>3</v>
      </c>
      <c r="E282" s="1755">
        <v>53.1</v>
      </c>
      <c r="F282" s="1864">
        <f t="shared" si="12"/>
        <v>265.5</v>
      </c>
      <c r="G282" s="328"/>
    </row>
    <row r="283" spans="1:7" s="44" customFormat="1" ht="12.75" customHeight="1">
      <c r="A283" s="1860" t="s">
        <v>2200</v>
      </c>
      <c r="B283" s="522" t="s">
        <v>2040</v>
      </c>
      <c r="C283" s="31">
        <v>40</v>
      </c>
      <c r="D283" s="713" t="s">
        <v>800</v>
      </c>
      <c r="E283" s="1755">
        <v>47.5</v>
      </c>
      <c r="F283" s="1864">
        <f t="shared" si="12"/>
        <v>1900</v>
      </c>
      <c r="G283" s="328"/>
    </row>
    <row r="284" spans="1:7" s="44" customFormat="1" ht="12.75" customHeight="1">
      <c r="A284" s="1860" t="s">
        <v>2201</v>
      </c>
      <c r="B284" s="522" t="s">
        <v>2041</v>
      </c>
      <c r="C284" s="31">
        <v>16</v>
      </c>
      <c r="D284" s="713" t="s">
        <v>3</v>
      </c>
      <c r="E284" s="1755">
        <v>882.85</v>
      </c>
      <c r="F284" s="1864">
        <f t="shared" si="12"/>
        <v>14125.6</v>
      </c>
      <c r="G284" s="328"/>
    </row>
    <row r="285" spans="1:7" s="44" customFormat="1" ht="12.75" customHeight="1">
      <c r="A285" s="1860" t="s">
        <v>2202</v>
      </c>
      <c r="B285" s="522" t="s">
        <v>2042</v>
      </c>
      <c r="C285" s="1794">
        <v>1</v>
      </c>
      <c r="D285" s="1794" t="s">
        <v>3</v>
      </c>
      <c r="E285" s="1794">
        <v>882.05</v>
      </c>
      <c r="F285" s="1856">
        <f t="shared" ref="F285:F357" si="15">ROUND(E285*C285,2)</f>
        <v>882.05</v>
      </c>
      <c r="G285" s="328"/>
    </row>
    <row r="286" spans="1:7" s="44" customFormat="1" ht="12.75" customHeight="1">
      <c r="A286" s="1860" t="s">
        <v>2203</v>
      </c>
      <c r="B286" s="522" t="s">
        <v>2043</v>
      </c>
      <c r="C286" s="31">
        <v>8</v>
      </c>
      <c r="D286" s="713" t="s">
        <v>3</v>
      </c>
      <c r="E286" s="1755">
        <v>67.849999999999994</v>
      </c>
      <c r="F286" s="1864">
        <f t="shared" si="15"/>
        <v>542.79999999999995</v>
      </c>
      <c r="G286" s="328"/>
    </row>
    <row r="287" spans="1:7" s="44" customFormat="1" ht="12.75" customHeight="1">
      <c r="A287" s="1860" t="s">
        <v>2204</v>
      </c>
      <c r="B287" s="522" t="s">
        <v>2044</v>
      </c>
      <c r="C287" s="31">
        <v>2</v>
      </c>
      <c r="D287" s="713" t="s">
        <v>3</v>
      </c>
      <c r="E287" s="1755">
        <v>2646.15</v>
      </c>
      <c r="F287" s="1864">
        <f t="shared" si="15"/>
        <v>5292.3</v>
      </c>
      <c r="G287" s="328"/>
    </row>
    <row r="288" spans="1:7" s="44" customFormat="1" ht="12.75" customHeight="1">
      <c r="A288" s="1860" t="s">
        <v>2205</v>
      </c>
      <c r="B288" s="522" t="s">
        <v>2045</v>
      </c>
      <c r="C288" s="31">
        <v>5</v>
      </c>
      <c r="D288" s="713" t="s">
        <v>800</v>
      </c>
      <c r="E288" s="1755">
        <v>169.63</v>
      </c>
      <c r="F288" s="1864">
        <f t="shared" si="15"/>
        <v>848.15</v>
      </c>
      <c r="G288" s="328"/>
    </row>
    <row r="289" spans="1:7" s="44" customFormat="1" ht="12.75" customHeight="1">
      <c r="A289" s="1860" t="s">
        <v>2206</v>
      </c>
      <c r="B289" s="522" t="s">
        <v>2046</v>
      </c>
      <c r="C289" s="31">
        <v>4</v>
      </c>
      <c r="D289" s="713" t="s">
        <v>3</v>
      </c>
      <c r="E289" s="1755">
        <v>1085.5999999999999</v>
      </c>
      <c r="F289" s="1864">
        <f t="shared" si="15"/>
        <v>4342.3999999999996</v>
      </c>
      <c r="G289" s="328"/>
    </row>
    <row r="290" spans="1:7" s="44" customFormat="1" ht="12.75" customHeight="1">
      <c r="A290" s="1860" t="s">
        <v>2207</v>
      </c>
      <c r="B290" s="522" t="s">
        <v>2047</v>
      </c>
      <c r="C290" s="31">
        <v>1</v>
      </c>
      <c r="D290" s="713" t="s">
        <v>3</v>
      </c>
      <c r="E290" s="1755">
        <v>43905.74</v>
      </c>
      <c r="F290" s="1864">
        <f t="shared" si="15"/>
        <v>43905.74</v>
      </c>
      <c r="G290" s="328"/>
    </row>
    <row r="291" spans="1:7" s="44" customFormat="1" ht="12.75" customHeight="1">
      <c r="A291" s="1860" t="s">
        <v>2208</v>
      </c>
      <c r="B291" s="522" t="s">
        <v>2048</v>
      </c>
      <c r="C291" s="31">
        <v>1</v>
      </c>
      <c r="D291" s="713" t="s">
        <v>3</v>
      </c>
      <c r="E291" s="1755">
        <v>83307.990000000005</v>
      </c>
      <c r="F291" s="1864">
        <f t="shared" si="15"/>
        <v>83307.990000000005</v>
      </c>
      <c r="G291" s="328"/>
    </row>
    <row r="292" spans="1:7" s="44" customFormat="1" ht="12.75" customHeight="1">
      <c r="A292" s="1860"/>
      <c r="B292" s="522"/>
      <c r="C292" s="31"/>
      <c r="D292" s="713"/>
      <c r="E292" s="1755"/>
      <c r="F292" s="1864">
        <f t="shared" si="15"/>
        <v>0</v>
      </c>
      <c r="G292" s="328"/>
    </row>
    <row r="293" spans="1:7" s="44" customFormat="1" ht="12.75" customHeight="1">
      <c r="A293" s="1861">
        <v>17</v>
      </c>
      <c r="B293" s="819" t="s">
        <v>810</v>
      </c>
      <c r="C293" s="31"/>
      <c r="D293" s="713"/>
      <c r="E293" s="1794"/>
      <c r="F293" s="1864">
        <f t="shared" si="15"/>
        <v>0</v>
      </c>
      <c r="G293" s="328"/>
    </row>
    <row r="294" spans="1:7" s="44" customFormat="1" ht="12.75" customHeight="1">
      <c r="A294" s="1860">
        <v>17.100000000000001</v>
      </c>
      <c r="B294" s="522" t="s">
        <v>2049</v>
      </c>
      <c r="C294" s="31">
        <v>1</v>
      </c>
      <c r="D294" s="713" t="s">
        <v>3</v>
      </c>
      <c r="E294" s="1755">
        <v>3341.07</v>
      </c>
      <c r="F294" s="1864">
        <f t="shared" si="15"/>
        <v>3341.07</v>
      </c>
      <c r="G294" s="328"/>
    </row>
    <row r="295" spans="1:7" s="44" customFormat="1" ht="12.75" customHeight="1">
      <c r="A295" s="1860">
        <v>17.2</v>
      </c>
      <c r="B295" s="522" t="s">
        <v>2050</v>
      </c>
      <c r="C295" s="31">
        <v>1</v>
      </c>
      <c r="D295" s="713" t="s">
        <v>3</v>
      </c>
      <c r="E295" s="1755">
        <v>4773</v>
      </c>
      <c r="F295" s="1864">
        <f t="shared" si="15"/>
        <v>4773</v>
      </c>
      <c r="G295" s="328"/>
    </row>
    <row r="296" spans="1:7" s="44" customFormat="1" ht="12.75" customHeight="1">
      <c r="A296" s="1860">
        <v>17.3</v>
      </c>
      <c r="B296" s="522" t="s">
        <v>2051</v>
      </c>
      <c r="C296" s="31">
        <v>1</v>
      </c>
      <c r="D296" s="713" t="s">
        <v>3</v>
      </c>
      <c r="E296" s="1755">
        <v>2734.27</v>
      </c>
      <c r="F296" s="1864">
        <f t="shared" si="15"/>
        <v>2734.27</v>
      </c>
      <c r="G296" s="328"/>
    </row>
    <row r="297" spans="1:7" s="44" customFormat="1" ht="12.75" customHeight="1">
      <c r="A297" s="1860">
        <v>17.399999999999999</v>
      </c>
      <c r="B297" s="522" t="s">
        <v>2052</v>
      </c>
      <c r="C297" s="31">
        <v>1</v>
      </c>
      <c r="D297" s="713" t="s">
        <v>3</v>
      </c>
      <c r="E297" s="1755">
        <v>680.57</v>
      </c>
      <c r="F297" s="1864">
        <f t="shared" si="15"/>
        <v>680.57</v>
      </c>
      <c r="G297" s="328"/>
    </row>
    <row r="298" spans="1:7" s="44" customFormat="1" ht="12.75" customHeight="1">
      <c r="A298" s="1868">
        <v>17.5</v>
      </c>
      <c r="B298" s="1795" t="s">
        <v>2053</v>
      </c>
      <c r="C298" s="1813">
        <v>1</v>
      </c>
      <c r="D298" s="1821" t="s">
        <v>3</v>
      </c>
      <c r="E298" s="1820">
        <v>250</v>
      </c>
      <c r="F298" s="1879">
        <f t="shared" si="15"/>
        <v>250</v>
      </c>
      <c r="G298" s="328"/>
    </row>
    <row r="299" spans="1:7" s="44" customFormat="1" ht="12.75" customHeight="1">
      <c r="A299" s="1860">
        <v>17.600000000000001</v>
      </c>
      <c r="B299" s="522" t="s">
        <v>2054</v>
      </c>
      <c r="C299" s="31">
        <v>1</v>
      </c>
      <c r="D299" s="713" t="s">
        <v>3</v>
      </c>
      <c r="E299" s="1755">
        <v>7500</v>
      </c>
      <c r="F299" s="1864">
        <f t="shared" si="15"/>
        <v>7500</v>
      </c>
      <c r="G299" s="328"/>
    </row>
    <row r="300" spans="1:7" s="44" customFormat="1" ht="25.5">
      <c r="A300" s="1860">
        <v>17.7</v>
      </c>
      <c r="B300" s="1760" t="s">
        <v>2055</v>
      </c>
      <c r="C300" s="31">
        <v>1</v>
      </c>
      <c r="D300" s="713" t="s">
        <v>3</v>
      </c>
      <c r="E300" s="1755">
        <v>6500</v>
      </c>
      <c r="F300" s="1864">
        <f t="shared" si="15"/>
        <v>6500</v>
      </c>
      <c r="G300" s="328"/>
    </row>
    <row r="301" spans="1:7" s="44" customFormat="1" ht="12.75" customHeight="1">
      <c r="A301" s="1860">
        <v>17.8</v>
      </c>
      <c r="B301" s="522" t="s">
        <v>2056</v>
      </c>
      <c r="C301" s="31">
        <v>1</v>
      </c>
      <c r="D301" s="713" t="s">
        <v>3</v>
      </c>
      <c r="E301" s="1755">
        <v>4500</v>
      </c>
      <c r="F301" s="1864">
        <f t="shared" si="15"/>
        <v>4500</v>
      </c>
      <c r="G301" s="328"/>
    </row>
    <row r="302" spans="1:7" s="44" customFormat="1" ht="12.75" customHeight="1">
      <c r="A302" s="1860">
        <v>17.899999999999999</v>
      </c>
      <c r="B302" s="522" t="s">
        <v>815</v>
      </c>
      <c r="C302" s="31">
        <v>4</v>
      </c>
      <c r="D302" s="713" t="s">
        <v>3</v>
      </c>
      <c r="E302" s="1755">
        <v>5100</v>
      </c>
      <c r="F302" s="1864">
        <f t="shared" si="15"/>
        <v>20400</v>
      </c>
      <c r="G302" s="328"/>
    </row>
    <row r="303" spans="1:7" s="44" customFormat="1" ht="12.75" customHeight="1">
      <c r="A303" s="1860"/>
      <c r="B303" s="522"/>
      <c r="C303" s="31"/>
      <c r="D303" s="713"/>
      <c r="E303" s="1794"/>
      <c r="F303" s="1864">
        <f t="shared" si="15"/>
        <v>0</v>
      </c>
      <c r="G303" s="328"/>
    </row>
    <row r="304" spans="1:7" s="44" customFormat="1" ht="12.75" customHeight="1">
      <c r="A304" s="1861">
        <v>18</v>
      </c>
      <c r="B304" s="819" t="s">
        <v>819</v>
      </c>
      <c r="C304" s="31"/>
      <c r="D304" s="713"/>
      <c r="E304" s="1794"/>
      <c r="F304" s="1864">
        <f t="shared" si="15"/>
        <v>0</v>
      </c>
      <c r="G304" s="328"/>
    </row>
    <row r="305" spans="1:7" s="44" customFormat="1" ht="12.75" customHeight="1">
      <c r="A305" s="1860">
        <v>18.100000000000001</v>
      </c>
      <c r="B305" s="522" t="s">
        <v>2057</v>
      </c>
      <c r="C305" s="31">
        <v>12</v>
      </c>
      <c r="D305" s="713" t="s">
        <v>3</v>
      </c>
      <c r="E305" s="1755">
        <v>1400</v>
      </c>
      <c r="F305" s="1864">
        <f t="shared" si="15"/>
        <v>16800</v>
      </c>
      <c r="G305" s="328"/>
    </row>
    <row r="306" spans="1:7" s="44" customFormat="1" ht="12.75" customHeight="1">
      <c r="A306" s="1860">
        <v>18.2</v>
      </c>
      <c r="B306" s="522" t="s">
        <v>2058</v>
      </c>
      <c r="C306" s="31">
        <v>4</v>
      </c>
      <c r="D306" s="713" t="s">
        <v>3</v>
      </c>
      <c r="E306" s="1755">
        <v>3250</v>
      </c>
      <c r="F306" s="1864">
        <f t="shared" si="15"/>
        <v>13000</v>
      </c>
      <c r="G306" s="328"/>
    </row>
    <row r="307" spans="1:7" s="44" customFormat="1" ht="12.75" customHeight="1">
      <c r="A307" s="1860">
        <v>18.3</v>
      </c>
      <c r="B307" s="522" t="s">
        <v>821</v>
      </c>
      <c r="C307" s="31">
        <v>11</v>
      </c>
      <c r="D307" s="713" t="s">
        <v>3</v>
      </c>
      <c r="E307" s="1755">
        <v>1250</v>
      </c>
      <c r="F307" s="1864">
        <f t="shared" si="15"/>
        <v>13750</v>
      </c>
      <c r="G307" s="328"/>
    </row>
    <row r="308" spans="1:7" s="44" customFormat="1" ht="12.75" customHeight="1">
      <c r="A308" s="1860">
        <v>18.399999999999999</v>
      </c>
      <c r="B308" s="522" t="s">
        <v>2059</v>
      </c>
      <c r="C308" s="31">
        <v>2</v>
      </c>
      <c r="D308" s="713" t="s">
        <v>3</v>
      </c>
      <c r="E308" s="1755">
        <v>1650</v>
      </c>
      <c r="F308" s="1864">
        <f t="shared" si="15"/>
        <v>3300</v>
      </c>
      <c r="G308" s="328"/>
    </row>
    <row r="309" spans="1:7" s="44" customFormat="1" ht="12.75" customHeight="1">
      <c r="A309" s="1860">
        <v>18.5</v>
      </c>
      <c r="B309" s="522" t="s">
        <v>2060</v>
      </c>
      <c r="C309" s="31">
        <v>7</v>
      </c>
      <c r="D309" s="713" t="s">
        <v>3</v>
      </c>
      <c r="E309" s="1755">
        <v>1023.42</v>
      </c>
      <c r="F309" s="1864">
        <f t="shared" si="15"/>
        <v>7163.94</v>
      </c>
      <c r="G309" s="328"/>
    </row>
    <row r="310" spans="1:7" s="44" customFormat="1" ht="12.75" customHeight="1">
      <c r="A310" s="1860">
        <v>18.600000000000001</v>
      </c>
      <c r="B310" s="522" t="s">
        <v>2061</v>
      </c>
      <c r="C310" s="31">
        <v>2</v>
      </c>
      <c r="D310" s="713" t="s">
        <v>3</v>
      </c>
      <c r="E310" s="1755">
        <v>6500</v>
      </c>
      <c r="F310" s="1864">
        <f t="shared" si="15"/>
        <v>13000</v>
      </c>
      <c r="G310" s="328"/>
    </row>
    <row r="311" spans="1:7" s="44" customFormat="1" ht="12.75" customHeight="1">
      <c r="A311" s="1860"/>
      <c r="B311" s="522"/>
      <c r="C311" s="31"/>
      <c r="D311" s="713"/>
      <c r="E311" s="1794"/>
      <c r="F311" s="1864">
        <f t="shared" si="15"/>
        <v>0</v>
      </c>
      <c r="G311" s="328"/>
    </row>
    <row r="312" spans="1:7" s="44" customFormat="1" ht="12.75" customHeight="1">
      <c r="A312" s="1861">
        <v>19</v>
      </c>
      <c r="B312" s="819" t="s">
        <v>824</v>
      </c>
      <c r="C312" s="31"/>
      <c r="D312" s="713"/>
      <c r="E312" s="1794"/>
      <c r="F312" s="1864">
        <f t="shared" si="15"/>
        <v>0</v>
      </c>
      <c r="G312" s="328"/>
    </row>
    <row r="313" spans="1:7" s="44" customFormat="1" ht="12.75" customHeight="1">
      <c r="A313" s="1860">
        <v>19.100000000000001</v>
      </c>
      <c r="B313" s="522" t="s">
        <v>2062</v>
      </c>
      <c r="C313" s="31">
        <v>1.5</v>
      </c>
      <c r="D313" s="713" t="s">
        <v>1</v>
      </c>
      <c r="E313" s="1755">
        <v>4690.3999999999996</v>
      </c>
      <c r="F313" s="1864">
        <f t="shared" si="15"/>
        <v>7035.6</v>
      </c>
      <c r="G313" s="328"/>
    </row>
    <row r="314" spans="1:7" s="44" customFormat="1" ht="12.75" customHeight="1">
      <c r="A314" s="1860">
        <v>19.2</v>
      </c>
      <c r="B314" s="522" t="s">
        <v>2063</v>
      </c>
      <c r="C314" s="31">
        <v>2</v>
      </c>
      <c r="D314" s="713" t="s">
        <v>1</v>
      </c>
      <c r="E314" s="1755">
        <v>4690.3999999999996</v>
      </c>
      <c r="F314" s="1864">
        <f t="shared" si="15"/>
        <v>9380.7999999999993</v>
      </c>
      <c r="G314" s="328"/>
    </row>
    <row r="315" spans="1:7" s="44" customFormat="1" ht="12.75" customHeight="1">
      <c r="A315" s="1860">
        <v>19.3</v>
      </c>
      <c r="B315" s="522" t="s">
        <v>2064</v>
      </c>
      <c r="C315" s="31">
        <v>1.2</v>
      </c>
      <c r="D315" s="713" t="s">
        <v>11</v>
      </c>
      <c r="E315" s="1755">
        <v>4147</v>
      </c>
      <c r="F315" s="1864">
        <f t="shared" si="15"/>
        <v>4976.3999999999996</v>
      </c>
      <c r="G315" s="328"/>
    </row>
    <row r="316" spans="1:7" s="44" customFormat="1" ht="12.75" customHeight="1">
      <c r="A316" s="1860"/>
      <c r="B316" s="522"/>
      <c r="C316" s="31"/>
      <c r="D316" s="713"/>
      <c r="E316" s="1794"/>
      <c r="F316" s="1864">
        <f t="shared" si="15"/>
        <v>0</v>
      </c>
      <c r="G316" s="328"/>
    </row>
    <row r="317" spans="1:7" s="44" customFormat="1" ht="12.75" customHeight="1">
      <c r="A317" s="1861">
        <v>20</v>
      </c>
      <c r="B317" s="819" t="s">
        <v>2065</v>
      </c>
      <c r="C317" s="31"/>
      <c r="D317" s="713"/>
      <c r="E317" s="1794"/>
      <c r="F317" s="1864">
        <f t="shared" si="15"/>
        <v>0</v>
      </c>
      <c r="G317" s="328"/>
    </row>
    <row r="318" spans="1:7" s="44" customFormat="1" ht="12.75" customHeight="1">
      <c r="A318" s="1860">
        <v>20.100000000000001</v>
      </c>
      <c r="B318" s="522" t="s">
        <v>2066</v>
      </c>
      <c r="C318" s="31">
        <v>1</v>
      </c>
      <c r="D318" s="713" t="s">
        <v>3</v>
      </c>
      <c r="E318" s="1755">
        <v>106430.1</v>
      </c>
      <c r="F318" s="1864">
        <f t="shared" si="15"/>
        <v>106430.1</v>
      </c>
      <c r="G318" s="328"/>
    </row>
    <row r="319" spans="1:7" s="44" customFormat="1" ht="12.75" customHeight="1">
      <c r="A319" s="1860">
        <v>20.2</v>
      </c>
      <c r="B319" s="522" t="s">
        <v>2067</v>
      </c>
      <c r="C319" s="31">
        <v>1</v>
      </c>
      <c r="D319" s="713" t="s">
        <v>3</v>
      </c>
      <c r="E319" s="1755">
        <v>328942.11</v>
      </c>
      <c r="F319" s="1864">
        <f t="shared" si="15"/>
        <v>328942.11</v>
      </c>
      <c r="G319" s="328"/>
    </row>
    <row r="320" spans="1:7" s="44" customFormat="1" ht="12.75" customHeight="1">
      <c r="A320" s="1860">
        <v>20.3</v>
      </c>
      <c r="B320" s="522" t="s">
        <v>2068</v>
      </c>
      <c r="C320" s="31">
        <v>1</v>
      </c>
      <c r="D320" s="713" t="s">
        <v>3</v>
      </c>
      <c r="E320" s="1755">
        <v>11446</v>
      </c>
      <c r="F320" s="1864">
        <f t="shared" si="15"/>
        <v>11446</v>
      </c>
      <c r="G320" s="328"/>
    </row>
    <row r="321" spans="1:7" s="44" customFormat="1" ht="12.75" customHeight="1">
      <c r="A321" s="1860">
        <v>20.399999999999999</v>
      </c>
      <c r="B321" s="522" t="s">
        <v>830</v>
      </c>
      <c r="C321" s="31">
        <v>2</v>
      </c>
      <c r="D321" s="713" t="s">
        <v>3</v>
      </c>
      <c r="E321" s="1755">
        <v>719</v>
      </c>
      <c r="F321" s="1864">
        <f t="shared" si="15"/>
        <v>1438</v>
      </c>
      <c r="G321" s="328"/>
    </row>
    <row r="322" spans="1:7" s="44" customFormat="1" ht="12.75" customHeight="1">
      <c r="A322" s="1860">
        <v>20.5</v>
      </c>
      <c r="B322" s="522" t="s">
        <v>2069</v>
      </c>
      <c r="C322" s="31">
        <v>2</v>
      </c>
      <c r="D322" s="713" t="s">
        <v>3</v>
      </c>
      <c r="E322" s="1755">
        <v>377.6</v>
      </c>
      <c r="F322" s="1864">
        <f t="shared" si="15"/>
        <v>755.2</v>
      </c>
      <c r="G322" s="328"/>
    </row>
    <row r="323" spans="1:7" s="44" customFormat="1" ht="12.75" customHeight="1">
      <c r="A323" s="1860">
        <v>20.6</v>
      </c>
      <c r="B323" s="522" t="s">
        <v>2070</v>
      </c>
      <c r="C323" s="31">
        <v>12</v>
      </c>
      <c r="D323" s="713" t="s">
        <v>3</v>
      </c>
      <c r="E323" s="1755">
        <v>5699.4</v>
      </c>
      <c r="F323" s="1864">
        <f t="shared" si="15"/>
        <v>68392.800000000003</v>
      </c>
      <c r="G323" s="328"/>
    </row>
    <row r="324" spans="1:7" s="44" customFormat="1" ht="12.75" customHeight="1">
      <c r="A324" s="1860">
        <v>20.7</v>
      </c>
      <c r="B324" s="522" t="s">
        <v>2071</v>
      </c>
      <c r="C324" s="31">
        <v>2</v>
      </c>
      <c r="D324" s="713" t="s">
        <v>3</v>
      </c>
      <c r="E324" s="1755">
        <v>873.2</v>
      </c>
      <c r="F324" s="1864">
        <f t="shared" si="15"/>
        <v>1746.4</v>
      </c>
      <c r="G324" s="328"/>
    </row>
    <row r="325" spans="1:7" s="44" customFormat="1" ht="12.75" customHeight="1">
      <c r="A325" s="1860">
        <v>20.8</v>
      </c>
      <c r="B325" s="522" t="s">
        <v>2072</v>
      </c>
      <c r="C325" s="31">
        <v>1</v>
      </c>
      <c r="D325" s="713" t="s">
        <v>3</v>
      </c>
      <c r="E325" s="1755">
        <v>3469.2</v>
      </c>
      <c r="F325" s="1864">
        <f t="shared" si="15"/>
        <v>3469.2</v>
      </c>
      <c r="G325" s="328"/>
    </row>
    <row r="326" spans="1:7" ht="51">
      <c r="A326" s="1865">
        <v>20.9</v>
      </c>
      <c r="B326" s="1760" t="s">
        <v>2129</v>
      </c>
      <c r="C326" s="31">
        <v>1</v>
      </c>
      <c r="D326" s="713" t="s">
        <v>3</v>
      </c>
      <c r="E326" s="1755">
        <v>65000</v>
      </c>
      <c r="F326" s="1864">
        <f>ROUND(C326*E326,2)</f>
        <v>65000</v>
      </c>
      <c r="G326" s="44"/>
    </row>
    <row r="327" spans="1:7">
      <c r="A327" s="1891">
        <v>20.100000000000001</v>
      </c>
      <c r="B327" s="522" t="s">
        <v>2130</v>
      </c>
      <c r="C327" s="31">
        <v>1</v>
      </c>
      <c r="D327" s="713" t="s">
        <v>3</v>
      </c>
      <c r="E327" s="1755">
        <v>40997.160000000003</v>
      </c>
      <c r="F327" s="1864">
        <f>ROUND(C327*E327,2)</f>
        <v>40997.160000000003</v>
      </c>
      <c r="G327" s="44"/>
    </row>
    <row r="328" spans="1:7">
      <c r="A328" s="1860"/>
      <c r="B328" s="522"/>
      <c r="C328" s="1794"/>
      <c r="D328" s="1794"/>
      <c r="E328" s="1794"/>
      <c r="F328" s="1856"/>
      <c r="G328" s="44"/>
    </row>
    <row r="329" spans="1:7" ht="29.25" customHeight="1">
      <c r="A329" s="1861">
        <v>21</v>
      </c>
      <c r="B329" s="744" t="s">
        <v>2147</v>
      </c>
      <c r="C329" s="31"/>
      <c r="D329" s="713"/>
      <c r="E329" s="1755"/>
      <c r="F329" s="1864">
        <f t="shared" ref="F329:F337" si="16">ROUND(C329*E329,2)</f>
        <v>0</v>
      </c>
      <c r="G329" s="44"/>
    </row>
    <row r="330" spans="1:7">
      <c r="A330" s="1865">
        <v>21.1</v>
      </c>
      <c r="B330" s="522" t="s">
        <v>2148</v>
      </c>
      <c r="C330" s="31">
        <v>2</v>
      </c>
      <c r="D330" s="713" t="s">
        <v>3</v>
      </c>
      <c r="E330" s="1755">
        <v>6500</v>
      </c>
      <c r="F330" s="1864">
        <f t="shared" si="16"/>
        <v>13000</v>
      </c>
      <c r="G330" s="44"/>
    </row>
    <row r="331" spans="1:7" ht="38.25">
      <c r="A331" s="1865">
        <v>21.2</v>
      </c>
      <c r="B331" s="1760" t="s">
        <v>2149</v>
      </c>
      <c r="C331" s="31">
        <v>1</v>
      </c>
      <c r="D331" s="713" t="s">
        <v>3</v>
      </c>
      <c r="E331" s="1755">
        <v>1500</v>
      </c>
      <c r="F331" s="1864">
        <f t="shared" si="16"/>
        <v>1500</v>
      </c>
      <c r="G331" s="44"/>
    </row>
    <row r="332" spans="1:7" ht="25.5">
      <c r="A332" s="1865">
        <v>21.3</v>
      </c>
      <c r="B332" s="1760" t="s">
        <v>2150</v>
      </c>
      <c r="C332" s="31">
        <v>1</v>
      </c>
      <c r="D332" s="713" t="s">
        <v>3</v>
      </c>
      <c r="E332" s="1755">
        <v>4500</v>
      </c>
      <c r="F332" s="1864">
        <f t="shared" si="16"/>
        <v>4500</v>
      </c>
      <c r="G332" s="44"/>
    </row>
    <row r="333" spans="1:7">
      <c r="A333" s="1865">
        <v>21.4</v>
      </c>
      <c r="B333" s="522" t="s">
        <v>2151</v>
      </c>
      <c r="C333" s="31">
        <v>2</v>
      </c>
      <c r="D333" s="713" t="s">
        <v>3</v>
      </c>
      <c r="E333" s="1755">
        <v>25000</v>
      </c>
      <c r="F333" s="1864">
        <f t="shared" si="16"/>
        <v>50000</v>
      </c>
      <c r="G333" s="44"/>
    </row>
    <row r="334" spans="1:7" ht="25.5">
      <c r="A334" s="1865">
        <v>21.5</v>
      </c>
      <c r="B334" s="1760" t="s">
        <v>2152</v>
      </c>
      <c r="C334" s="31">
        <v>2</v>
      </c>
      <c r="D334" s="713" t="s">
        <v>3</v>
      </c>
      <c r="E334" s="1755">
        <v>25000</v>
      </c>
      <c r="F334" s="1864">
        <f t="shared" si="16"/>
        <v>50000</v>
      </c>
      <c r="G334" s="44"/>
    </row>
    <row r="335" spans="1:7">
      <c r="A335" s="1888">
        <v>21.6</v>
      </c>
      <c r="B335" s="1795" t="s">
        <v>2153</v>
      </c>
      <c r="C335" s="1813">
        <v>0.25</v>
      </c>
      <c r="D335" s="1821" t="s">
        <v>3</v>
      </c>
      <c r="E335" s="1820">
        <v>4418.28</v>
      </c>
      <c r="F335" s="1879">
        <f t="shared" si="16"/>
        <v>1104.57</v>
      </c>
      <c r="G335" s="44"/>
    </row>
    <row r="336" spans="1:7" ht="25.5">
      <c r="A336" s="1865">
        <v>21.7</v>
      </c>
      <c r="B336" s="1760" t="s">
        <v>796</v>
      </c>
      <c r="C336" s="31">
        <v>2</v>
      </c>
      <c r="D336" s="713" t="s">
        <v>2</v>
      </c>
      <c r="E336" s="1755">
        <v>2800</v>
      </c>
      <c r="F336" s="1864">
        <f t="shared" si="16"/>
        <v>5600</v>
      </c>
      <c r="G336" s="44"/>
    </row>
    <row r="337" spans="1:7" ht="89.25">
      <c r="A337" s="1865">
        <v>21.8</v>
      </c>
      <c r="B337" s="1760" t="s">
        <v>2154</v>
      </c>
      <c r="C337" s="31">
        <v>2</v>
      </c>
      <c r="D337" s="713" t="s">
        <v>3</v>
      </c>
      <c r="E337" s="1755">
        <v>280000</v>
      </c>
      <c r="F337" s="1864">
        <f t="shared" si="16"/>
        <v>560000</v>
      </c>
      <c r="G337" s="44"/>
    </row>
    <row r="338" spans="1:7" s="44" customFormat="1" ht="12.75" customHeight="1">
      <c r="A338" s="1860"/>
      <c r="B338" s="522"/>
      <c r="C338" s="31"/>
      <c r="D338" s="713"/>
      <c r="E338" s="1794"/>
      <c r="F338" s="1864">
        <f t="shared" si="15"/>
        <v>0</v>
      </c>
      <c r="G338" s="328"/>
    </row>
    <row r="339" spans="1:7" s="44" customFormat="1" ht="12.75" customHeight="1">
      <c r="A339" s="1861">
        <v>22</v>
      </c>
      <c r="B339" s="819" t="s">
        <v>833</v>
      </c>
      <c r="C339" s="31"/>
      <c r="D339" s="713"/>
      <c r="E339" s="1794"/>
      <c r="F339" s="1864">
        <f t="shared" si="15"/>
        <v>0</v>
      </c>
      <c r="G339" s="328"/>
    </row>
    <row r="340" spans="1:7" s="44" customFormat="1" ht="12.75" customHeight="1">
      <c r="A340" s="1860">
        <v>22.1</v>
      </c>
      <c r="B340" s="522" t="s">
        <v>834</v>
      </c>
      <c r="C340" s="31"/>
      <c r="D340" s="713"/>
      <c r="E340" s="1794"/>
      <c r="F340" s="1864">
        <f t="shared" si="15"/>
        <v>0</v>
      </c>
      <c r="G340" s="328"/>
    </row>
    <row r="341" spans="1:7" s="44" customFormat="1" ht="12.75" customHeight="1">
      <c r="A341" s="1860">
        <v>22.2</v>
      </c>
      <c r="B341" s="522" t="s">
        <v>835</v>
      </c>
      <c r="C341" s="31">
        <v>3</v>
      </c>
      <c r="D341" s="713" t="s">
        <v>3</v>
      </c>
      <c r="E341" s="1755">
        <v>1260</v>
      </c>
      <c r="F341" s="1864">
        <f t="shared" si="15"/>
        <v>3780</v>
      </c>
      <c r="G341" s="328"/>
    </row>
    <row r="342" spans="1:7" s="44" customFormat="1" ht="12.75" customHeight="1">
      <c r="A342" s="1860">
        <v>22.3</v>
      </c>
      <c r="B342" s="522" t="s">
        <v>836</v>
      </c>
      <c r="C342" s="31">
        <v>1</v>
      </c>
      <c r="D342" s="713" t="s">
        <v>3</v>
      </c>
      <c r="E342" s="1755">
        <v>9094.4</v>
      </c>
      <c r="F342" s="1864">
        <f t="shared" si="15"/>
        <v>9094.4</v>
      </c>
      <c r="G342" s="328"/>
    </row>
    <row r="343" spans="1:7" s="44" customFormat="1" ht="12.75" customHeight="1">
      <c r="A343" s="1860"/>
      <c r="B343" s="522"/>
      <c r="C343" s="31">
        <v>1</v>
      </c>
      <c r="D343" s="713" t="s">
        <v>3</v>
      </c>
      <c r="E343" s="1755">
        <v>3897.6</v>
      </c>
      <c r="F343" s="1864">
        <f t="shared" si="15"/>
        <v>3897.6</v>
      </c>
      <c r="G343" s="328"/>
    </row>
    <row r="344" spans="1:7" s="44" customFormat="1" ht="12.75" customHeight="1">
      <c r="A344" s="1861">
        <v>23</v>
      </c>
      <c r="B344" s="819" t="s">
        <v>2073</v>
      </c>
      <c r="C344" s="31"/>
      <c r="D344" s="713"/>
      <c r="E344" s="1755"/>
      <c r="F344" s="1864">
        <f t="shared" si="15"/>
        <v>0</v>
      </c>
      <c r="G344" s="328"/>
    </row>
    <row r="345" spans="1:7" s="44" customFormat="1" ht="12.75" customHeight="1">
      <c r="A345" s="1860">
        <v>23.1</v>
      </c>
      <c r="B345" s="522" t="s">
        <v>838</v>
      </c>
      <c r="C345" s="31">
        <v>2</v>
      </c>
      <c r="D345" s="713" t="s">
        <v>3</v>
      </c>
      <c r="E345" s="1755">
        <v>383.5</v>
      </c>
      <c r="F345" s="1864">
        <f t="shared" si="15"/>
        <v>767</v>
      </c>
      <c r="G345" s="328"/>
    </row>
    <row r="346" spans="1:7" s="44" customFormat="1" ht="12.75" customHeight="1">
      <c r="A346" s="1860">
        <v>23.2</v>
      </c>
      <c r="B346" s="522" t="s">
        <v>839</v>
      </c>
      <c r="C346" s="31">
        <v>4</v>
      </c>
      <c r="D346" s="713" t="s">
        <v>3</v>
      </c>
      <c r="E346" s="1755">
        <v>148.68</v>
      </c>
      <c r="F346" s="1864">
        <f t="shared" si="15"/>
        <v>594.72</v>
      </c>
      <c r="G346" s="328"/>
    </row>
    <row r="347" spans="1:7" s="44" customFormat="1" ht="12.75" customHeight="1">
      <c r="A347" s="1860">
        <v>23.3</v>
      </c>
      <c r="B347" s="522" t="s">
        <v>840</v>
      </c>
      <c r="C347" s="31">
        <v>4</v>
      </c>
      <c r="D347" s="713" t="s">
        <v>3</v>
      </c>
      <c r="E347" s="1755">
        <v>59</v>
      </c>
      <c r="F347" s="1864">
        <f t="shared" si="15"/>
        <v>236</v>
      </c>
      <c r="G347" s="328"/>
    </row>
    <row r="348" spans="1:7" s="44" customFormat="1" ht="12.75" customHeight="1">
      <c r="A348" s="1860">
        <v>23.4</v>
      </c>
      <c r="B348" s="522" t="s">
        <v>2074</v>
      </c>
      <c r="C348" s="31">
        <v>2</v>
      </c>
      <c r="D348" s="713" t="s">
        <v>3</v>
      </c>
      <c r="E348" s="1755">
        <v>295</v>
      </c>
      <c r="F348" s="1864">
        <f t="shared" si="15"/>
        <v>590</v>
      </c>
      <c r="G348" s="328"/>
    </row>
    <row r="349" spans="1:7" s="44" customFormat="1" ht="12.75" customHeight="1">
      <c r="A349" s="1860">
        <v>23.5</v>
      </c>
      <c r="B349" s="522" t="s">
        <v>842</v>
      </c>
      <c r="C349" s="31">
        <v>2</v>
      </c>
      <c r="D349" s="713" t="s">
        <v>3</v>
      </c>
      <c r="E349" s="1755">
        <v>253.7</v>
      </c>
      <c r="F349" s="1864">
        <f t="shared" si="15"/>
        <v>507.4</v>
      </c>
      <c r="G349" s="328"/>
    </row>
    <row r="350" spans="1:7" s="44" customFormat="1" ht="12.75" customHeight="1">
      <c r="A350" s="1860">
        <v>23.6</v>
      </c>
      <c r="B350" s="522" t="s">
        <v>843</v>
      </c>
      <c r="C350" s="31">
        <v>2</v>
      </c>
      <c r="D350" s="713" t="s">
        <v>3</v>
      </c>
      <c r="E350" s="1755">
        <v>460.2</v>
      </c>
      <c r="F350" s="1864">
        <f t="shared" si="15"/>
        <v>920.4</v>
      </c>
      <c r="G350" s="328"/>
    </row>
    <row r="351" spans="1:7" s="44" customFormat="1" ht="12.75" customHeight="1">
      <c r="A351" s="1860">
        <v>23.7</v>
      </c>
      <c r="B351" s="522" t="s">
        <v>844</v>
      </c>
      <c r="C351" s="31">
        <v>260</v>
      </c>
      <c r="D351" s="713" t="s">
        <v>800</v>
      </c>
      <c r="E351" s="1755">
        <v>206.5</v>
      </c>
      <c r="F351" s="1864">
        <f t="shared" si="15"/>
        <v>53690</v>
      </c>
      <c r="G351" s="328"/>
    </row>
    <row r="352" spans="1:7" s="44" customFormat="1" ht="12.75" customHeight="1">
      <c r="A352" s="1860">
        <v>23.8</v>
      </c>
      <c r="B352" s="522" t="s">
        <v>2075</v>
      </c>
      <c r="C352" s="31">
        <v>2</v>
      </c>
      <c r="D352" s="713" t="s">
        <v>3</v>
      </c>
      <c r="E352" s="1755">
        <v>206.5</v>
      </c>
      <c r="F352" s="1864">
        <f t="shared" si="15"/>
        <v>413</v>
      </c>
      <c r="G352" s="328"/>
    </row>
    <row r="353" spans="1:12" s="44" customFormat="1" ht="12.75" customHeight="1">
      <c r="A353" s="1860">
        <v>23.9</v>
      </c>
      <c r="B353" s="522" t="s">
        <v>846</v>
      </c>
      <c r="C353" s="31">
        <v>2</v>
      </c>
      <c r="D353" s="713" t="s">
        <v>3</v>
      </c>
      <c r="E353" s="1755">
        <v>177</v>
      </c>
      <c r="F353" s="1864">
        <f t="shared" si="15"/>
        <v>354</v>
      </c>
      <c r="G353" s="328"/>
    </row>
    <row r="354" spans="1:12" s="44" customFormat="1" ht="12.75" customHeight="1">
      <c r="A354" s="1891">
        <v>23.1</v>
      </c>
      <c r="B354" s="522" t="s">
        <v>847</v>
      </c>
      <c r="C354" s="31">
        <v>1</v>
      </c>
      <c r="D354" s="713" t="s">
        <v>3</v>
      </c>
      <c r="E354" s="1755">
        <v>354</v>
      </c>
      <c r="F354" s="1864">
        <f t="shared" si="15"/>
        <v>354</v>
      </c>
      <c r="G354" s="328"/>
    </row>
    <row r="355" spans="1:12" s="44" customFormat="1" ht="12.75" customHeight="1">
      <c r="A355" s="1860">
        <v>23.11</v>
      </c>
      <c r="B355" s="522" t="s">
        <v>848</v>
      </c>
      <c r="C355" s="31">
        <v>2</v>
      </c>
      <c r="D355" s="713" t="s">
        <v>3</v>
      </c>
      <c r="E355" s="1755">
        <v>147.5</v>
      </c>
      <c r="F355" s="1864">
        <f t="shared" si="15"/>
        <v>295</v>
      </c>
      <c r="G355" s="328"/>
    </row>
    <row r="356" spans="1:12" s="44" customFormat="1" ht="12.75" customHeight="1">
      <c r="A356" s="1860">
        <v>23.12</v>
      </c>
      <c r="B356" s="522" t="s">
        <v>849</v>
      </c>
      <c r="C356" s="31">
        <v>2</v>
      </c>
      <c r="D356" s="713" t="s">
        <v>3</v>
      </c>
      <c r="E356" s="1755">
        <v>218.3</v>
      </c>
      <c r="F356" s="1864">
        <f t="shared" si="15"/>
        <v>436.6</v>
      </c>
      <c r="G356" s="328"/>
    </row>
    <row r="357" spans="1:12" s="44" customFormat="1" ht="12.75" customHeight="1">
      <c r="A357" s="1860">
        <v>23.13</v>
      </c>
      <c r="B357" s="522" t="s">
        <v>2076</v>
      </c>
      <c r="C357" s="31">
        <v>2</v>
      </c>
      <c r="D357" s="713" t="s">
        <v>3</v>
      </c>
      <c r="E357" s="1755">
        <v>236</v>
      </c>
      <c r="F357" s="1864">
        <f t="shared" si="15"/>
        <v>472</v>
      </c>
      <c r="G357" s="328"/>
    </row>
    <row r="358" spans="1:12" s="44" customFormat="1" ht="6.75" customHeight="1">
      <c r="A358" s="1860"/>
      <c r="B358" s="522"/>
      <c r="C358" s="31"/>
      <c r="D358" s="713"/>
      <c r="E358" s="1755"/>
      <c r="F358" s="1864"/>
      <c r="G358" s="328"/>
    </row>
    <row r="359" spans="1:12" s="44" customFormat="1" ht="12.75" customHeight="1">
      <c r="A359" s="1860">
        <v>24</v>
      </c>
      <c r="B359" s="522" t="s">
        <v>2077</v>
      </c>
      <c r="C359" s="31">
        <v>1</v>
      </c>
      <c r="D359" s="713" t="s">
        <v>3</v>
      </c>
      <c r="E359" s="1755">
        <v>12500</v>
      </c>
      <c r="F359" s="1864">
        <f>ROUND(E359*C359,2)</f>
        <v>12500</v>
      </c>
      <c r="G359" s="328"/>
    </row>
    <row r="360" spans="1:12" s="44" customFormat="1" ht="12.75" customHeight="1">
      <c r="A360" s="1860"/>
      <c r="B360" s="522"/>
      <c r="C360" s="31"/>
      <c r="D360" s="713"/>
      <c r="E360" s="1755"/>
      <c r="F360" s="1864"/>
      <c r="G360" s="328"/>
    </row>
    <row r="361" spans="1:12" s="44" customFormat="1" ht="12.75" customHeight="1">
      <c r="A361" s="1860">
        <v>25</v>
      </c>
      <c r="B361" s="522" t="s">
        <v>876</v>
      </c>
      <c r="C361" s="31">
        <v>1</v>
      </c>
      <c r="D361" s="713" t="s">
        <v>3</v>
      </c>
      <c r="E361" s="1755">
        <v>4500</v>
      </c>
      <c r="F361" s="1864">
        <f>ROUND((C361*E361),2)</f>
        <v>4500</v>
      </c>
      <c r="G361" s="328"/>
    </row>
    <row r="362" spans="1:12" s="1539" customFormat="1" ht="16.5" customHeight="1">
      <c r="A362" s="1873"/>
      <c r="B362" s="1827" t="s">
        <v>2126</v>
      </c>
      <c r="C362" s="1827"/>
      <c r="D362" s="1827"/>
      <c r="E362" s="1828"/>
      <c r="F362" s="1874">
        <f>SUM(F218:F361)</f>
        <v>4938933.26</v>
      </c>
      <c r="G362" s="1741"/>
    </row>
    <row r="363" spans="1:12" s="44" customFormat="1" ht="12.75" customHeight="1">
      <c r="A363" s="1860"/>
      <c r="B363" s="522"/>
      <c r="C363" s="31"/>
      <c r="D363" s="522"/>
      <c r="E363" s="522"/>
      <c r="F363" s="1864"/>
      <c r="G363" s="328"/>
    </row>
    <row r="364" spans="1:12">
      <c r="A364" s="1857" t="s">
        <v>851</v>
      </c>
      <c r="B364" s="819" t="s">
        <v>1771</v>
      </c>
      <c r="C364" s="31">
        <v>0</v>
      </c>
      <c r="D364" s="713"/>
      <c r="E364" s="522"/>
      <c r="F364" s="1864">
        <f>+ROUND((E364*C364),2)</f>
        <v>0</v>
      </c>
      <c r="G364" s="44"/>
    </row>
    <row r="365" spans="1:12">
      <c r="A365" s="1861"/>
      <c r="B365" s="819"/>
      <c r="C365" s="31"/>
      <c r="D365" s="713"/>
      <c r="E365" s="1755"/>
      <c r="F365" s="1864"/>
      <c r="G365" s="44"/>
    </row>
    <row r="366" spans="1:12">
      <c r="A366" s="1860">
        <v>1</v>
      </c>
      <c r="B366" s="1799" t="s">
        <v>1494</v>
      </c>
      <c r="C366" s="31">
        <v>1</v>
      </c>
      <c r="D366" s="713" t="s">
        <v>3</v>
      </c>
      <c r="E366" s="1755">
        <v>2000</v>
      </c>
      <c r="F366" s="1864">
        <f>ROUND(E366*C366,2)</f>
        <v>2000</v>
      </c>
      <c r="G366" s="44"/>
    </row>
    <row r="367" spans="1:12" s="1739" customFormat="1">
      <c r="A367" s="1860">
        <v>2</v>
      </c>
      <c r="B367" s="1053" t="s">
        <v>1775</v>
      </c>
      <c r="C367" s="31">
        <v>1</v>
      </c>
      <c r="D367" s="713" t="s">
        <v>3</v>
      </c>
      <c r="E367" s="1755">
        <v>3500</v>
      </c>
      <c r="F367" s="1864">
        <f t="shared" ref="F367:F415" si="17">ROUND(E367*C367,2)</f>
        <v>3500</v>
      </c>
      <c r="G367" s="842"/>
      <c r="H367" s="842"/>
      <c r="I367" s="842"/>
      <c r="J367" s="842"/>
      <c r="K367" s="842"/>
      <c r="L367" s="842"/>
    </row>
    <row r="368" spans="1:12">
      <c r="A368" s="1860"/>
      <c r="B368" s="1799"/>
      <c r="C368" s="31"/>
      <c r="D368" s="713"/>
      <c r="E368" s="1755"/>
      <c r="F368" s="1864"/>
      <c r="G368" s="44"/>
    </row>
    <row r="369" spans="1:12">
      <c r="A369" s="1861">
        <v>3</v>
      </c>
      <c r="B369" s="819" t="s">
        <v>1776</v>
      </c>
      <c r="C369" s="31"/>
      <c r="D369" s="713"/>
      <c r="E369" s="1755"/>
      <c r="F369" s="1864"/>
      <c r="G369" s="44"/>
    </row>
    <row r="370" spans="1:12" s="6" customFormat="1">
      <c r="A370" s="1860">
        <v>3.1</v>
      </c>
      <c r="B370" s="1799" t="s">
        <v>1777</v>
      </c>
      <c r="C370" s="31">
        <v>2.94</v>
      </c>
      <c r="D370" s="713" t="s">
        <v>2</v>
      </c>
      <c r="E370" s="1755">
        <v>7225.77</v>
      </c>
      <c r="F370" s="1864">
        <f t="shared" si="17"/>
        <v>21243.759999999998</v>
      </c>
      <c r="G370" s="1367"/>
      <c r="H370" s="1367"/>
      <c r="I370" s="1367"/>
      <c r="J370" s="1367"/>
      <c r="K370" s="1367"/>
      <c r="L370" s="1367"/>
    </row>
    <row r="371" spans="1:12" s="6" customFormat="1">
      <c r="A371" s="1860">
        <v>3.2</v>
      </c>
      <c r="B371" s="1799" t="s">
        <v>1778</v>
      </c>
      <c r="C371" s="31">
        <v>1.1499999999999999</v>
      </c>
      <c r="D371" s="713" t="s">
        <v>2</v>
      </c>
      <c r="E371" s="1755">
        <v>8653.14</v>
      </c>
      <c r="F371" s="1864">
        <f t="shared" si="17"/>
        <v>9951.11</v>
      </c>
      <c r="G371" s="1367"/>
      <c r="H371" s="1367"/>
      <c r="I371" s="1367"/>
      <c r="J371" s="1367"/>
      <c r="K371" s="1367"/>
      <c r="L371" s="1367"/>
    </row>
    <row r="372" spans="1:12" s="6" customFormat="1">
      <c r="A372" s="1860">
        <v>3.3</v>
      </c>
      <c r="B372" s="1799" t="s">
        <v>1779</v>
      </c>
      <c r="C372" s="31">
        <v>2.16</v>
      </c>
      <c r="D372" s="713" t="s">
        <v>2</v>
      </c>
      <c r="E372" s="1755">
        <v>17845.77</v>
      </c>
      <c r="F372" s="1864">
        <f t="shared" si="17"/>
        <v>38546.86</v>
      </c>
      <c r="G372" s="1367"/>
      <c r="H372" s="1367"/>
      <c r="I372" s="1367"/>
      <c r="J372" s="1367"/>
      <c r="K372" s="1367"/>
      <c r="L372" s="1367"/>
    </row>
    <row r="373" spans="1:12" s="6" customFormat="1">
      <c r="A373" s="1860">
        <v>3.4</v>
      </c>
      <c r="B373" s="1799" t="s">
        <v>1781</v>
      </c>
      <c r="C373" s="31">
        <v>1.1000000000000001</v>
      </c>
      <c r="D373" s="713" t="s">
        <v>2</v>
      </c>
      <c r="E373" s="1755">
        <v>28685.98</v>
      </c>
      <c r="F373" s="1864">
        <f t="shared" si="17"/>
        <v>31554.58</v>
      </c>
      <c r="G373" s="1367"/>
      <c r="H373" s="1367"/>
      <c r="I373" s="1367"/>
      <c r="J373" s="1367"/>
      <c r="K373" s="1367"/>
      <c r="L373" s="1367"/>
    </row>
    <row r="374" spans="1:12" s="6" customFormat="1">
      <c r="A374" s="1860">
        <v>3.5</v>
      </c>
      <c r="B374" s="1799" t="s">
        <v>1783</v>
      </c>
      <c r="C374" s="31">
        <v>2.8</v>
      </c>
      <c r="D374" s="713" t="s">
        <v>2</v>
      </c>
      <c r="E374" s="1755">
        <v>13945.46</v>
      </c>
      <c r="F374" s="1864">
        <f t="shared" si="17"/>
        <v>39047.29</v>
      </c>
      <c r="G374" s="1367"/>
      <c r="H374" s="1367"/>
      <c r="I374" s="1367"/>
      <c r="J374" s="1367"/>
      <c r="K374" s="1367"/>
      <c r="L374" s="1367"/>
    </row>
    <row r="375" spans="1:12" ht="6.75" customHeight="1">
      <c r="A375" s="1860"/>
      <c r="B375" s="1799"/>
      <c r="C375" s="31"/>
      <c r="D375" s="713"/>
      <c r="E375" s="1755"/>
      <c r="F375" s="1864"/>
      <c r="G375" s="44"/>
    </row>
    <row r="376" spans="1:12">
      <c r="A376" s="1861">
        <v>4</v>
      </c>
      <c r="B376" s="819" t="s">
        <v>1784</v>
      </c>
      <c r="C376" s="31"/>
      <c r="D376" s="713"/>
      <c r="E376" s="1755"/>
      <c r="F376" s="1864"/>
      <c r="G376" s="44"/>
    </row>
    <row r="377" spans="1:12" s="6" customFormat="1">
      <c r="A377" s="1868">
        <v>4.0999999999999996</v>
      </c>
      <c r="B377" s="1817" t="s">
        <v>1786</v>
      </c>
      <c r="C377" s="1813">
        <v>48.4</v>
      </c>
      <c r="D377" s="1821" t="s">
        <v>11</v>
      </c>
      <c r="E377" s="1820">
        <v>920.17</v>
      </c>
      <c r="F377" s="1879">
        <f t="shared" si="17"/>
        <v>44536.23</v>
      </c>
      <c r="G377" s="1367"/>
      <c r="H377" s="1367"/>
      <c r="I377" s="1367"/>
      <c r="J377" s="1367"/>
      <c r="K377" s="1367"/>
      <c r="L377" s="1367"/>
    </row>
    <row r="378" spans="1:12" ht="7.5" customHeight="1">
      <c r="A378" s="1860"/>
      <c r="B378" s="1799"/>
      <c r="C378" s="31"/>
      <c r="D378" s="713"/>
      <c r="E378" s="1755"/>
      <c r="F378" s="1864"/>
      <c r="G378" s="44"/>
    </row>
    <row r="379" spans="1:12" s="6" customFormat="1">
      <c r="A379" s="1861">
        <v>5</v>
      </c>
      <c r="B379" s="819" t="s">
        <v>859</v>
      </c>
      <c r="C379" s="31"/>
      <c r="D379" s="713"/>
      <c r="E379" s="1755"/>
      <c r="F379" s="1864"/>
      <c r="G379" s="1367"/>
      <c r="H379" s="1367"/>
      <c r="I379" s="1367"/>
      <c r="J379" s="1367"/>
      <c r="K379" s="1367"/>
      <c r="L379" s="1367"/>
    </row>
    <row r="380" spans="1:12" s="6" customFormat="1">
      <c r="A380" s="1860">
        <v>5.0999999999999996</v>
      </c>
      <c r="B380" s="1799" t="s">
        <v>1788</v>
      </c>
      <c r="C380" s="31">
        <v>52.24</v>
      </c>
      <c r="D380" s="713" t="s">
        <v>11</v>
      </c>
      <c r="E380" s="1755">
        <v>331.47</v>
      </c>
      <c r="F380" s="1864">
        <f t="shared" si="17"/>
        <v>17315.990000000002</v>
      </c>
      <c r="G380" s="1367"/>
      <c r="H380" s="1367"/>
      <c r="I380" s="1367"/>
      <c r="J380" s="1367"/>
      <c r="K380" s="1367"/>
      <c r="L380" s="1367"/>
    </row>
    <row r="381" spans="1:12" s="6" customFormat="1">
      <c r="A381" s="1860">
        <v>5.2</v>
      </c>
      <c r="B381" s="1799" t="s">
        <v>158</v>
      </c>
      <c r="C381" s="31">
        <v>48.4</v>
      </c>
      <c r="D381" s="713" t="s">
        <v>11</v>
      </c>
      <c r="E381" s="1755">
        <v>295.47000000000003</v>
      </c>
      <c r="F381" s="1864">
        <f t="shared" si="17"/>
        <v>14300.75</v>
      </c>
      <c r="G381" s="1367"/>
      <c r="H381" s="1367"/>
      <c r="I381" s="1367"/>
      <c r="J381" s="1367"/>
      <c r="K381" s="1367"/>
      <c r="L381" s="1367"/>
    </row>
    <row r="382" spans="1:12" s="6" customFormat="1">
      <c r="A382" s="1860">
        <v>5.3</v>
      </c>
      <c r="B382" s="1799" t="s">
        <v>1791</v>
      </c>
      <c r="C382" s="31">
        <v>17.2</v>
      </c>
      <c r="D382" s="713" t="s">
        <v>11</v>
      </c>
      <c r="E382" s="1755">
        <v>302.86</v>
      </c>
      <c r="F382" s="1864">
        <f t="shared" si="17"/>
        <v>5209.1899999999996</v>
      </c>
      <c r="G382" s="1367"/>
      <c r="H382" s="1367"/>
      <c r="I382" s="1367"/>
      <c r="J382" s="1367"/>
      <c r="K382" s="1367"/>
      <c r="L382" s="1367"/>
    </row>
    <row r="383" spans="1:12" s="6" customFormat="1">
      <c r="A383" s="1860">
        <v>5.4</v>
      </c>
      <c r="B383" s="1799" t="s">
        <v>889</v>
      </c>
      <c r="C383" s="31">
        <v>23.32</v>
      </c>
      <c r="D383" s="713" t="s">
        <v>11</v>
      </c>
      <c r="E383" s="1755">
        <v>501.75</v>
      </c>
      <c r="F383" s="1864">
        <f t="shared" si="17"/>
        <v>11700.81</v>
      </c>
      <c r="G383" s="1367"/>
      <c r="H383" s="1367"/>
      <c r="I383" s="1367"/>
      <c r="J383" s="1367"/>
      <c r="K383" s="1367"/>
      <c r="L383" s="1367"/>
    </row>
    <row r="384" spans="1:12" s="6" customFormat="1">
      <c r="A384" s="1860">
        <v>5.5</v>
      </c>
      <c r="B384" s="1799" t="s">
        <v>1794</v>
      </c>
      <c r="C384" s="31">
        <v>117.84</v>
      </c>
      <c r="D384" s="713" t="s">
        <v>11</v>
      </c>
      <c r="E384" s="1755">
        <v>144</v>
      </c>
      <c r="F384" s="1864">
        <f t="shared" si="17"/>
        <v>16968.96</v>
      </c>
      <c r="G384" s="1367"/>
      <c r="H384" s="1367"/>
      <c r="I384" s="1367"/>
      <c r="J384" s="1367"/>
      <c r="K384" s="1367"/>
      <c r="L384" s="1367"/>
    </row>
    <row r="385" spans="1:12" s="6" customFormat="1">
      <c r="A385" s="1860">
        <v>5.6</v>
      </c>
      <c r="B385" s="1799" t="s">
        <v>1796</v>
      </c>
      <c r="C385" s="31">
        <v>17.2</v>
      </c>
      <c r="D385" s="713" t="s">
        <v>11</v>
      </c>
      <c r="E385" s="1755">
        <v>592.75</v>
      </c>
      <c r="F385" s="1864">
        <f t="shared" si="17"/>
        <v>10195.299999999999</v>
      </c>
      <c r="G385" s="1367"/>
      <c r="H385" s="1367"/>
      <c r="I385" s="1367"/>
      <c r="J385" s="1367"/>
      <c r="K385" s="1367"/>
      <c r="L385" s="1367"/>
    </row>
    <row r="386" spans="1:12" s="6" customFormat="1">
      <c r="A386" s="1860">
        <v>5.7</v>
      </c>
      <c r="B386" s="1799" t="s">
        <v>618</v>
      </c>
      <c r="C386" s="31">
        <v>70.8</v>
      </c>
      <c r="D386" s="713" t="s">
        <v>1</v>
      </c>
      <c r="E386" s="1755">
        <v>82.21</v>
      </c>
      <c r="F386" s="1864">
        <f t="shared" si="17"/>
        <v>5820.47</v>
      </c>
      <c r="G386" s="1367"/>
      <c r="H386" s="1367"/>
      <c r="I386" s="1367"/>
      <c r="J386" s="1367"/>
      <c r="K386" s="1367"/>
      <c r="L386" s="1367"/>
    </row>
    <row r="387" spans="1:12" s="6" customFormat="1">
      <c r="A387" s="1860">
        <v>5.8</v>
      </c>
      <c r="B387" s="1799" t="s">
        <v>862</v>
      </c>
      <c r="C387" s="31">
        <v>3.56</v>
      </c>
      <c r="D387" s="713" t="s">
        <v>11</v>
      </c>
      <c r="E387" s="1755">
        <v>530.77</v>
      </c>
      <c r="F387" s="1864">
        <f t="shared" si="17"/>
        <v>1889.54</v>
      </c>
      <c r="G387" s="1367"/>
      <c r="H387" s="1367"/>
      <c r="I387" s="1367"/>
      <c r="J387" s="1367"/>
      <c r="K387" s="1367"/>
      <c r="L387" s="1367"/>
    </row>
    <row r="388" spans="1:12" s="6" customFormat="1">
      <c r="A388" s="1860">
        <v>5.9</v>
      </c>
      <c r="B388" s="1799" t="s">
        <v>792</v>
      </c>
      <c r="C388" s="31">
        <v>17.8</v>
      </c>
      <c r="D388" s="713" t="s">
        <v>1</v>
      </c>
      <c r="E388" s="1755">
        <v>98.84</v>
      </c>
      <c r="F388" s="1864">
        <f t="shared" si="17"/>
        <v>1759.35</v>
      </c>
      <c r="G388" s="1367"/>
      <c r="H388" s="1367"/>
      <c r="I388" s="1367"/>
      <c r="J388" s="1367"/>
      <c r="K388" s="1367"/>
      <c r="L388" s="1367"/>
    </row>
    <row r="389" spans="1:12">
      <c r="A389" s="1860">
        <v>5.0999999999999996</v>
      </c>
      <c r="B389" s="1799" t="s">
        <v>1801</v>
      </c>
      <c r="C389" s="31">
        <v>10.68</v>
      </c>
      <c r="D389" s="713" t="s">
        <v>11</v>
      </c>
      <c r="E389" s="1755">
        <v>777.08</v>
      </c>
      <c r="F389" s="1864">
        <f t="shared" si="17"/>
        <v>8299.2099999999991</v>
      </c>
      <c r="G389" s="44"/>
    </row>
    <row r="390" spans="1:12" ht="25.5">
      <c r="A390" s="1860">
        <v>5.1100000000000003</v>
      </c>
      <c r="B390" s="1053" t="s">
        <v>1803</v>
      </c>
      <c r="C390" s="31">
        <v>29.38</v>
      </c>
      <c r="D390" s="713" t="s">
        <v>2</v>
      </c>
      <c r="E390" s="1755">
        <v>650</v>
      </c>
      <c r="F390" s="1864">
        <f t="shared" si="17"/>
        <v>19097</v>
      </c>
      <c r="G390" s="44"/>
    </row>
    <row r="391" spans="1:12" ht="25.5">
      <c r="A391" s="1860">
        <v>5.12</v>
      </c>
      <c r="B391" s="1053" t="s">
        <v>1805</v>
      </c>
      <c r="C391" s="31">
        <v>27.91</v>
      </c>
      <c r="D391" s="713" t="s">
        <v>2</v>
      </c>
      <c r="E391" s="1755">
        <v>183.68</v>
      </c>
      <c r="F391" s="1864">
        <f t="shared" si="17"/>
        <v>5126.51</v>
      </c>
      <c r="G391" s="44"/>
    </row>
    <row r="392" spans="1:12" s="842" customFormat="1" ht="25.5">
      <c r="A392" s="1860">
        <v>5.13</v>
      </c>
      <c r="B392" s="745" t="s">
        <v>1570</v>
      </c>
      <c r="C392" s="31">
        <v>1</v>
      </c>
      <c r="D392" s="713" t="s">
        <v>3</v>
      </c>
      <c r="E392" s="1755">
        <v>7500</v>
      </c>
      <c r="F392" s="1864">
        <f>+ROUND((E392*C392),2)</f>
        <v>7500</v>
      </c>
      <c r="G392" s="1756"/>
      <c r="H392" s="1756"/>
      <c r="I392" s="1756"/>
      <c r="J392" s="1756"/>
    </row>
    <row r="393" spans="1:12" ht="5.25" customHeight="1">
      <c r="A393" s="1860"/>
      <c r="B393" s="1799"/>
      <c r="C393" s="31"/>
      <c r="D393" s="713"/>
      <c r="E393" s="1755"/>
      <c r="F393" s="1864"/>
      <c r="G393" s="44"/>
    </row>
    <row r="394" spans="1:12">
      <c r="A394" s="1861">
        <v>6</v>
      </c>
      <c r="B394" s="819" t="s">
        <v>1806</v>
      </c>
      <c r="C394" s="31"/>
      <c r="D394" s="713"/>
      <c r="E394" s="1755"/>
      <c r="F394" s="1864"/>
      <c r="G394" s="44"/>
    </row>
    <row r="395" spans="1:12">
      <c r="A395" s="1860">
        <v>6.1</v>
      </c>
      <c r="B395" s="1799" t="s">
        <v>1807</v>
      </c>
      <c r="C395" s="31">
        <v>1</v>
      </c>
      <c r="D395" s="713" t="s">
        <v>3</v>
      </c>
      <c r="E395" s="1755">
        <v>3600</v>
      </c>
      <c r="F395" s="1864">
        <f t="shared" si="17"/>
        <v>3600</v>
      </c>
      <c r="G395" s="44"/>
      <c r="H395" s="1372"/>
    </row>
    <row r="396" spans="1:12">
      <c r="A396" s="1860">
        <v>6.2</v>
      </c>
      <c r="B396" s="1799" t="s">
        <v>1808</v>
      </c>
      <c r="C396" s="31">
        <v>2</v>
      </c>
      <c r="D396" s="713" t="s">
        <v>3</v>
      </c>
      <c r="E396" s="1755">
        <v>1370.74</v>
      </c>
      <c r="F396" s="1864">
        <f t="shared" si="17"/>
        <v>2741.48</v>
      </c>
      <c r="G396" s="44"/>
      <c r="H396" s="1372"/>
    </row>
    <row r="397" spans="1:12">
      <c r="A397" s="1860">
        <v>6.3</v>
      </c>
      <c r="B397" s="1799" t="s">
        <v>1810</v>
      </c>
      <c r="C397" s="31">
        <v>2</v>
      </c>
      <c r="D397" s="713" t="s">
        <v>3</v>
      </c>
      <c r="E397" s="1755">
        <v>1420.28</v>
      </c>
      <c r="F397" s="1864">
        <f t="shared" si="17"/>
        <v>2840.56</v>
      </c>
      <c r="G397" s="44"/>
      <c r="H397" s="1372"/>
    </row>
    <row r="398" spans="1:12">
      <c r="A398" s="1860">
        <v>6.4</v>
      </c>
      <c r="B398" s="1799" t="s">
        <v>869</v>
      </c>
      <c r="C398" s="31">
        <v>2</v>
      </c>
      <c r="D398" s="713" t="s">
        <v>3</v>
      </c>
      <c r="E398" s="1755">
        <v>1453.9</v>
      </c>
      <c r="F398" s="1864">
        <f t="shared" si="17"/>
        <v>2907.8</v>
      </c>
      <c r="G398" s="44"/>
      <c r="H398" s="1372"/>
    </row>
    <row r="399" spans="1:12">
      <c r="A399" s="1860">
        <v>6.5</v>
      </c>
      <c r="B399" s="1799" t="s">
        <v>1813</v>
      </c>
      <c r="C399" s="31">
        <v>2</v>
      </c>
      <c r="D399" s="713" t="s">
        <v>3</v>
      </c>
      <c r="E399" s="1755">
        <v>4645</v>
      </c>
      <c r="F399" s="1864">
        <f t="shared" si="17"/>
        <v>9290</v>
      </c>
      <c r="G399" s="44"/>
    </row>
    <row r="400" spans="1:12" ht="27" customHeight="1">
      <c r="A400" s="1860">
        <v>6.6</v>
      </c>
      <c r="B400" s="1053" t="s">
        <v>1815</v>
      </c>
      <c r="C400" s="31">
        <v>1</v>
      </c>
      <c r="D400" s="713" t="s">
        <v>3</v>
      </c>
      <c r="E400" s="1755">
        <v>6000</v>
      </c>
      <c r="F400" s="1864">
        <f t="shared" si="17"/>
        <v>6000</v>
      </c>
      <c r="G400" s="44"/>
    </row>
    <row r="401" spans="1:12" ht="6" customHeight="1">
      <c r="A401" s="1860"/>
      <c r="B401" s="1799"/>
      <c r="C401" s="31"/>
      <c r="D401" s="713"/>
      <c r="E401" s="1755"/>
      <c r="F401" s="1864"/>
      <c r="G401" s="44"/>
    </row>
    <row r="402" spans="1:12">
      <c r="A402" s="1861">
        <v>7</v>
      </c>
      <c r="B402" s="819" t="s">
        <v>1816</v>
      </c>
      <c r="C402" s="31"/>
      <c r="D402" s="713"/>
      <c r="E402" s="1755"/>
      <c r="F402" s="1864"/>
      <c r="G402" s="44"/>
    </row>
    <row r="403" spans="1:12" s="842" customFormat="1" ht="25.5" customHeight="1">
      <c r="A403" s="1855">
        <v>7.1</v>
      </c>
      <c r="B403" s="1763" t="s">
        <v>1557</v>
      </c>
      <c r="C403" s="1831">
        <v>1</v>
      </c>
      <c r="D403" s="1831" t="s">
        <v>3</v>
      </c>
      <c r="E403" s="1831">
        <v>161103.6</v>
      </c>
      <c r="F403" s="1892">
        <f>+ROUND((E403*C403),2)</f>
        <v>161103.6</v>
      </c>
    </row>
    <row r="404" spans="1:12" s="44" customFormat="1" ht="25.5" customHeight="1">
      <c r="A404" s="1893">
        <v>7.2</v>
      </c>
      <c r="B404" s="1764" t="s">
        <v>1556</v>
      </c>
      <c r="C404" s="1832">
        <v>2</v>
      </c>
      <c r="D404" s="1833" t="s">
        <v>3</v>
      </c>
      <c r="E404" s="1833">
        <v>7000</v>
      </c>
      <c r="F404" s="1894">
        <f>+ROUND((E404*C404),2)</f>
        <v>14000</v>
      </c>
      <c r="G404" s="842"/>
      <c r="H404" s="842"/>
      <c r="I404" s="842"/>
      <c r="J404" s="842"/>
    </row>
    <row r="405" spans="1:12" s="842" customFormat="1" ht="25.5">
      <c r="A405" s="1893">
        <v>7.3</v>
      </c>
      <c r="B405" s="1763" t="s">
        <v>1558</v>
      </c>
      <c r="C405" s="1832">
        <v>2</v>
      </c>
      <c r="D405" s="1833" t="s">
        <v>3</v>
      </c>
      <c r="E405" s="1833">
        <v>165732.25</v>
      </c>
      <c r="F405" s="1894">
        <f>+ROUND((E405*C405),2)</f>
        <v>331464.5</v>
      </c>
      <c r="G405" s="1756"/>
      <c r="H405" s="1756"/>
      <c r="I405" s="1756"/>
      <c r="J405" s="1756"/>
    </row>
    <row r="406" spans="1:12" s="44" customFormat="1" ht="12.75" customHeight="1">
      <c r="A406" s="1893">
        <v>7.4</v>
      </c>
      <c r="B406" s="1764" t="s">
        <v>1555</v>
      </c>
      <c r="C406" s="1832">
        <v>1</v>
      </c>
      <c r="D406" s="1833" t="s">
        <v>3</v>
      </c>
      <c r="E406" s="1833">
        <v>8500</v>
      </c>
      <c r="F406" s="1894">
        <f>+ROUND((E406*C406),2)</f>
        <v>8500</v>
      </c>
      <c r="G406" s="841"/>
      <c r="H406" s="841"/>
      <c r="I406" s="841"/>
      <c r="J406" s="841"/>
    </row>
    <row r="407" spans="1:12" s="6" customFormat="1">
      <c r="A407" s="1893">
        <v>7.5</v>
      </c>
      <c r="B407" s="1053" t="s">
        <v>1824</v>
      </c>
      <c r="C407" s="1832">
        <v>3</v>
      </c>
      <c r="D407" s="1833" t="s">
        <v>3</v>
      </c>
      <c r="E407" s="1833">
        <v>4882.5</v>
      </c>
      <c r="F407" s="1894">
        <f t="shared" si="17"/>
        <v>14647.5</v>
      </c>
      <c r="G407" s="1367"/>
      <c r="H407" s="1367"/>
      <c r="I407" s="1367"/>
      <c r="J407" s="1367"/>
      <c r="K407" s="1367"/>
      <c r="L407" s="1367"/>
    </row>
    <row r="408" spans="1:12" s="6" customFormat="1" ht="25.5">
      <c r="A408" s="1893">
        <v>7.6</v>
      </c>
      <c r="B408" s="1763" t="s">
        <v>1826</v>
      </c>
      <c r="C408" s="1832">
        <v>1</v>
      </c>
      <c r="D408" s="1833" t="s">
        <v>3</v>
      </c>
      <c r="E408" s="1833">
        <v>60000</v>
      </c>
      <c r="F408" s="1894">
        <f t="shared" si="17"/>
        <v>60000</v>
      </c>
      <c r="G408" s="1367"/>
      <c r="H408" s="1367"/>
      <c r="I408" s="1367"/>
      <c r="J408" s="1367"/>
      <c r="K408" s="1367"/>
      <c r="L408" s="1367"/>
    </row>
    <row r="409" spans="1:12" s="6" customFormat="1" ht="25.5">
      <c r="A409" s="1893">
        <v>7.7</v>
      </c>
      <c r="B409" s="745" t="s">
        <v>1828</v>
      </c>
      <c r="C409" s="1832">
        <v>1</v>
      </c>
      <c r="D409" s="1833" t="s">
        <v>3</v>
      </c>
      <c r="E409" s="1833">
        <v>159500</v>
      </c>
      <c r="F409" s="1894">
        <f t="shared" si="17"/>
        <v>159500</v>
      </c>
      <c r="G409" s="1367"/>
      <c r="H409" s="1367"/>
      <c r="I409" s="1367"/>
      <c r="J409" s="1367"/>
      <c r="K409" s="1367"/>
      <c r="L409" s="1367"/>
    </row>
    <row r="410" spans="1:12" s="6" customFormat="1" ht="38.25">
      <c r="A410" s="1893">
        <v>7.8</v>
      </c>
      <c r="B410" s="745" t="s">
        <v>1830</v>
      </c>
      <c r="C410" s="1832">
        <v>1</v>
      </c>
      <c r="D410" s="1833" t="s">
        <v>3</v>
      </c>
      <c r="E410" s="1833">
        <v>32500</v>
      </c>
      <c r="F410" s="1894">
        <f t="shared" si="17"/>
        <v>32500</v>
      </c>
      <c r="G410" s="1367"/>
      <c r="H410" s="1367"/>
      <c r="I410" s="1367"/>
      <c r="J410" s="1367"/>
      <c r="K410" s="1367"/>
      <c r="L410" s="1367"/>
    </row>
    <row r="411" spans="1:12" s="6" customFormat="1">
      <c r="A411" s="1893">
        <v>7.9</v>
      </c>
      <c r="B411" s="745" t="s">
        <v>1832</v>
      </c>
      <c r="C411" s="1832">
        <v>1</v>
      </c>
      <c r="D411" s="1833" t="s">
        <v>3</v>
      </c>
      <c r="E411" s="1833">
        <v>25000</v>
      </c>
      <c r="F411" s="1894">
        <f>ROUND(E411*C411,2)</f>
        <v>25000</v>
      </c>
      <c r="G411" s="1367"/>
      <c r="H411" s="1367"/>
      <c r="I411" s="1367"/>
      <c r="J411" s="1367"/>
      <c r="K411" s="1367"/>
      <c r="L411" s="1367"/>
    </row>
    <row r="412" spans="1:12" s="6" customFormat="1">
      <c r="A412" s="1860">
        <v>7.1</v>
      </c>
      <c r="B412" s="522" t="s">
        <v>1834</v>
      </c>
      <c r="C412" s="1832">
        <v>1</v>
      </c>
      <c r="D412" s="1833" t="s">
        <v>3</v>
      </c>
      <c r="E412" s="1833">
        <v>30000</v>
      </c>
      <c r="F412" s="1894">
        <f t="shared" si="17"/>
        <v>30000</v>
      </c>
      <c r="G412" s="1367"/>
      <c r="H412" s="1367"/>
      <c r="I412" s="1367"/>
      <c r="J412" s="1367"/>
      <c r="K412" s="1367"/>
      <c r="L412" s="1367"/>
    </row>
    <row r="413" spans="1:12" s="6" customFormat="1">
      <c r="A413" s="1860">
        <v>7.11</v>
      </c>
      <c r="B413" s="522" t="s">
        <v>1836</v>
      </c>
      <c r="C413" s="1832">
        <v>1</v>
      </c>
      <c r="D413" s="1833" t="s">
        <v>3</v>
      </c>
      <c r="E413" s="1833">
        <v>36855</v>
      </c>
      <c r="F413" s="1894">
        <f t="shared" si="17"/>
        <v>36855</v>
      </c>
      <c r="G413" s="1367"/>
      <c r="H413" s="1367"/>
      <c r="I413" s="1367"/>
      <c r="J413" s="1367"/>
      <c r="K413" s="1367"/>
      <c r="L413" s="1367"/>
    </row>
    <row r="414" spans="1:12" s="6" customFormat="1">
      <c r="A414" s="1860">
        <v>7.12</v>
      </c>
      <c r="B414" s="522" t="s">
        <v>1838</v>
      </c>
      <c r="C414" s="1832">
        <v>1</v>
      </c>
      <c r="D414" s="1833" t="s">
        <v>3</v>
      </c>
      <c r="E414" s="1833">
        <v>2500</v>
      </c>
      <c r="F414" s="1894">
        <f t="shared" si="17"/>
        <v>2500</v>
      </c>
      <c r="G414" s="1367"/>
      <c r="H414" s="1367"/>
      <c r="I414" s="1367"/>
      <c r="J414" s="1367"/>
      <c r="K414" s="1367"/>
      <c r="L414" s="1367"/>
    </row>
    <row r="415" spans="1:12" s="6" customFormat="1">
      <c r="A415" s="1868">
        <v>7.13</v>
      </c>
      <c r="B415" s="1817" t="s">
        <v>1023</v>
      </c>
      <c r="C415" s="1840">
        <v>1</v>
      </c>
      <c r="D415" s="1841" t="s">
        <v>3</v>
      </c>
      <c r="E415" s="1841">
        <v>3500</v>
      </c>
      <c r="F415" s="1895">
        <f t="shared" si="17"/>
        <v>3500</v>
      </c>
      <c r="G415" s="1367"/>
      <c r="H415" s="1367"/>
      <c r="I415" s="1367"/>
      <c r="J415" s="1367"/>
      <c r="K415" s="1367"/>
      <c r="L415" s="1367"/>
    </row>
    <row r="416" spans="1:12" s="6" customFormat="1">
      <c r="A416" s="1860"/>
      <c r="B416" s="1799"/>
      <c r="C416" s="31"/>
      <c r="D416" s="713"/>
      <c r="E416" s="1755"/>
      <c r="F416" s="1864"/>
      <c r="G416" s="1367"/>
      <c r="H416" s="1367"/>
      <c r="I416" s="1367"/>
      <c r="J416" s="1367"/>
      <c r="K416" s="1367"/>
      <c r="L416" s="1367"/>
    </row>
    <row r="417" spans="1:12" s="6" customFormat="1" ht="25.5">
      <c r="A417" s="1867">
        <v>7.14</v>
      </c>
      <c r="B417" s="1807" t="s">
        <v>2209</v>
      </c>
      <c r="C417" s="31"/>
      <c r="D417" s="713"/>
      <c r="E417" s="1755"/>
      <c r="F417" s="1864"/>
      <c r="G417" s="1367"/>
      <c r="H417" s="1367"/>
      <c r="I417" s="1367"/>
      <c r="J417" s="1367"/>
      <c r="K417" s="1367"/>
      <c r="L417" s="1367"/>
    </row>
    <row r="418" spans="1:12" s="6" customFormat="1">
      <c r="A418" s="1896" t="s">
        <v>2139</v>
      </c>
      <c r="B418" s="522" t="s">
        <v>2132</v>
      </c>
      <c r="C418" s="31">
        <v>2</v>
      </c>
      <c r="D418" s="713" t="s">
        <v>3</v>
      </c>
      <c r="E418" s="1755">
        <v>184.94</v>
      </c>
      <c r="F418" s="1864">
        <f t="shared" ref="F418:F424" si="18">+ROUND(C418*E418,2)</f>
        <v>369.88</v>
      </c>
      <c r="G418" s="1367"/>
      <c r="H418" s="1367"/>
      <c r="I418" s="1367"/>
      <c r="J418" s="1367"/>
      <c r="K418" s="1367"/>
      <c r="L418" s="1367"/>
    </row>
    <row r="419" spans="1:12" s="6" customFormat="1">
      <c r="A419" s="1896" t="s">
        <v>2140</v>
      </c>
      <c r="B419" s="522" t="s">
        <v>2133</v>
      </c>
      <c r="C419" s="31">
        <v>2</v>
      </c>
      <c r="D419" s="713" t="s">
        <v>3</v>
      </c>
      <c r="E419" s="1755">
        <v>75.239999999999995</v>
      </c>
      <c r="F419" s="1864">
        <f t="shared" si="18"/>
        <v>150.47999999999999</v>
      </c>
      <c r="G419" s="1367"/>
      <c r="H419" s="1367"/>
      <c r="I419" s="1367"/>
      <c r="J419" s="1367"/>
      <c r="K419" s="1367"/>
      <c r="L419" s="1367"/>
    </row>
    <row r="420" spans="1:12" s="6" customFormat="1">
      <c r="A420" s="1896" t="s">
        <v>2141</v>
      </c>
      <c r="B420" s="522" t="s">
        <v>2134</v>
      </c>
      <c r="C420" s="31">
        <v>40</v>
      </c>
      <c r="D420" s="713" t="s">
        <v>1</v>
      </c>
      <c r="E420" s="1755">
        <v>97.31</v>
      </c>
      <c r="F420" s="1864">
        <f t="shared" si="18"/>
        <v>3892.4</v>
      </c>
      <c r="G420" s="1367"/>
      <c r="H420" s="1367"/>
      <c r="I420" s="1367"/>
      <c r="J420" s="1367"/>
      <c r="K420" s="1367"/>
      <c r="L420" s="1367"/>
    </row>
    <row r="421" spans="1:12" s="6" customFormat="1">
      <c r="A421" s="1896" t="s">
        <v>2142</v>
      </c>
      <c r="B421" s="522" t="s">
        <v>2135</v>
      </c>
      <c r="C421" s="31">
        <v>4</v>
      </c>
      <c r="D421" s="713" t="s">
        <v>3</v>
      </c>
      <c r="E421" s="1755">
        <v>56.76</v>
      </c>
      <c r="F421" s="1864">
        <f t="shared" si="18"/>
        <v>227.04</v>
      </c>
      <c r="G421" s="1367"/>
      <c r="H421" s="1367"/>
      <c r="I421" s="44"/>
      <c r="J421" s="1367"/>
      <c r="K421" s="1367"/>
      <c r="L421" s="1367"/>
    </row>
    <row r="422" spans="1:12" s="6" customFormat="1">
      <c r="A422" s="1896" t="s">
        <v>2143</v>
      </c>
      <c r="B422" s="522" t="s">
        <v>2136</v>
      </c>
      <c r="C422" s="31">
        <v>4</v>
      </c>
      <c r="D422" s="713" t="s">
        <v>3</v>
      </c>
      <c r="E422" s="1755">
        <v>59</v>
      </c>
      <c r="F422" s="1864">
        <f t="shared" si="18"/>
        <v>236</v>
      </c>
      <c r="G422" s="1367"/>
      <c r="H422" s="1367"/>
      <c r="I422" s="1367"/>
      <c r="J422" s="1367"/>
      <c r="K422" s="1367"/>
      <c r="L422" s="1367"/>
    </row>
    <row r="423" spans="1:12" s="6" customFormat="1">
      <c r="A423" s="1896" t="s">
        <v>2144</v>
      </c>
      <c r="B423" s="522" t="s">
        <v>2137</v>
      </c>
      <c r="C423" s="31">
        <v>1</v>
      </c>
      <c r="D423" s="713" t="s">
        <v>3</v>
      </c>
      <c r="E423" s="1755">
        <v>5000</v>
      </c>
      <c r="F423" s="1864">
        <f t="shared" si="18"/>
        <v>5000</v>
      </c>
      <c r="G423" s="1367"/>
      <c r="H423" s="1367"/>
      <c r="I423" s="1367"/>
      <c r="J423" s="1367"/>
      <c r="K423" s="1367"/>
      <c r="L423" s="1367"/>
    </row>
    <row r="424" spans="1:12" s="6" customFormat="1">
      <c r="A424" s="1896" t="s">
        <v>2145</v>
      </c>
      <c r="B424" s="522" t="s">
        <v>2138</v>
      </c>
      <c r="C424" s="31">
        <v>1</v>
      </c>
      <c r="D424" s="713" t="s">
        <v>3</v>
      </c>
      <c r="E424" s="1755">
        <v>3500</v>
      </c>
      <c r="F424" s="1864">
        <f t="shared" si="18"/>
        <v>3500</v>
      </c>
      <c r="G424" s="1367"/>
      <c r="H424" s="1367"/>
      <c r="I424" s="1367"/>
      <c r="J424" s="1367"/>
      <c r="K424" s="1367"/>
      <c r="L424" s="1367"/>
    </row>
    <row r="425" spans="1:12" s="44" customFormat="1" ht="12.75" customHeight="1">
      <c r="A425" s="1860"/>
      <c r="B425" s="522"/>
      <c r="C425" s="31"/>
      <c r="D425" s="713"/>
      <c r="E425" s="1755"/>
      <c r="F425" s="1864"/>
      <c r="G425" s="841"/>
      <c r="H425" s="841"/>
      <c r="I425" s="841"/>
      <c r="J425" s="841"/>
    </row>
    <row r="426" spans="1:12" s="6" customFormat="1">
      <c r="A426" s="1861">
        <v>8</v>
      </c>
      <c r="B426" s="1765" t="s">
        <v>1578</v>
      </c>
      <c r="C426" s="31"/>
      <c r="D426" s="713"/>
      <c r="E426" s="1755"/>
      <c r="F426" s="1864"/>
      <c r="G426" s="1367"/>
      <c r="H426" s="1367"/>
      <c r="I426" s="1367"/>
      <c r="J426" s="1367"/>
      <c r="K426" s="1367"/>
      <c r="L426" s="1367"/>
    </row>
    <row r="427" spans="1:12" s="6" customFormat="1" ht="51">
      <c r="A427" s="1860">
        <v>8.1</v>
      </c>
      <c r="B427" s="1766" t="s">
        <v>1571</v>
      </c>
      <c r="C427" s="31">
        <v>1</v>
      </c>
      <c r="D427" s="713" t="s">
        <v>3</v>
      </c>
      <c r="E427" s="1755">
        <v>90000</v>
      </c>
      <c r="F427" s="1864">
        <f t="shared" ref="F427:F436" si="19">+ROUND(C427*E427,2)</f>
        <v>90000</v>
      </c>
      <c r="G427" s="1367"/>
      <c r="H427" s="1367"/>
      <c r="I427" s="1367"/>
      <c r="J427" s="1367"/>
      <c r="K427" s="1367"/>
      <c r="L427" s="1367"/>
    </row>
    <row r="428" spans="1:12" s="6" customFormat="1" ht="12" customHeight="1">
      <c r="A428" s="1860">
        <v>8.1999999999999993</v>
      </c>
      <c r="B428" s="1766" t="s">
        <v>1572</v>
      </c>
      <c r="C428" s="31">
        <v>1</v>
      </c>
      <c r="D428" s="713" t="s">
        <v>3</v>
      </c>
      <c r="E428" s="1755">
        <v>19495</v>
      </c>
      <c r="F428" s="1864">
        <f t="shared" si="19"/>
        <v>19495</v>
      </c>
      <c r="G428" s="1367"/>
      <c r="H428" s="1367"/>
      <c r="I428" s="1367"/>
      <c r="J428" s="1367"/>
      <c r="K428" s="1367"/>
      <c r="L428" s="1367"/>
    </row>
    <row r="429" spans="1:12" s="6" customFormat="1">
      <c r="A429" s="1860">
        <v>8.3000000000000007</v>
      </c>
      <c r="B429" s="1766" t="s">
        <v>1573</v>
      </c>
      <c r="C429" s="31">
        <v>2</v>
      </c>
      <c r="D429" s="713" t="s">
        <v>3</v>
      </c>
      <c r="E429" s="1755">
        <v>2500</v>
      </c>
      <c r="F429" s="1864">
        <f t="shared" si="19"/>
        <v>5000</v>
      </c>
      <c r="G429" s="1367"/>
      <c r="H429" s="1367"/>
      <c r="I429" s="1367"/>
      <c r="J429" s="1367"/>
      <c r="K429" s="1367"/>
      <c r="L429" s="1367"/>
    </row>
    <row r="430" spans="1:12" s="6" customFormat="1">
      <c r="A430" s="1860">
        <v>8.4</v>
      </c>
      <c r="B430" s="1766" t="s">
        <v>1574</v>
      </c>
      <c r="C430" s="31">
        <v>20</v>
      </c>
      <c r="D430" s="713" t="s">
        <v>3</v>
      </c>
      <c r="E430" s="1755">
        <v>106.96</v>
      </c>
      <c r="F430" s="1864">
        <f t="shared" si="19"/>
        <v>2139.1999999999998</v>
      </c>
      <c r="G430" s="1367"/>
      <c r="H430" s="1367"/>
      <c r="I430" s="1367"/>
      <c r="J430" s="1367"/>
      <c r="K430" s="1367"/>
      <c r="L430" s="1367"/>
    </row>
    <row r="431" spans="1:12" s="6" customFormat="1">
      <c r="A431" s="1860">
        <v>8.5</v>
      </c>
      <c r="B431" s="1766" t="s">
        <v>1575</v>
      </c>
      <c r="C431" s="31">
        <v>15</v>
      </c>
      <c r="D431" s="713" t="s">
        <v>3</v>
      </c>
      <c r="E431" s="1755">
        <v>250</v>
      </c>
      <c r="F431" s="1864">
        <f t="shared" si="19"/>
        <v>3750</v>
      </c>
      <c r="G431" s="1367"/>
      <c r="H431" s="1367"/>
      <c r="I431" s="1367"/>
      <c r="J431" s="1367"/>
      <c r="K431" s="1367"/>
      <c r="L431" s="1367"/>
    </row>
    <row r="432" spans="1:12" s="6" customFormat="1">
      <c r="A432" s="1860">
        <v>8.6</v>
      </c>
      <c r="B432" s="1766" t="s">
        <v>1576</v>
      </c>
      <c r="C432" s="31">
        <v>7.34</v>
      </c>
      <c r="D432" s="713" t="s">
        <v>1</v>
      </c>
      <c r="E432" s="1755">
        <v>149.57</v>
      </c>
      <c r="F432" s="1864">
        <f t="shared" si="19"/>
        <v>1097.8399999999999</v>
      </c>
      <c r="G432" s="1367"/>
      <c r="H432" s="1367"/>
      <c r="I432" s="1367"/>
      <c r="J432" s="1367"/>
      <c r="K432" s="1367"/>
      <c r="L432" s="1367"/>
    </row>
    <row r="433" spans="1:12" s="6" customFormat="1" ht="25.5">
      <c r="A433" s="1860">
        <v>8.6999999999999993</v>
      </c>
      <c r="B433" s="1766" t="s">
        <v>1577</v>
      </c>
      <c r="C433" s="31">
        <v>1</v>
      </c>
      <c r="D433" s="713" t="s">
        <v>3</v>
      </c>
      <c r="E433" s="1755">
        <v>12000</v>
      </c>
      <c r="F433" s="1864">
        <f t="shared" si="19"/>
        <v>12000</v>
      </c>
      <c r="G433" s="1367"/>
      <c r="H433" s="1367"/>
      <c r="I433" s="1367"/>
      <c r="J433" s="1367"/>
      <c r="K433" s="1367"/>
      <c r="L433" s="1367"/>
    </row>
    <row r="434" spans="1:12" s="6" customFormat="1" ht="6.75" customHeight="1">
      <c r="A434" s="1860"/>
      <c r="B434" s="1766"/>
      <c r="C434" s="31"/>
      <c r="D434" s="713"/>
      <c r="E434" s="1755"/>
      <c r="F434" s="1864">
        <f t="shared" si="19"/>
        <v>0</v>
      </c>
      <c r="G434" s="1367"/>
      <c r="H434" s="1367"/>
      <c r="I434" s="1367"/>
      <c r="J434" s="1367"/>
      <c r="K434" s="1367"/>
      <c r="L434" s="1367"/>
    </row>
    <row r="435" spans="1:12" ht="25.5">
      <c r="A435" s="1867">
        <v>9</v>
      </c>
      <c r="B435" s="1807" t="s">
        <v>2088</v>
      </c>
      <c r="C435" s="31"/>
      <c r="D435" s="713"/>
      <c r="E435" s="1755"/>
      <c r="F435" s="1864">
        <f t="shared" si="19"/>
        <v>0</v>
      </c>
      <c r="G435" s="44"/>
    </row>
    <row r="436" spans="1:12" ht="25.5">
      <c r="A436" s="1865">
        <v>9.1</v>
      </c>
      <c r="B436" s="1766" t="s">
        <v>2313</v>
      </c>
      <c r="C436" s="31">
        <v>264</v>
      </c>
      <c r="D436" s="713" t="s">
        <v>1</v>
      </c>
      <c r="E436" s="1755">
        <v>6400</v>
      </c>
      <c r="F436" s="1864">
        <f t="shared" si="19"/>
        <v>1689600</v>
      </c>
      <c r="G436" s="44"/>
    </row>
    <row r="437" spans="1:12" s="1739" customFormat="1" ht="12.75" customHeight="1">
      <c r="A437" s="1860">
        <v>9.1999999999999993</v>
      </c>
      <c r="B437" s="1766" t="s">
        <v>2089</v>
      </c>
      <c r="C437" s="1834">
        <v>1</v>
      </c>
      <c r="D437" s="1794" t="s">
        <v>3</v>
      </c>
      <c r="E437" s="1755">
        <v>26500</v>
      </c>
      <c r="F437" s="1864">
        <f>ROUND(C437*E437,2)</f>
        <v>26500</v>
      </c>
      <c r="G437" s="44"/>
      <c r="H437" s="44"/>
      <c r="I437" s="842"/>
      <c r="J437" s="842"/>
      <c r="K437" s="842"/>
      <c r="L437" s="842"/>
    </row>
    <row r="438" spans="1:12" ht="4.5" customHeight="1">
      <c r="A438" s="1860"/>
      <c r="B438" s="522"/>
      <c r="C438" s="31"/>
      <c r="D438" s="713"/>
      <c r="E438" s="1755"/>
      <c r="F438" s="1864"/>
      <c r="G438" s="44"/>
    </row>
    <row r="439" spans="1:12" s="44" customFormat="1" ht="12.75" customHeight="1">
      <c r="A439" s="1860">
        <v>10</v>
      </c>
      <c r="B439" s="1767" t="s">
        <v>870</v>
      </c>
      <c r="C439" s="31">
        <v>1</v>
      </c>
      <c r="D439" s="713" t="s">
        <v>3</v>
      </c>
      <c r="E439" s="1755">
        <v>4000</v>
      </c>
      <c r="F439" s="1864">
        <f>+ROUND((E439*C439),2)</f>
        <v>4000</v>
      </c>
      <c r="G439" s="841"/>
      <c r="H439" s="841"/>
      <c r="I439" s="841"/>
      <c r="J439" s="841"/>
    </row>
    <row r="440" spans="1:12" s="1539" customFormat="1" ht="16.5" customHeight="1">
      <c r="A440" s="1873"/>
      <c r="B440" s="1827" t="s">
        <v>2125</v>
      </c>
      <c r="C440" s="1827"/>
      <c r="D440" s="1827"/>
      <c r="E440" s="1828"/>
      <c r="F440" s="1874">
        <f>SUM(F366:F439)</f>
        <v>3089471.19</v>
      </c>
      <c r="G440" s="1741"/>
    </row>
    <row r="441" spans="1:12" s="1546" customFormat="1" ht="3.75" customHeight="1">
      <c r="A441" s="1860"/>
      <c r="B441" s="522"/>
      <c r="C441" s="31"/>
      <c r="D441" s="713"/>
      <c r="E441" s="1755"/>
      <c r="F441" s="1864"/>
      <c r="G441" s="44"/>
      <c r="H441" s="44"/>
    </row>
    <row r="442" spans="1:12" s="44" customFormat="1" ht="12.75" customHeight="1">
      <c r="A442" s="1857" t="s">
        <v>877</v>
      </c>
      <c r="B442" s="819" t="s">
        <v>1856</v>
      </c>
      <c r="C442" s="31"/>
      <c r="D442" s="713"/>
      <c r="E442" s="1755"/>
      <c r="F442" s="1864">
        <f>+ROUND((E442*C442),2)</f>
        <v>0</v>
      </c>
    </row>
    <row r="443" spans="1:12" s="44" customFormat="1" ht="5.25" customHeight="1">
      <c r="A443" s="1855"/>
      <c r="B443" s="819"/>
      <c r="C443" s="31"/>
      <c r="D443" s="713"/>
      <c r="E443" s="1755"/>
      <c r="F443" s="1864"/>
    </row>
    <row r="444" spans="1:12" ht="12.75" customHeight="1">
      <c r="A444" s="1860">
        <v>1</v>
      </c>
      <c r="B444" s="522" t="s">
        <v>37</v>
      </c>
      <c r="C444" s="31">
        <v>1</v>
      </c>
      <c r="D444" s="713" t="s">
        <v>3</v>
      </c>
      <c r="E444" s="1755">
        <v>1500</v>
      </c>
      <c r="F444" s="1864">
        <f t="shared" ref="F444:F457" si="20">ROUND(E444*C444,2)</f>
        <v>1500</v>
      </c>
      <c r="G444" s="44"/>
    </row>
    <row r="445" spans="1:12" ht="5.25" customHeight="1">
      <c r="A445" s="1860"/>
      <c r="B445" s="522"/>
      <c r="C445" s="31"/>
      <c r="D445" s="713"/>
      <c r="E445" s="1755"/>
      <c r="F445" s="1864">
        <f t="shared" si="20"/>
        <v>0</v>
      </c>
      <c r="G445" s="44"/>
    </row>
    <row r="446" spans="1:12" ht="12.75" customHeight="1">
      <c r="A446" s="1860">
        <v>2</v>
      </c>
      <c r="B446" s="808" t="s">
        <v>1841</v>
      </c>
      <c r="C446" s="31"/>
      <c r="D446" s="713"/>
      <c r="E446" s="1755"/>
      <c r="F446" s="1864">
        <f t="shared" si="20"/>
        <v>0</v>
      </c>
      <c r="G446" s="44"/>
    </row>
    <row r="447" spans="1:12" ht="12.75" customHeight="1">
      <c r="A447" s="1860">
        <v>2.1</v>
      </c>
      <c r="B447" s="522" t="s">
        <v>2247</v>
      </c>
      <c r="C447" s="31">
        <v>11.15</v>
      </c>
      <c r="D447" s="713" t="s">
        <v>2</v>
      </c>
      <c r="E447" s="1755">
        <v>334.5</v>
      </c>
      <c r="F447" s="1864">
        <f t="shared" si="20"/>
        <v>3729.68</v>
      </c>
      <c r="G447" s="44"/>
    </row>
    <row r="448" spans="1:12" ht="25.5">
      <c r="A448" s="1865">
        <v>2.2000000000000002</v>
      </c>
      <c r="B448" s="1766" t="s">
        <v>1957</v>
      </c>
      <c r="C448" s="1794">
        <v>3.38</v>
      </c>
      <c r="D448" s="713" t="s">
        <v>2</v>
      </c>
      <c r="E448" s="1755">
        <v>90</v>
      </c>
      <c r="F448" s="1864">
        <f t="shared" si="20"/>
        <v>304.2</v>
      </c>
      <c r="G448" s="44"/>
    </row>
    <row r="449" spans="1:8" ht="25.5">
      <c r="A449" s="1860">
        <v>2.2999999999999998</v>
      </c>
      <c r="B449" s="1766" t="s">
        <v>1579</v>
      </c>
      <c r="C449" s="31">
        <v>9.32</v>
      </c>
      <c r="D449" s="713" t="s">
        <v>2</v>
      </c>
      <c r="E449" s="1755">
        <v>210</v>
      </c>
      <c r="F449" s="1864">
        <f t="shared" si="20"/>
        <v>1957.2</v>
      </c>
      <c r="G449" s="44"/>
    </row>
    <row r="450" spans="1:8" ht="6" customHeight="1">
      <c r="A450" s="1860"/>
      <c r="B450" s="522"/>
      <c r="C450" s="31"/>
      <c r="D450" s="713"/>
      <c r="E450" s="1755"/>
      <c r="F450" s="1864">
        <f t="shared" si="20"/>
        <v>0</v>
      </c>
      <c r="G450" s="44"/>
    </row>
    <row r="451" spans="1:8" ht="12.75" customHeight="1">
      <c r="A451" s="1860">
        <v>3</v>
      </c>
      <c r="B451" s="808" t="s">
        <v>2248</v>
      </c>
      <c r="C451" s="31"/>
      <c r="D451" s="713"/>
      <c r="E451" s="1755"/>
      <c r="F451" s="1864">
        <f t="shared" si="20"/>
        <v>0</v>
      </c>
      <c r="G451" s="44"/>
    </row>
    <row r="452" spans="1:8" ht="12.75" customHeight="1">
      <c r="A452" s="1860">
        <v>3.1</v>
      </c>
      <c r="B452" s="1053" t="s">
        <v>1842</v>
      </c>
      <c r="C452" s="31">
        <v>3.17</v>
      </c>
      <c r="D452" s="713" t="s">
        <v>2</v>
      </c>
      <c r="E452" s="1755">
        <v>9717.9500000000007</v>
      </c>
      <c r="F452" s="1864">
        <f t="shared" si="20"/>
        <v>30805.9</v>
      </c>
      <c r="G452" s="44"/>
    </row>
    <row r="453" spans="1:8" ht="12.75" customHeight="1">
      <c r="A453" s="1860">
        <v>3.2</v>
      </c>
      <c r="B453" s="1053" t="s">
        <v>1843</v>
      </c>
      <c r="C453" s="31">
        <v>0.48</v>
      </c>
      <c r="D453" s="713" t="s">
        <v>2</v>
      </c>
      <c r="E453" s="1755">
        <v>28883.22</v>
      </c>
      <c r="F453" s="1864">
        <f t="shared" si="20"/>
        <v>13863.95</v>
      </c>
      <c r="G453" s="44"/>
    </row>
    <row r="454" spans="1:8" ht="12.75" customHeight="1">
      <c r="A454" s="1860">
        <v>3.3</v>
      </c>
      <c r="B454" s="1053" t="s">
        <v>1844</v>
      </c>
      <c r="C454" s="31">
        <v>0.42</v>
      </c>
      <c r="D454" s="713" t="s">
        <v>2</v>
      </c>
      <c r="E454" s="1755">
        <v>39917.5</v>
      </c>
      <c r="F454" s="1864">
        <f t="shared" si="20"/>
        <v>16765.349999999999</v>
      </c>
      <c r="G454" s="44"/>
    </row>
    <row r="455" spans="1:8" ht="12.75" customHeight="1">
      <c r="A455" s="1860">
        <v>3.4</v>
      </c>
      <c r="B455" s="1053" t="s">
        <v>1845</v>
      </c>
      <c r="C455" s="31">
        <v>7.0000000000000007E-2</v>
      </c>
      <c r="D455" s="713" t="s">
        <v>2</v>
      </c>
      <c r="E455" s="1755">
        <v>22065.01</v>
      </c>
      <c r="F455" s="1864">
        <f t="shared" si="20"/>
        <v>1544.55</v>
      </c>
      <c r="G455" s="44"/>
    </row>
    <row r="456" spans="1:8" ht="12.75" customHeight="1">
      <c r="A456" s="1860">
        <v>3.5</v>
      </c>
      <c r="B456" s="1053" t="s">
        <v>1846</v>
      </c>
      <c r="C456" s="31">
        <v>3.59</v>
      </c>
      <c r="D456" s="713" t="s">
        <v>2</v>
      </c>
      <c r="E456" s="1755">
        <v>11927.53</v>
      </c>
      <c r="F456" s="1864">
        <f t="shared" si="20"/>
        <v>42819.83</v>
      </c>
      <c r="G456" s="44"/>
    </row>
    <row r="457" spans="1:8" ht="12.75" customHeight="1">
      <c r="A457" s="1868">
        <v>3.6</v>
      </c>
      <c r="B457" s="1818" t="s">
        <v>1847</v>
      </c>
      <c r="C457" s="1813">
        <v>2.96</v>
      </c>
      <c r="D457" s="1821" t="s">
        <v>2</v>
      </c>
      <c r="E457" s="1820">
        <v>9251.8700000000008</v>
      </c>
      <c r="F457" s="1879">
        <f t="shared" si="20"/>
        <v>27385.54</v>
      </c>
      <c r="G457" s="44"/>
    </row>
    <row r="458" spans="1:8" ht="6" customHeight="1">
      <c r="A458" s="1860"/>
      <c r="B458" s="522"/>
      <c r="C458" s="31"/>
      <c r="D458" s="713"/>
      <c r="E458" s="1755"/>
      <c r="F458" s="1864"/>
      <c r="G458" s="44"/>
    </row>
    <row r="459" spans="1:8" ht="12.75" customHeight="1">
      <c r="A459" s="1860">
        <v>4</v>
      </c>
      <c r="B459" s="808" t="s">
        <v>1848</v>
      </c>
      <c r="C459" s="31"/>
      <c r="D459" s="713"/>
      <c r="E459" s="1755"/>
      <c r="F459" s="1864">
        <f t="shared" ref="F459:F478" si="21">ROUND(E459*C459,2)</f>
        <v>0</v>
      </c>
      <c r="G459" s="44"/>
    </row>
    <row r="460" spans="1:8" ht="12.75" customHeight="1">
      <c r="A460" s="1860">
        <v>4.0999999999999996</v>
      </c>
      <c r="B460" s="522" t="s">
        <v>1849</v>
      </c>
      <c r="C460" s="31">
        <v>11.2</v>
      </c>
      <c r="D460" s="713" t="s">
        <v>11</v>
      </c>
      <c r="E460" s="1755">
        <v>920.17</v>
      </c>
      <c r="F460" s="1864">
        <f t="shared" si="21"/>
        <v>10305.9</v>
      </c>
      <c r="G460" s="44"/>
    </row>
    <row r="461" spans="1:8" ht="12.75" customHeight="1">
      <c r="A461" s="1860">
        <v>4.2</v>
      </c>
      <c r="B461" s="522" t="s">
        <v>1850</v>
      </c>
      <c r="C461" s="31">
        <v>61.2</v>
      </c>
      <c r="D461" s="713" t="s">
        <v>11</v>
      </c>
      <c r="E461" s="1755">
        <v>935.33</v>
      </c>
      <c r="F461" s="1864">
        <f t="shared" si="21"/>
        <v>57242.2</v>
      </c>
      <c r="G461" s="44"/>
    </row>
    <row r="462" spans="1:8" ht="12.75" customHeight="1">
      <c r="A462" s="1860">
        <v>4.3</v>
      </c>
      <c r="B462" s="522" t="s">
        <v>1851</v>
      </c>
      <c r="C462" s="31">
        <v>4.82</v>
      </c>
      <c r="D462" s="713" t="s">
        <v>11</v>
      </c>
      <c r="E462" s="1755">
        <v>1096.42</v>
      </c>
      <c r="F462" s="1864">
        <f t="shared" si="21"/>
        <v>5284.74</v>
      </c>
      <c r="G462" s="44"/>
    </row>
    <row r="463" spans="1:8" s="1546" customFormat="1">
      <c r="A463" s="1860"/>
      <c r="B463" s="534"/>
      <c r="C463" s="31"/>
      <c r="D463" s="713"/>
      <c r="E463" s="1755"/>
      <c r="F463" s="1864">
        <f t="shared" si="21"/>
        <v>0</v>
      </c>
      <c r="G463" s="44"/>
      <c r="H463" s="44"/>
    </row>
    <row r="464" spans="1:8" s="1546" customFormat="1" ht="12.75" customHeight="1">
      <c r="A464" s="1861">
        <v>5</v>
      </c>
      <c r="B464" s="819" t="s">
        <v>586</v>
      </c>
      <c r="C464" s="31"/>
      <c r="D464" s="713"/>
      <c r="E464" s="1755"/>
      <c r="F464" s="1864">
        <f t="shared" si="21"/>
        <v>0</v>
      </c>
      <c r="G464" s="44"/>
      <c r="H464" s="44"/>
    </row>
    <row r="465" spans="1:11" s="1546" customFormat="1" ht="12.75" customHeight="1">
      <c r="A465" s="1860">
        <v>5.0999999999999996</v>
      </c>
      <c r="B465" s="534" t="s">
        <v>377</v>
      </c>
      <c r="C465" s="31">
        <v>80.37</v>
      </c>
      <c r="D465" s="713" t="s">
        <v>11</v>
      </c>
      <c r="E465" s="1755">
        <v>312.7</v>
      </c>
      <c r="F465" s="1864">
        <f t="shared" si="21"/>
        <v>25131.7</v>
      </c>
      <c r="G465" s="44"/>
      <c r="H465" s="44"/>
    </row>
    <row r="466" spans="1:11" s="1546" customFormat="1" ht="12.75" customHeight="1">
      <c r="A466" s="1860">
        <v>5.2</v>
      </c>
      <c r="B466" s="534" t="s">
        <v>152</v>
      </c>
      <c r="C466" s="31">
        <v>49.06</v>
      </c>
      <c r="D466" s="713" t="s">
        <v>11</v>
      </c>
      <c r="E466" s="1755">
        <v>331.47</v>
      </c>
      <c r="F466" s="1864">
        <f t="shared" si="21"/>
        <v>16261.92</v>
      </c>
      <c r="G466" s="44"/>
      <c r="H466" s="44"/>
    </row>
    <row r="467" spans="1:11" s="1546" customFormat="1" ht="12.75" customHeight="1">
      <c r="A467" s="1860">
        <v>5.3</v>
      </c>
      <c r="B467" s="534" t="s">
        <v>174</v>
      </c>
      <c r="C467" s="31">
        <v>27.63</v>
      </c>
      <c r="D467" s="713" t="s">
        <v>11</v>
      </c>
      <c r="E467" s="1755">
        <v>501.75</v>
      </c>
      <c r="F467" s="1864">
        <f t="shared" si="21"/>
        <v>13863.35</v>
      </c>
      <c r="G467" s="44"/>
      <c r="H467" s="44"/>
    </row>
    <row r="468" spans="1:11" s="1546" customFormat="1" ht="12.75" customHeight="1">
      <c r="A468" s="1860">
        <v>5.4</v>
      </c>
      <c r="B468" s="534" t="s">
        <v>1852</v>
      </c>
      <c r="C468" s="31">
        <v>111.17</v>
      </c>
      <c r="D468" s="713" t="s">
        <v>11</v>
      </c>
      <c r="E468" s="1755">
        <v>144</v>
      </c>
      <c r="F468" s="1864">
        <f t="shared" si="21"/>
        <v>16008.48</v>
      </c>
      <c r="G468" s="44"/>
      <c r="H468" s="44"/>
    </row>
    <row r="469" spans="1:11" s="1546" customFormat="1" ht="12.75" customHeight="1">
      <c r="A469" s="1860">
        <v>5.5</v>
      </c>
      <c r="B469" s="534" t="s">
        <v>1853</v>
      </c>
      <c r="C469" s="31">
        <v>17.39</v>
      </c>
      <c r="D469" s="713" t="s">
        <v>11</v>
      </c>
      <c r="E469" s="1755">
        <v>620.09</v>
      </c>
      <c r="F469" s="1864">
        <f t="shared" si="21"/>
        <v>10783.37</v>
      </c>
      <c r="G469" s="44"/>
      <c r="H469" s="44"/>
    </row>
    <row r="470" spans="1:11" s="1546" customFormat="1" ht="12.75" customHeight="1">
      <c r="A470" s="1860">
        <v>5.6</v>
      </c>
      <c r="B470" s="534" t="s">
        <v>765</v>
      </c>
      <c r="C470" s="31">
        <v>129.43</v>
      </c>
      <c r="D470" s="713" t="s">
        <v>1</v>
      </c>
      <c r="E470" s="1755">
        <v>82.21</v>
      </c>
      <c r="F470" s="1864">
        <f t="shared" si="21"/>
        <v>10640.44</v>
      </c>
      <c r="G470" s="44"/>
      <c r="H470" s="44"/>
    </row>
    <row r="471" spans="1:11" s="1546" customFormat="1" ht="8.25" customHeight="1">
      <c r="A471" s="1860"/>
      <c r="B471" s="534"/>
      <c r="C471" s="31"/>
      <c r="D471" s="713"/>
      <c r="E471" s="1755"/>
      <c r="F471" s="1864">
        <f t="shared" si="21"/>
        <v>0</v>
      </c>
      <c r="G471" s="44"/>
      <c r="H471" s="44"/>
    </row>
    <row r="472" spans="1:11" s="1546" customFormat="1" ht="12.75" customHeight="1">
      <c r="A472" s="1861">
        <v>6</v>
      </c>
      <c r="B472" s="819" t="s">
        <v>909</v>
      </c>
      <c r="C472" s="31"/>
      <c r="D472" s="713"/>
      <c r="E472" s="1755"/>
      <c r="F472" s="1864">
        <f t="shared" si="21"/>
        <v>0</v>
      </c>
      <c r="G472" s="44"/>
      <c r="H472" s="44"/>
    </row>
    <row r="473" spans="1:11" s="1546" customFormat="1" ht="12.75" customHeight="1">
      <c r="A473" s="1860">
        <v>6.1</v>
      </c>
      <c r="B473" s="534" t="s">
        <v>1854</v>
      </c>
      <c r="C473" s="31">
        <v>4.2</v>
      </c>
      <c r="D473" s="713" t="s">
        <v>11</v>
      </c>
      <c r="E473" s="1755">
        <v>5525.2</v>
      </c>
      <c r="F473" s="1864">
        <f t="shared" si="21"/>
        <v>23205.84</v>
      </c>
      <c r="G473" s="44"/>
      <c r="H473" s="44"/>
      <c r="J473" s="44"/>
    </row>
    <row r="474" spans="1:11" s="1546" customFormat="1" ht="6.75" customHeight="1">
      <c r="A474" s="1860"/>
      <c r="B474" s="534"/>
      <c r="C474" s="31"/>
      <c r="D474" s="713"/>
      <c r="E474" s="1755"/>
      <c r="F474" s="1864">
        <f t="shared" si="21"/>
        <v>0</v>
      </c>
      <c r="G474" s="44"/>
      <c r="H474" s="44"/>
    </row>
    <row r="475" spans="1:11" s="1546" customFormat="1" ht="12.75" customHeight="1">
      <c r="A475" s="1861">
        <v>7</v>
      </c>
      <c r="B475" s="819" t="s">
        <v>904</v>
      </c>
      <c r="C475" s="31"/>
      <c r="D475" s="713"/>
      <c r="E475" s="1755"/>
      <c r="F475" s="1864">
        <f t="shared" si="21"/>
        <v>0</v>
      </c>
      <c r="G475" s="44"/>
      <c r="H475" s="44"/>
    </row>
    <row r="476" spans="1:11" s="1546" customFormat="1" ht="12.75" customHeight="1">
      <c r="A476" s="1860">
        <v>7.1</v>
      </c>
      <c r="B476" s="534" t="s">
        <v>823</v>
      </c>
      <c r="C476" s="31">
        <v>1</v>
      </c>
      <c r="D476" s="713" t="s">
        <v>42</v>
      </c>
      <c r="E476" s="1755">
        <v>5000</v>
      </c>
      <c r="F476" s="1864">
        <f t="shared" si="21"/>
        <v>5000</v>
      </c>
      <c r="G476" s="44"/>
      <c r="H476" s="44"/>
      <c r="I476" s="44"/>
      <c r="J476" s="44"/>
      <c r="K476" s="44"/>
    </row>
    <row r="477" spans="1:11" s="1546" customFormat="1" ht="12.75" customHeight="1">
      <c r="A477" s="1860">
        <v>7.2</v>
      </c>
      <c r="B477" s="534" t="s">
        <v>1855</v>
      </c>
      <c r="C477" s="31">
        <v>6</v>
      </c>
      <c r="D477" s="713" t="s">
        <v>3</v>
      </c>
      <c r="E477" s="1755">
        <v>850</v>
      </c>
      <c r="F477" s="1864">
        <f t="shared" si="21"/>
        <v>5100</v>
      </c>
      <c r="G477" s="44"/>
      <c r="H477" s="44"/>
    </row>
    <row r="478" spans="1:11" s="1546" customFormat="1" ht="12.75" customHeight="1">
      <c r="A478" s="1860">
        <v>7.3</v>
      </c>
      <c r="B478" s="534" t="s">
        <v>876</v>
      </c>
      <c r="C478" s="31">
        <v>1</v>
      </c>
      <c r="D478" s="713" t="s">
        <v>3</v>
      </c>
      <c r="E478" s="1755">
        <v>5000</v>
      </c>
      <c r="F478" s="1864">
        <f t="shared" si="21"/>
        <v>5000</v>
      </c>
      <c r="G478" s="44"/>
      <c r="H478" s="44"/>
    </row>
    <row r="479" spans="1:11" s="1546" customFormat="1" ht="12.75" customHeight="1">
      <c r="A479" s="1860"/>
      <c r="B479" s="534"/>
      <c r="C479" s="31"/>
      <c r="D479" s="713"/>
      <c r="E479" s="1755"/>
      <c r="F479" s="1864"/>
      <c r="G479" s="44"/>
      <c r="H479" s="44"/>
    </row>
    <row r="480" spans="1:11" s="1539" customFormat="1" ht="16.5" customHeight="1">
      <c r="A480" s="1873"/>
      <c r="B480" s="1827" t="s">
        <v>2121</v>
      </c>
      <c r="C480" s="1827"/>
      <c r="D480" s="1827"/>
      <c r="E480" s="1828"/>
      <c r="F480" s="1874">
        <f>SUM(F444:F478)</f>
        <v>344504.14</v>
      </c>
      <c r="G480" s="1741"/>
    </row>
    <row r="481" spans="1:12" s="44" customFormat="1" ht="12.75" customHeight="1">
      <c r="A481" s="1860"/>
      <c r="B481" s="1767"/>
      <c r="C481" s="31">
        <v>0</v>
      </c>
      <c r="D481" s="713"/>
      <c r="E481" s="1755"/>
      <c r="F481" s="1864">
        <f>+ROUND((E481*C481),2)</f>
        <v>0</v>
      </c>
      <c r="G481" s="841"/>
      <c r="H481" s="841"/>
      <c r="I481" s="841"/>
      <c r="J481" s="841"/>
    </row>
    <row r="482" spans="1:12" s="44" customFormat="1" ht="12.75" customHeight="1">
      <c r="A482" s="1857" t="s">
        <v>912</v>
      </c>
      <c r="B482" s="819" t="s">
        <v>1668</v>
      </c>
      <c r="C482" s="31"/>
      <c r="D482" s="713"/>
      <c r="E482" s="1755"/>
      <c r="F482" s="1864">
        <f>+ROUND((E482*C482),2)</f>
        <v>0</v>
      </c>
    </row>
    <row r="483" spans="1:12">
      <c r="A483" s="1860"/>
      <c r="B483" s="522"/>
      <c r="C483" s="31"/>
      <c r="D483" s="713"/>
      <c r="E483" s="1755"/>
      <c r="F483" s="1864"/>
      <c r="G483" s="44"/>
    </row>
    <row r="484" spans="1:12">
      <c r="A484" s="1860">
        <v>1</v>
      </c>
      <c r="B484" s="522" t="s">
        <v>37</v>
      </c>
      <c r="C484" s="31">
        <v>1</v>
      </c>
      <c r="D484" s="713" t="s">
        <v>42</v>
      </c>
      <c r="E484" s="1755">
        <v>2500</v>
      </c>
      <c r="F484" s="1864">
        <f>ROUND(C484*E484,2)</f>
        <v>2500</v>
      </c>
      <c r="G484" s="44"/>
    </row>
    <row r="485" spans="1:12">
      <c r="A485" s="1860"/>
      <c r="B485" s="522"/>
      <c r="C485" s="31"/>
      <c r="D485" s="1794"/>
      <c r="E485" s="1755"/>
      <c r="F485" s="1864"/>
      <c r="G485" s="44"/>
    </row>
    <row r="486" spans="1:12">
      <c r="A486" s="1861">
        <v>2</v>
      </c>
      <c r="B486" s="819" t="s">
        <v>38</v>
      </c>
      <c r="C486" s="31"/>
      <c r="D486" s="1794"/>
      <c r="E486" s="1755"/>
      <c r="F486" s="1864"/>
      <c r="G486" s="44"/>
    </row>
    <row r="487" spans="1:12">
      <c r="A487" s="1860">
        <v>2.1</v>
      </c>
      <c r="B487" s="522" t="s">
        <v>879</v>
      </c>
      <c r="C487" s="31">
        <v>16.09</v>
      </c>
      <c r="D487" s="713" t="s">
        <v>2</v>
      </c>
      <c r="E487" s="1755">
        <v>334.5</v>
      </c>
      <c r="F487" s="1864">
        <f>ROUND(C487*E487,2)</f>
        <v>5382.11</v>
      </c>
      <c r="G487" s="44"/>
    </row>
    <row r="488" spans="1:12" s="1739" customFormat="1" ht="25.5">
      <c r="A488" s="1860">
        <v>2.2000000000000002</v>
      </c>
      <c r="B488" s="717" t="s">
        <v>1957</v>
      </c>
      <c r="C488" s="31">
        <v>6.93</v>
      </c>
      <c r="D488" s="713" t="s">
        <v>2</v>
      </c>
      <c r="E488" s="1755">
        <v>90</v>
      </c>
      <c r="F488" s="1864">
        <f>ROUND(C488*E488,2)</f>
        <v>623.70000000000005</v>
      </c>
      <c r="G488" s="842"/>
      <c r="H488" s="842"/>
      <c r="I488" s="842"/>
      <c r="J488" s="842"/>
      <c r="K488" s="842"/>
      <c r="L488" s="842"/>
    </row>
    <row r="489" spans="1:12" ht="25.5">
      <c r="A489" s="1860">
        <v>2.2999999999999998</v>
      </c>
      <c r="B489" s="717" t="s">
        <v>1579</v>
      </c>
      <c r="C489" s="31">
        <v>10.99</v>
      </c>
      <c r="D489" s="713" t="s">
        <v>2</v>
      </c>
      <c r="E489" s="1755">
        <v>210</v>
      </c>
      <c r="F489" s="1864">
        <f>ROUND(C489*E489,2)</f>
        <v>2307.9</v>
      </c>
      <c r="G489" s="44"/>
    </row>
    <row r="490" spans="1:12">
      <c r="A490" s="1860"/>
      <c r="B490" s="522"/>
      <c r="C490" s="31"/>
      <c r="D490" s="713"/>
      <c r="E490" s="1755"/>
      <c r="F490" s="1864"/>
      <c r="G490" s="44"/>
    </row>
    <row r="491" spans="1:12">
      <c r="A491" s="1861">
        <v>3</v>
      </c>
      <c r="B491" s="819" t="s">
        <v>2249</v>
      </c>
      <c r="C491" s="31"/>
      <c r="D491" s="713"/>
      <c r="E491" s="1755"/>
      <c r="F491" s="1864"/>
      <c r="G491" s="44"/>
    </row>
    <row r="492" spans="1:12">
      <c r="A492" s="1860">
        <v>3.1</v>
      </c>
      <c r="B492" s="522" t="s">
        <v>1669</v>
      </c>
      <c r="C492" s="31">
        <v>7.68</v>
      </c>
      <c r="D492" s="713" t="s">
        <v>2</v>
      </c>
      <c r="E492" s="1755">
        <v>8873.18</v>
      </c>
      <c r="F492" s="1864">
        <f>ROUND(C492*E492,2)</f>
        <v>68146.02</v>
      </c>
      <c r="G492" s="44"/>
    </row>
    <row r="493" spans="1:12">
      <c r="A493" s="1860">
        <v>3.2</v>
      </c>
      <c r="B493" s="522" t="s">
        <v>1670</v>
      </c>
      <c r="C493" s="31">
        <v>0.11</v>
      </c>
      <c r="D493" s="713" t="s">
        <v>2</v>
      </c>
      <c r="E493" s="1755">
        <v>25929.37</v>
      </c>
      <c r="F493" s="1864">
        <f>ROUND(C493*E493,2)</f>
        <v>2852.23</v>
      </c>
      <c r="G493" s="44"/>
    </row>
    <row r="494" spans="1:12">
      <c r="A494" s="1860">
        <v>3.3</v>
      </c>
      <c r="B494" s="522" t="s">
        <v>1671</v>
      </c>
      <c r="C494" s="31">
        <v>0.67</v>
      </c>
      <c r="D494" s="713" t="s">
        <v>2</v>
      </c>
      <c r="E494" s="1755">
        <v>21355.46</v>
      </c>
      <c r="F494" s="1864">
        <f>ROUND(C494*E494,2)</f>
        <v>14308.16</v>
      </c>
      <c r="G494" s="44"/>
    </row>
    <row r="495" spans="1:12">
      <c r="A495" s="1860">
        <v>3.4</v>
      </c>
      <c r="B495" s="522" t="s">
        <v>1672</v>
      </c>
      <c r="C495" s="31">
        <v>8.67</v>
      </c>
      <c r="D495" s="713" t="s">
        <v>2</v>
      </c>
      <c r="E495" s="1755">
        <v>14389.49</v>
      </c>
      <c r="F495" s="1864">
        <f>ROUND(C495*E495,2)</f>
        <v>124756.88</v>
      </c>
      <c r="G495" s="44"/>
    </row>
    <row r="496" spans="1:12">
      <c r="A496" s="1860">
        <v>3.5</v>
      </c>
      <c r="B496" s="522" t="s">
        <v>1673</v>
      </c>
      <c r="C496" s="31">
        <v>2</v>
      </c>
      <c r="D496" s="713" t="s">
        <v>3</v>
      </c>
      <c r="E496" s="1755">
        <v>16035.47</v>
      </c>
      <c r="F496" s="1864">
        <f>ROUND(C496*E496,2)</f>
        <v>32070.94</v>
      </c>
      <c r="G496" s="44"/>
    </row>
    <row r="497" spans="1:8">
      <c r="A497" s="1860"/>
      <c r="B497" s="522"/>
      <c r="C497" s="31"/>
      <c r="D497" s="713"/>
      <c r="E497" s="1755"/>
      <c r="F497" s="1864"/>
      <c r="G497" s="44"/>
    </row>
    <row r="498" spans="1:8">
      <c r="A498" s="1861">
        <v>4</v>
      </c>
      <c r="B498" s="819" t="s">
        <v>884</v>
      </c>
      <c r="C498" s="31"/>
      <c r="D498" s="713"/>
      <c r="E498" s="1755"/>
      <c r="F498" s="1864"/>
      <c r="G498" s="44"/>
      <c r="H498" s="510"/>
    </row>
    <row r="499" spans="1:8">
      <c r="A499" s="1860">
        <v>4.0999999999999996</v>
      </c>
      <c r="B499" s="522" t="s">
        <v>885</v>
      </c>
      <c r="C499" s="31">
        <v>124.08</v>
      </c>
      <c r="D499" s="713" t="s">
        <v>11</v>
      </c>
      <c r="E499" s="1755">
        <v>920.17</v>
      </c>
      <c r="F499" s="1864">
        <f t="shared" ref="F499:F511" si="22">ROUND(C499*E499,2)</f>
        <v>114174.69</v>
      </c>
      <c r="G499" s="44"/>
    </row>
    <row r="500" spans="1:8">
      <c r="A500" s="1860">
        <v>4.2</v>
      </c>
      <c r="B500" s="522" t="s">
        <v>1674</v>
      </c>
      <c r="C500" s="31">
        <v>4.51</v>
      </c>
      <c r="D500" s="713" t="s">
        <v>11</v>
      </c>
      <c r="E500" s="1755">
        <v>833.75</v>
      </c>
      <c r="F500" s="1864">
        <f t="shared" si="22"/>
        <v>3760.21</v>
      </c>
      <c r="G500" s="44"/>
    </row>
    <row r="501" spans="1:8">
      <c r="A501" s="1860"/>
      <c r="B501" s="522"/>
      <c r="C501" s="31"/>
      <c r="D501" s="713"/>
      <c r="E501" s="1755"/>
      <c r="F501" s="1864"/>
      <c r="G501" s="44"/>
    </row>
    <row r="502" spans="1:8">
      <c r="A502" s="1861">
        <v>5</v>
      </c>
      <c r="B502" s="819" t="s">
        <v>886</v>
      </c>
      <c r="C502" s="31"/>
      <c r="D502" s="713"/>
      <c r="E502" s="1755"/>
      <c r="F502" s="1864"/>
      <c r="G502" s="44"/>
    </row>
    <row r="503" spans="1:8">
      <c r="A503" s="1860">
        <v>5.0999999999999996</v>
      </c>
      <c r="B503" s="522" t="s">
        <v>1153</v>
      </c>
      <c r="C503" s="31">
        <v>334.81</v>
      </c>
      <c r="D503" s="713" t="s">
        <v>11</v>
      </c>
      <c r="E503" s="1755">
        <v>331.47</v>
      </c>
      <c r="F503" s="1864">
        <f t="shared" si="22"/>
        <v>110979.47</v>
      </c>
      <c r="G503" s="44"/>
    </row>
    <row r="504" spans="1:8">
      <c r="A504" s="1868">
        <v>5.5</v>
      </c>
      <c r="B504" s="1795" t="s">
        <v>618</v>
      </c>
      <c r="C504" s="1813">
        <v>201.45</v>
      </c>
      <c r="D504" s="1821" t="s">
        <v>11</v>
      </c>
      <c r="E504" s="1820">
        <v>82.21</v>
      </c>
      <c r="F504" s="1879">
        <f t="shared" si="22"/>
        <v>16561.2</v>
      </c>
      <c r="G504" s="44"/>
    </row>
    <row r="505" spans="1:8">
      <c r="A505" s="1860">
        <v>5.6</v>
      </c>
      <c r="B505" s="522" t="s">
        <v>1675</v>
      </c>
      <c r="C505" s="31">
        <v>61.58</v>
      </c>
      <c r="D505" s="713" t="s">
        <v>11</v>
      </c>
      <c r="E505" s="1755">
        <v>620.09</v>
      </c>
      <c r="F505" s="1864">
        <f t="shared" si="22"/>
        <v>38185.14</v>
      </c>
      <c r="G505" s="44"/>
    </row>
    <row r="506" spans="1:8">
      <c r="A506" s="1860">
        <v>5.6</v>
      </c>
      <c r="B506" s="522" t="s">
        <v>1676</v>
      </c>
      <c r="C506" s="31">
        <v>46.2</v>
      </c>
      <c r="D506" s="713" t="s">
        <v>11</v>
      </c>
      <c r="E506" s="1755">
        <v>863.74</v>
      </c>
      <c r="F506" s="1864">
        <f t="shared" si="22"/>
        <v>39904.79</v>
      </c>
      <c r="G506" s="44"/>
    </row>
    <row r="507" spans="1:8">
      <c r="A507" s="1860">
        <v>5.7</v>
      </c>
      <c r="B507" s="522" t="s">
        <v>889</v>
      </c>
      <c r="C507" s="31">
        <v>86.58</v>
      </c>
      <c r="D507" s="713" t="s">
        <v>11</v>
      </c>
      <c r="E507" s="1755">
        <v>501.75</v>
      </c>
      <c r="F507" s="1864">
        <f t="shared" si="22"/>
        <v>43441.52</v>
      </c>
      <c r="G507" s="44"/>
    </row>
    <row r="508" spans="1:8">
      <c r="A508" s="1860">
        <v>5.8</v>
      </c>
      <c r="B508" s="522" t="s">
        <v>890</v>
      </c>
      <c r="C508" s="31">
        <v>54.95</v>
      </c>
      <c r="D508" s="713" t="s">
        <v>1</v>
      </c>
      <c r="E508" s="1755">
        <v>237.97</v>
      </c>
      <c r="F508" s="1864">
        <f t="shared" si="22"/>
        <v>13076.45</v>
      </c>
      <c r="G508" s="44"/>
    </row>
    <row r="509" spans="1:8">
      <c r="A509" s="1860">
        <v>5.9</v>
      </c>
      <c r="B509" s="522" t="s">
        <v>1677</v>
      </c>
      <c r="C509" s="31">
        <v>28.56</v>
      </c>
      <c r="D509" s="713" t="s">
        <v>11</v>
      </c>
      <c r="E509" s="1755">
        <v>777.08</v>
      </c>
      <c r="F509" s="1864">
        <f t="shared" si="22"/>
        <v>22193.4</v>
      </c>
      <c r="G509" s="44"/>
    </row>
    <row r="510" spans="1:8">
      <c r="A510" s="1860">
        <v>5.0999999999999996</v>
      </c>
      <c r="B510" s="522" t="s">
        <v>202</v>
      </c>
      <c r="C510" s="31">
        <v>334.81</v>
      </c>
      <c r="D510" s="713" t="s">
        <v>11</v>
      </c>
      <c r="E510" s="1755">
        <v>144</v>
      </c>
      <c r="F510" s="1864">
        <f t="shared" si="22"/>
        <v>48212.639999999999</v>
      </c>
      <c r="G510" s="44"/>
    </row>
    <row r="511" spans="1:8">
      <c r="A511" s="1860">
        <v>5.1100000000000003</v>
      </c>
      <c r="B511" s="522" t="s">
        <v>862</v>
      </c>
      <c r="C511" s="31">
        <v>38.5</v>
      </c>
      <c r="D511" s="713" t="s">
        <v>1</v>
      </c>
      <c r="E511" s="1755">
        <v>530.77</v>
      </c>
      <c r="F511" s="1864">
        <f t="shared" si="22"/>
        <v>20434.650000000001</v>
      </c>
      <c r="G511" s="44"/>
    </row>
    <row r="512" spans="1:8" ht="5.25" customHeight="1">
      <c r="A512" s="1860"/>
      <c r="B512" s="522"/>
      <c r="C512" s="31"/>
      <c r="D512" s="713"/>
      <c r="E512" s="1755"/>
      <c r="F512" s="1864"/>
      <c r="G512" s="44"/>
    </row>
    <row r="513" spans="1:7">
      <c r="A513" s="1861">
        <v>6</v>
      </c>
      <c r="B513" s="819" t="s">
        <v>892</v>
      </c>
      <c r="C513" s="31"/>
      <c r="D513" s="713"/>
      <c r="E513" s="1755"/>
      <c r="F513" s="1864"/>
      <c r="G513" s="44"/>
    </row>
    <row r="514" spans="1:7">
      <c r="A514" s="1860">
        <v>6.1</v>
      </c>
      <c r="B514" s="522" t="s">
        <v>893</v>
      </c>
      <c r="C514" s="31">
        <v>1</v>
      </c>
      <c r="D514" s="713" t="s">
        <v>3</v>
      </c>
      <c r="E514" s="1755">
        <v>3500</v>
      </c>
      <c r="F514" s="1864">
        <f t="shared" ref="F514:F526" si="23">ROUND(C514*E514,2)</f>
        <v>3500</v>
      </c>
      <c r="G514" s="44"/>
    </row>
    <row r="515" spans="1:7">
      <c r="A515" s="1860">
        <v>6.2</v>
      </c>
      <c r="B515" s="522" t="s">
        <v>894</v>
      </c>
      <c r="C515" s="31">
        <v>1</v>
      </c>
      <c r="D515" s="713" t="s">
        <v>3</v>
      </c>
      <c r="E515" s="1755">
        <v>5681.82</v>
      </c>
      <c r="F515" s="1864">
        <f t="shared" si="23"/>
        <v>5681.82</v>
      </c>
      <c r="G515" s="44"/>
    </row>
    <row r="516" spans="1:7">
      <c r="A516" s="1860">
        <v>6.3</v>
      </c>
      <c r="B516" s="522" t="s">
        <v>811</v>
      </c>
      <c r="C516" s="31">
        <v>1</v>
      </c>
      <c r="D516" s="713" t="s">
        <v>3</v>
      </c>
      <c r="E516" s="1755">
        <v>5384.47</v>
      </c>
      <c r="F516" s="1864">
        <f t="shared" si="23"/>
        <v>5384.47</v>
      </c>
      <c r="G516" s="44"/>
    </row>
    <row r="517" spans="1:7">
      <c r="A517" s="1860">
        <v>6.4</v>
      </c>
      <c r="B517" s="522" t="s">
        <v>895</v>
      </c>
      <c r="C517" s="31">
        <v>1</v>
      </c>
      <c r="D517" s="713" t="s">
        <v>3</v>
      </c>
      <c r="E517" s="1755">
        <v>297.88</v>
      </c>
      <c r="F517" s="1864">
        <f t="shared" si="23"/>
        <v>297.88</v>
      </c>
      <c r="G517" s="44"/>
    </row>
    <row r="518" spans="1:7">
      <c r="A518" s="1860">
        <v>6.5</v>
      </c>
      <c r="B518" s="522" t="s">
        <v>896</v>
      </c>
      <c r="C518" s="31">
        <v>1</v>
      </c>
      <c r="D518" s="713" t="s">
        <v>3</v>
      </c>
      <c r="E518" s="1755">
        <v>401.21</v>
      </c>
      <c r="F518" s="1864">
        <f t="shared" si="23"/>
        <v>401.21</v>
      </c>
      <c r="G518" s="44"/>
    </row>
    <row r="519" spans="1:7">
      <c r="A519" s="1860">
        <v>6.6</v>
      </c>
      <c r="B519" s="522" t="s">
        <v>897</v>
      </c>
      <c r="C519" s="31">
        <v>1</v>
      </c>
      <c r="D519" s="713" t="s">
        <v>3</v>
      </c>
      <c r="E519" s="1755">
        <v>531</v>
      </c>
      <c r="F519" s="1864">
        <f t="shared" si="23"/>
        <v>531</v>
      </c>
      <c r="G519" s="44"/>
    </row>
    <row r="520" spans="1:7">
      <c r="A520" s="1860">
        <v>6.7</v>
      </c>
      <c r="B520" s="522" t="s">
        <v>898</v>
      </c>
      <c r="C520" s="31">
        <v>1</v>
      </c>
      <c r="D520" s="713" t="s">
        <v>3</v>
      </c>
      <c r="E520" s="1755">
        <v>3652.1</v>
      </c>
      <c r="F520" s="1864">
        <f t="shared" si="23"/>
        <v>3652.1</v>
      </c>
      <c r="G520" s="44"/>
    </row>
    <row r="521" spans="1:7">
      <c r="A521" s="1860">
        <v>6.8</v>
      </c>
      <c r="B521" s="522" t="s">
        <v>899</v>
      </c>
      <c r="C521" s="31">
        <v>3</v>
      </c>
      <c r="D521" s="713" t="s">
        <v>3</v>
      </c>
      <c r="E521" s="1755">
        <v>4000</v>
      </c>
      <c r="F521" s="1864">
        <f t="shared" si="23"/>
        <v>12000</v>
      </c>
      <c r="G521" s="44"/>
    </row>
    <row r="522" spans="1:7">
      <c r="A522" s="1860">
        <v>6.9</v>
      </c>
      <c r="B522" s="522" t="s">
        <v>900</v>
      </c>
      <c r="C522" s="31">
        <v>1</v>
      </c>
      <c r="D522" s="713" t="s">
        <v>3</v>
      </c>
      <c r="E522" s="1755">
        <v>5495.35</v>
      </c>
      <c r="F522" s="1864">
        <f t="shared" si="23"/>
        <v>5495.35</v>
      </c>
      <c r="G522" s="44"/>
    </row>
    <row r="523" spans="1:7">
      <c r="A523" s="1860">
        <v>6.1</v>
      </c>
      <c r="B523" s="522" t="s">
        <v>901</v>
      </c>
      <c r="C523" s="31">
        <v>1</v>
      </c>
      <c r="D523" s="713" t="s">
        <v>3</v>
      </c>
      <c r="E523" s="1755">
        <v>350000</v>
      </c>
      <c r="F523" s="1864">
        <f t="shared" si="23"/>
        <v>350000</v>
      </c>
      <c r="G523" s="44"/>
    </row>
    <row r="524" spans="1:7">
      <c r="A524" s="1860">
        <v>6.11</v>
      </c>
      <c r="B524" s="522" t="s">
        <v>902</v>
      </c>
      <c r="C524" s="31">
        <v>1</v>
      </c>
      <c r="D524" s="713" t="s">
        <v>3</v>
      </c>
      <c r="E524" s="1755">
        <v>45000</v>
      </c>
      <c r="F524" s="1864">
        <f t="shared" si="23"/>
        <v>45000</v>
      </c>
      <c r="G524" s="44"/>
    </row>
    <row r="525" spans="1:7">
      <c r="A525" s="1860">
        <v>6.12</v>
      </c>
      <c r="B525" s="522" t="s">
        <v>903</v>
      </c>
      <c r="C525" s="1794">
        <v>1</v>
      </c>
      <c r="D525" s="1794" t="s">
        <v>42</v>
      </c>
      <c r="E525" s="1794">
        <v>5000</v>
      </c>
      <c r="F525" s="1856">
        <f t="shared" si="23"/>
        <v>5000</v>
      </c>
      <c r="G525" s="44"/>
    </row>
    <row r="526" spans="1:7">
      <c r="A526" s="1860">
        <v>6.13</v>
      </c>
      <c r="B526" s="522" t="s">
        <v>818</v>
      </c>
      <c r="C526" s="31">
        <v>1</v>
      </c>
      <c r="D526" s="713" t="s">
        <v>42</v>
      </c>
      <c r="E526" s="1755">
        <v>6000</v>
      </c>
      <c r="F526" s="1864">
        <f t="shared" si="23"/>
        <v>6000</v>
      </c>
      <c r="G526" s="44"/>
    </row>
    <row r="527" spans="1:7">
      <c r="A527" s="1860"/>
      <c r="B527" s="522"/>
      <c r="C527" s="31"/>
      <c r="D527" s="713"/>
      <c r="E527" s="1755"/>
      <c r="F527" s="1864"/>
      <c r="G527" s="44"/>
    </row>
    <row r="528" spans="1:7">
      <c r="A528" s="1861">
        <v>7</v>
      </c>
      <c r="B528" s="819" t="s">
        <v>904</v>
      </c>
      <c r="C528" s="31"/>
      <c r="D528" s="713"/>
      <c r="E528" s="1755"/>
      <c r="F528" s="1864"/>
      <c r="G528" s="44"/>
    </row>
    <row r="529" spans="1:8">
      <c r="A529" s="1860">
        <v>7.1</v>
      </c>
      <c r="B529" s="522" t="s">
        <v>905</v>
      </c>
      <c r="C529" s="31">
        <v>8</v>
      </c>
      <c r="D529" s="713" t="s">
        <v>3</v>
      </c>
      <c r="E529" s="1755">
        <v>1431.87</v>
      </c>
      <c r="F529" s="1864">
        <f t="shared" ref="F529:F542" si="24">ROUND(C529*E529,2)</f>
        <v>11454.96</v>
      </c>
      <c r="G529" s="44"/>
    </row>
    <row r="530" spans="1:8">
      <c r="A530" s="1860">
        <v>7.2</v>
      </c>
      <c r="B530" s="522" t="s">
        <v>906</v>
      </c>
      <c r="C530" s="31">
        <v>10</v>
      </c>
      <c r="D530" s="713" t="s">
        <v>3</v>
      </c>
      <c r="E530" s="1755">
        <v>940.15</v>
      </c>
      <c r="F530" s="1864">
        <f t="shared" si="24"/>
        <v>9401.5</v>
      </c>
      <c r="G530" s="44"/>
    </row>
    <row r="531" spans="1:8">
      <c r="A531" s="1860">
        <v>7.3</v>
      </c>
      <c r="B531" s="522" t="s">
        <v>907</v>
      </c>
      <c r="C531" s="31">
        <v>8</v>
      </c>
      <c r="D531" s="713" t="s">
        <v>3</v>
      </c>
      <c r="E531" s="1755">
        <v>745</v>
      </c>
      <c r="F531" s="1864">
        <f t="shared" si="24"/>
        <v>5960</v>
      </c>
      <c r="G531" s="44"/>
    </row>
    <row r="532" spans="1:8">
      <c r="A532" s="1860">
        <v>7.4</v>
      </c>
      <c r="B532" s="522" t="s">
        <v>908</v>
      </c>
      <c r="C532" s="31">
        <v>1</v>
      </c>
      <c r="D532" s="713" t="s">
        <v>3</v>
      </c>
      <c r="E532" s="1755">
        <v>2424</v>
      </c>
      <c r="F532" s="1864">
        <f t="shared" si="24"/>
        <v>2424</v>
      </c>
      <c r="G532" s="44"/>
    </row>
    <row r="533" spans="1:8">
      <c r="A533" s="1860">
        <v>7.5</v>
      </c>
      <c r="B533" s="522" t="s">
        <v>823</v>
      </c>
      <c r="C533" s="31">
        <v>1</v>
      </c>
      <c r="D533" s="713" t="s">
        <v>42</v>
      </c>
      <c r="E533" s="1755"/>
      <c r="F533" s="1864">
        <f t="shared" si="24"/>
        <v>0</v>
      </c>
      <c r="G533" s="44"/>
    </row>
    <row r="534" spans="1:8">
      <c r="A534" s="1860"/>
      <c r="B534" s="522"/>
      <c r="C534" s="31"/>
      <c r="D534" s="713"/>
      <c r="E534" s="1755"/>
      <c r="F534" s="1864"/>
      <c r="G534" s="44"/>
    </row>
    <row r="535" spans="1:8">
      <c r="A535" s="1861">
        <v>8</v>
      </c>
      <c r="B535" s="819" t="s">
        <v>909</v>
      </c>
      <c r="C535" s="31"/>
      <c r="D535" s="713"/>
      <c r="E535" s="1755"/>
      <c r="F535" s="1864"/>
      <c r="G535" s="44"/>
    </row>
    <row r="536" spans="1:8">
      <c r="A536" s="1860">
        <v>8.1</v>
      </c>
      <c r="B536" s="522" t="s">
        <v>1678</v>
      </c>
      <c r="C536" s="31">
        <v>3.78</v>
      </c>
      <c r="D536" s="713" t="s">
        <v>11</v>
      </c>
      <c r="E536" s="1755">
        <v>2804.23</v>
      </c>
      <c r="F536" s="1864">
        <f t="shared" si="24"/>
        <v>10599.99</v>
      </c>
      <c r="G536" s="44"/>
      <c r="H536" s="510"/>
    </row>
    <row r="537" spans="1:8">
      <c r="A537" s="1860">
        <v>8.1999999999999993</v>
      </c>
      <c r="B537" s="522" t="s">
        <v>1679</v>
      </c>
      <c r="C537" s="31">
        <v>7.04</v>
      </c>
      <c r="D537" s="713" t="s">
        <v>11</v>
      </c>
      <c r="E537" s="1755">
        <v>2000</v>
      </c>
      <c r="F537" s="1864">
        <f t="shared" si="24"/>
        <v>14080</v>
      </c>
      <c r="G537" s="44"/>
      <c r="H537" s="510"/>
    </row>
    <row r="538" spans="1:8">
      <c r="A538" s="1860"/>
      <c r="B538" s="522"/>
      <c r="C538" s="31"/>
      <c r="D538" s="713"/>
      <c r="E538" s="1755"/>
      <c r="F538" s="1864"/>
      <c r="G538" s="44"/>
    </row>
    <row r="539" spans="1:8">
      <c r="A539" s="1861">
        <v>9</v>
      </c>
      <c r="B539" s="819" t="s">
        <v>910</v>
      </c>
      <c r="C539" s="31"/>
      <c r="D539" s="713"/>
      <c r="E539" s="1755"/>
      <c r="F539" s="1864"/>
      <c r="G539" s="44"/>
    </row>
    <row r="540" spans="1:8">
      <c r="A540" s="1860">
        <v>9.1</v>
      </c>
      <c r="B540" s="522" t="s">
        <v>911</v>
      </c>
      <c r="C540" s="31">
        <v>80.48</v>
      </c>
      <c r="D540" s="713" t="s">
        <v>155</v>
      </c>
      <c r="E540" s="1755">
        <v>450</v>
      </c>
      <c r="F540" s="1864">
        <f t="shared" si="24"/>
        <v>36216</v>
      </c>
      <c r="G540" s="44"/>
    </row>
    <row r="541" spans="1:8">
      <c r="A541" s="1860"/>
      <c r="B541" s="522"/>
      <c r="C541" s="31"/>
      <c r="D541" s="713"/>
      <c r="E541" s="1755"/>
      <c r="F541" s="1864"/>
      <c r="G541" s="44"/>
    </row>
    <row r="542" spans="1:8">
      <c r="A542" s="1860">
        <v>10</v>
      </c>
      <c r="B542" s="522" t="s">
        <v>876</v>
      </c>
      <c r="C542" s="31">
        <v>1</v>
      </c>
      <c r="D542" s="713" t="s">
        <v>42</v>
      </c>
      <c r="E542" s="1755">
        <v>2000</v>
      </c>
      <c r="F542" s="1864">
        <f t="shared" si="24"/>
        <v>2000</v>
      </c>
      <c r="G542" s="44"/>
    </row>
    <row r="543" spans="1:8" s="1539" customFormat="1" ht="16.5" customHeight="1">
      <c r="A543" s="1873"/>
      <c r="B543" s="1827" t="s">
        <v>2122</v>
      </c>
      <c r="C543" s="1827"/>
      <c r="D543" s="1827"/>
      <c r="E543" s="1828"/>
      <c r="F543" s="1874">
        <f>SUM(F482:F542)</f>
        <v>1258952.3799999999</v>
      </c>
      <c r="G543" s="1741"/>
    </row>
    <row r="544" spans="1:8" s="1546" customFormat="1" ht="12.75" customHeight="1">
      <c r="A544" s="1860"/>
      <c r="B544" s="522"/>
      <c r="C544" s="31"/>
      <c r="D544" s="522"/>
      <c r="E544" s="522"/>
      <c r="F544" s="1864"/>
      <c r="G544" s="44"/>
      <c r="H544" s="44"/>
    </row>
    <row r="545" spans="1:7">
      <c r="A545" s="1857" t="s">
        <v>2120</v>
      </c>
      <c r="B545" s="819" t="s">
        <v>2164</v>
      </c>
      <c r="C545" s="522">
        <v>0</v>
      </c>
      <c r="D545" s="522"/>
      <c r="E545" s="522">
        <v>0</v>
      </c>
      <c r="F545" s="1864"/>
      <c r="G545" s="44"/>
    </row>
    <row r="546" spans="1:7">
      <c r="A546" s="1860"/>
      <c r="B546" s="522"/>
      <c r="C546" s="31">
        <v>0</v>
      </c>
      <c r="D546" s="522"/>
      <c r="E546" s="522">
        <v>0</v>
      </c>
      <c r="F546" s="1864"/>
      <c r="G546" s="44"/>
    </row>
    <row r="547" spans="1:7">
      <c r="A547" s="1857" t="s">
        <v>2273</v>
      </c>
      <c r="B547" s="819" t="s">
        <v>2261</v>
      </c>
      <c r="C547" s="31"/>
      <c r="D547" s="522"/>
      <c r="E547" s="522"/>
      <c r="F547" s="1864"/>
      <c r="G547" s="44"/>
    </row>
    <row r="548" spans="1:7">
      <c r="A548" s="1860"/>
      <c r="B548" s="522"/>
      <c r="C548" s="31"/>
      <c r="D548" s="1794"/>
      <c r="E548" s="1755"/>
      <c r="F548" s="1864"/>
      <c r="G548" s="44"/>
    </row>
    <row r="549" spans="1:7">
      <c r="A549" s="1897">
        <v>1</v>
      </c>
      <c r="B549" s="819" t="s">
        <v>2165</v>
      </c>
      <c r="C549" s="31"/>
      <c r="D549" s="713"/>
      <c r="E549" s="1755">
        <v>0</v>
      </c>
      <c r="F549" s="1864"/>
      <c r="G549" s="44"/>
    </row>
    <row r="550" spans="1:7">
      <c r="A550" s="1868">
        <f>+A549+0.1</f>
        <v>1.1000000000000001</v>
      </c>
      <c r="B550" s="1795" t="s">
        <v>2166</v>
      </c>
      <c r="C550" s="1813">
        <v>2</v>
      </c>
      <c r="D550" s="1821" t="s">
        <v>578</v>
      </c>
      <c r="E550" s="1820">
        <v>20500</v>
      </c>
      <c r="F550" s="1879">
        <f>ROUND(C550*E550,2)</f>
        <v>41000</v>
      </c>
      <c r="G550" s="44"/>
    </row>
    <row r="551" spans="1:7">
      <c r="A551" s="1860"/>
      <c r="B551" s="522"/>
      <c r="C551" s="31"/>
      <c r="D551" s="713"/>
      <c r="E551" s="1755"/>
      <c r="F551" s="1864"/>
      <c r="G551" s="44"/>
    </row>
    <row r="552" spans="1:7">
      <c r="A552" s="1897">
        <v>2</v>
      </c>
      <c r="B552" s="819" t="s">
        <v>38</v>
      </c>
      <c r="C552" s="31"/>
      <c r="D552" s="713"/>
      <c r="E552" s="1755"/>
      <c r="F552" s="1864"/>
      <c r="G552" s="44"/>
    </row>
    <row r="553" spans="1:7">
      <c r="A553" s="1860">
        <v>2.1</v>
      </c>
      <c r="B553" s="522" t="s">
        <v>2266</v>
      </c>
      <c r="C553" s="31">
        <v>275.52</v>
      </c>
      <c r="D553" s="713" t="s">
        <v>2</v>
      </c>
      <c r="E553" s="1755">
        <v>334.5</v>
      </c>
      <c r="F553" s="1864">
        <f>ROUND(C553*E553,2)</f>
        <v>92161.44</v>
      </c>
      <c r="G553" s="44"/>
    </row>
    <row r="554" spans="1:7">
      <c r="A554" s="1860">
        <v>2.2000000000000002</v>
      </c>
      <c r="B554" s="522" t="s">
        <v>2167</v>
      </c>
      <c r="C554" s="31">
        <v>79.61</v>
      </c>
      <c r="D554" s="713" t="s">
        <v>2</v>
      </c>
      <c r="E554" s="1755">
        <v>183.5</v>
      </c>
      <c r="F554" s="1864">
        <f>ROUND(C554*E554,2)</f>
        <v>14608.44</v>
      </c>
      <c r="G554" s="44"/>
    </row>
    <row r="555" spans="1:7">
      <c r="A555" s="1860">
        <v>2.2999999999999998</v>
      </c>
      <c r="B555" s="522" t="s">
        <v>2168</v>
      </c>
      <c r="C555" s="31">
        <v>244.88</v>
      </c>
      <c r="D555" s="713" t="s">
        <v>2</v>
      </c>
      <c r="E555" s="1755">
        <v>210</v>
      </c>
      <c r="F555" s="1864">
        <f>ROUND(C555*E555,2)</f>
        <v>51424.800000000003</v>
      </c>
      <c r="G555" s="44"/>
    </row>
    <row r="556" spans="1:7">
      <c r="A556" s="1860"/>
      <c r="B556" s="522"/>
      <c r="C556" s="31"/>
      <c r="D556" s="713"/>
      <c r="E556" s="1755"/>
      <c r="F556" s="1864"/>
      <c r="G556" s="44"/>
    </row>
    <row r="557" spans="1:7">
      <c r="A557" s="1897">
        <v>3</v>
      </c>
      <c r="B557" s="819" t="s">
        <v>2274</v>
      </c>
      <c r="C557" s="31"/>
      <c r="D557" s="713"/>
      <c r="E557" s="1755"/>
      <c r="F557" s="1864"/>
      <c r="G557" s="44"/>
    </row>
    <row r="558" spans="1:7">
      <c r="A558" s="1860">
        <v>3.1</v>
      </c>
      <c r="B558" s="522" t="s">
        <v>2262</v>
      </c>
      <c r="C558" s="31">
        <v>36.46</v>
      </c>
      <c r="D558" s="713" t="s">
        <v>2</v>
      </c>
      <c r="E558" s="1755">
        <v>20809.66</v>
      </c>
      <c r="F558" s="1864">
        <f>ROUND(C558*E558,2)</f>
        <v>758720.2</v>
      </c>
      <c r="G558" s="44"/>
    </row>
    <row r="559" spans="1:7">
      <c r="A559" s="1860">
        <v>3.2</v>
      </c>
      <c r="B559" s="522" t="s">
        <v>2310</v>
      </c>
      <c r="C559" s="31">
        <v>29.98</v>
      </c>
      <c r="D559" s="713" t="s">
        <v>2</v>
      </c>
      <c r="E559" s="1755">
        <v>13096.66</v>
      </c>
      <c r="F559" s="1864">
        <f>ROUND(C559*E559,2)</f>
        <v>392637.87</v>
      </c>
      <c r="G559" s="44"/>
    </row>
    <row r="560" spans="1:7">
      <c r="A560" s="1860">
        <v>3.3</v>
      </c>
      <c r="B560" s="522" t="s">
        <v>2263</v>
      </c>
      <c r="C560" s="31">
        <v>0.81</v>
      </c>
      <c r="D560" s="713" t="s">
        <v>2</v>
      </c>
      <c r="E560" s="1755">
        <v>13682.2</v>
      </c>
      <c r="F560" s="1864">
        <f>ROUND(C560*E560,2)</f>
        <v>11082.58</v>
      </c>
      <c r="G560" s="44"/>
    </row>
    <row r="561" spans="1:7">
      <c r="A561" s="1860"/>
      <c r="B561" s="522"/>
      <c r="C561" s="31"/>
      <c r="D561" s="713"/>
      <c r="E561" s="1755"/>
      <c r="F561" s="1864"/>
      <c r="G561" s="44"/>
    </row>
    <row r="562" spans="1:7">
      <c r="A562" s="1897">
        <v>4</v>
      </c>
      <c r="B562" s="819" t="s">
        <v>586</v>
      </c>
      <c r="C562" s="31"/>
      <c r="D562" s="713"/>
      <c r="E562" s="1755"/>
      <c r="F562" s="1864"/>
      <c r="G562" s="44"/>
    </row>
    <row r="563" spans="1:7">
      <c r="A563" s="1860">
        <v>4.0999999999999996</v>
      </c>
      <c r="B563" s="522" t="s">
        <v>377</v>
      </c>
      <c r="C563" s="31">
        <v>161.94999999999999</v>
      </c>
      <c r="D563" s="713" t="s">
        <v>11</v>
      </c>
      <c r="E563" s="1755">
        <v>312.7</v>
      </c>
      <c r="F563" s="1864">
        <f>ROUND(C563*E563,2)</f>
        <v>50641.77</v>
      </c>
      <c r="G563" s="44"/>
    </row>
    <row r="564" spans="1:7">
      <c r="A564" s="1860">
        <v>4.2</v>
      </c>
      <c r="B564" s="522" t="s">
        <v>1788</v>
      </c>
      <c r="C564" s="31">
        <v>41.3</v>
      </c>
      <c r="D564" s="713" t="s">
        <v>11</v>
      </c>
      <c r="E564" s="1755">
        <v>331.47</v>
      </c>
      <c r="F564" s="1864">
        <f>ROUND(C564*E564,2)</f>
        <v>13689.71</v>
      </c>
      <c r="G564" s="44"/>
    </row>
    <row r="565" spans="1:7">
      <c r="A565" s="1860">
        <v>4.3</v>
      </c>
      <c r="B565" s="522" t="s">
        <v>170</v>
      </c>
      <c r="C565" s="31">
        <v>65.760000000000005</v>
      </c>
      <c r="D565" s="713" t="s">
        <v>11</v>
      </c>
      <c r="E565" s="1755">
        <v>518.98</v>
      </c>
      <c r="F565" s="1864">
        <f>ROUND(C565*E565,2)</f>
        <v>34128.120000000003</v>
      </c>
      <c r="G565" s="44"/>
    </row>
    <row r="566" spans="1:7">
      <c r="A566" s="1860">
        <v>4.4000000000000004</v>
      </c>
      <c r="B566" s="522" t="s">
        <v>2264</v>
      </c>
      <c r="C566" s="31">
        <v>98.97</v>
      </c>
      <c r="D566" s="713" t="s">
        <v>1</v>
      </c>
      <c r="E566" s="1755">
        <v>82.21</v>
      </c>
      <c r="F566" s="1864">
        <f>ROUND(C566*E566,2)</f>
        <v>8136.32</v>
      </c>
      <c r="G566" s="44"/>
    </row>
    <row r="567" spans="1:7">
      <c r="A567" s="1860"/>
      <c r="B567" s="522"/>
      <c r="C567" s="31"/>
      <c r="D567" s="713"/>
      <c r="E567" s="1755"/>
      <c r="F567" s="1864"/>
      <c r="G567" s="44"/>
    </row>
    <row r="568" spans="1:7">
      <c r="A568" s="1897">
        <v>5</v>
      </c>
      <c r="B568" s="819" t="s">
        <v>2265</v>
      </c>
      <c r="C568" s="31"/>
      <c r="D568" s="713"/>
      <c r="E568" s="1755"/>
      <c r="F568" s="1864"/>
      <c r="G568" s="44"/>
    </row>
    <row r="569" spans="1:7">
      <c r="A569" s="1860">
        <v>5.0999999999999996</v>
      </c>
      <c r="B569" s="522" t="s">
        <v>2275</v>
      </c>
      <c r="C569" s="1834">
        <v>2</v>
      </c>
      <c r="D569" s="713" t="s">
        <v>3</v>
      </c>
      <c r="E569" s="1755">
        <v>42500</v>
      </c>
      <c r="F569" s="1856">
        <f>ROUND(C569*E569,2)</f>
        <v>85000</v>
      </c>
      <c r="G569" s="44"/>
    </row>
    <row r="570" spans="1:7">
      <c r="A570" s="1860"/>
      <c r="B570" s="522"/>
      <c r="C570" s="31"/>
      <c r="D570" s="713"/>
      <c r="E570" s="1755"/>
      <c r="F570" s="1864"/>
      <c r="G570" s="44"/>
    </row>
    <row r="571" spans="1:7">
      <c r="A571" s="1860">
        <v>6</v>
      </c>
      <c r="B571" s="522" t="s">
        <v>2276</v>
      </c>
      <c r="C571" s="31">
        <v>1</v>
      </c>
      <c r="D571" s="713" t="s">
        <v>3</v>
      </c>
      <c r="E571" s="1755">
        <v>35500</v>
      </c>
      <c r="F571" s="1864">
        <f>ROUND(C571*E571,2)</f>
        <v>35500</v>
      </c>
      <c r="G571" s="44"/>
    </row>
    <row r="572" spans="1:7">
      <c r="A572" s="1860"/>
      <c r="B572" s="522"/>
      <c r="C572" s="31"/>
      <c r="D572" s="713"/>
      <c r="E572" s="1755"/>
      <c r="F572" s="1864"/>
      <c r="G572" s="44"/>
    </row>
    <row r="573" spans="1:7">
      <c r="A573" s="1897" t="s">
        <v>2277</v>
      </c>
      <c r="B573" s="819" t="s">
        <v>2278</v>
      </c>
      <c r="C573" s="31"/>
      <c r="D573" s="713"/>
      <c r="E573" s="1755"/>
      <c r="F573" s="1864"/>
      <c r="G573" s="44"/>
    </row>
    <row r="574" spans="1:7">
      <c r="A574" s="1860"/>
      <c r="B574" s="522"/>
      <c r="C574" s="31"/>
      <c r="D574" s="713"/>
      <c r="E574" s="1755"/>
      <c r="F574" s="1864"/>
      <c r="G574" s="44"/>
    </row>
    <row r="575" spans="1:7">
      <c r="A575" s="1897">
        <v>1</v>
      </c>
      <c r="B575" s="819" t="s">
        <v>2165</v>
      </c>
      <c r="C575" s="31"/>
      <c r="D575" s="713"/>
      <c r="E575" s="1755">
        <v>0</v>
      </c>
      <c r="F575" s="1864"/>
      <c r="G575" s="44"/>
    </row>
    <row r="576" spans="1:7">
      <c r="A576" s="1860">
        <f>+A575+0.1</f>
        <v>1.1000000000000001</v>
      </c>
      <c r="B576" s="522" t="s">
        <v>2166</v>
      </c>
      <c r="C576" s="31">
        <v>2</v>
      </c>
      <c r="D576" s="713" t="s">
        <v>578</v>
      </c>
      <c r="E576" s="1755">
        <v>20500</v>
      </c>
      <c r="F576" s="1864">
        <f>ROUND(C576*E576,2)</f>
        <v>41000</v>
      </c>
      <c r="G576" s="44"/>
    </row>
    <row r="577" spans="1:7">
      <c r="A577" s="1860"/>
      <c r="B577" s="522"/>
      <c r="C577" s="31"/>
      <c r="D577" s="713"/>
      <c r="E577" s="1755"/>
      <c r="F577" s="1864"/>
      <c r="G577" s="44"/>
    </row>
    <row r="578" spans="1:7">
      <c r="A578" s="1897">
        <v>2</v>
      </c>
      <c r="B578" s="819" t="s">
        <v>38</v>
      </c>
      <c r="C578" s="31"/>
      <c r="D578" s="713"/>
      <c r="E578" s="1755"/>
      <c r="F578" s="1864"/>
      <c r="G578" s="44"/>
    </row>
    <row r="579" spans="1:7">
      <c r="A579" s="1860">
        <v>2.1</v>
      </c>
      <c r="B579" s="522" t="s">
        <v>2266</v>
      </c>
      <c r="C579" s="31">
        <v>317.42</v>
      </c>
      <c r="D579" s="713" t="s">
        <v>2</v>
      </c>
      <c r="E579" s="1755">
        <v>334.5</v>
      </c>
      <c r="F579" s="1864">
        <f>ROUND(C579*E579,2)</f>
        <v>106176.99</v>
      </c>
      <c r="G579" s="44"/>
    </row>
    <row r="580" spans="1:7">
      <c r="A580" s="1860">
        <v>2.2000000000000002</v>
      </c>
      <c r="B580" s="522" t="s">
        <v>2167</v>
      </c>
      <c r="C580" s="31">
        <v>120.63</v>
      </c>
      <c r="D580" s="713" t="s">
        <v>2</v>
      </c>
      <c r="E580" s="1755">
        <v>183.5</v>
      </c>
      <c r="F580" s="1864">
        <f>ROUND(C580*E580,2)</f>
        <v>22135.61</v>
      </c>
      <c r="G580" s="44"/>
    </row>
    <row r="581" spans="1:7">
      <c r="A581" s="1860">
        <v>2.2999999999999998</v>
      </c>
      <c r="B581" s="522" t="s">
        <v>2168</v>
      </c>
      <c r="C581" s="31">
        <v>245.99</v>
      </c>
      <c r="D581" s="713" t="s">
        <v>2</v>
      </c>
      <c r="E581" s="1755">
        <v>210</v>
      </c>
      <c r="F581" s="1864">
        <f>ROUND(C581*E581,2)</f>
        <v>51657.9</v>
      </c>
      <c r="G581" s="44"/>
    </row>
    <row r="582" spans="1:7">
      <c r="A582" s="1860"/>
      <c r="B582" s="522"/>
      <c r="C582" s="31"/>
      <c r="D582" s="713"/>
      <c r="E582" s="1755"/>
      <c r="F582" s="1864"/>
      <c r="G582" s="44"/>
    </row>
    <row r="583" spans="1:7">
      <c r="A583" s="1897">
        <v>3</v>
      </c>
      <c r="B583" s="819" t="s">
        <v>2281</v>
      </c>
      <c r="C583" s="31"/>
      <c r="D583" s="713"/>
      <c r="E583" s="1755"/>
      <c r="F583" s="1864"/>
      <c r="G583" s="44"/>
    </row>
    <row r="584" spans="1:7">
      <c r="A584" s="1860">
        <v>3.1</v>
      </c>
      <c r="B584" s="522" t="s">
        <v>2262</v>
      </c>
      <c r="C584" s="31">
        <v>30.3</v>
      </c>
      <c r="D584" s="713" t="s">
        <v>2</v>
      </c>
      <c r="E584" s="1755">
        <v>20809.66</v>
      </c>
      <c r="F584" s="1864">
        <f>ROUND(C584*E584,2)</f>
        <v>630532.69999999995</v>
      </c>
      <c r="G584" s="44"/>
    </row>
    <row r="585" spans="1:7">
      <c r="A585" s="1860">
        <v>3.2</v>
      </c>
      <c r="B585" s="522" t="s">
        <v>2312</v>
      </c>
      <c r="C585" s="31">
        <v>23.57</v>
      </c>
      <c r="D585" s="713" t="s">
        <v>2</v>
      </c>
      <c r="E585" s="1755">
        <v>13679.26</v>
      </c>
      <c r="F585" s="1864">
        <f>ROUND(C585*E585,2)</f>
        <v>322420.15999999997</v>
      </c>
      <c r="G585" s="44"/>
    </row>
    <row r="586" spans="1:7">
      <c r="A586" s="1860">
        <v>3.3</v>
      </c>
      <c r="B586" s="522" t="s">
        <v>2263</v>
      </c>
      <c r="C586" s="31">
        <v>0.97</v>
      </c>
      <c r="D586" s="713" t="s">
        <v>2</v>
      </c>
      <c r="E586" s="1755">
        <v>13682.2</v>
      </c>
      <c r="F586" s="1864">
        <f>ROUND(C586*E586,2)</f>
        <v>13271.73</v>
      </c>
      <c r="G586" s="44"/>
    </row>
    <row r="587" spans="1:7">
      <c r="A587" s="1860"/>
      <c r="B587" s="522"/>
      <c r="C587" s="31"/>
      <c r="D587" s="713"/>
      <c r="E587" s="1755"/>
      <c r="F587" s="1864"/>
      <c r="G587" s="44"/>
    </row>
    <row r="588" spans="1:7">
      <c r="A588" s="1897">
        <v>4</v>
      </c>
      <c r="B588" s="819" t="s">
        <v>586</v>
      </c>
      <c r="C588" s="31"/>
      <c r="D588" s="713"/>
      <c r="E588" s="1755"/>
      <c r="F588" s="1864"/>
      <c r="G588" s="44"/>
    </row>
    <row r="589" spans="1:7">
      <c r="A589" s="1860">
        <v>4.0999999999999996</v>
      </c>
      <c r="B589" s="522" t="s">
        <v>377</v>
      </c>
      <c r="C589" s="31">
        <v>253.18</v>
      </c>
      <c r="D589" s="713" t="s">
        <v>11</v>
      </c>
      <c r="E589" s="1755">
        <v>312.7</v>
      </c>
      <c r="F589" s="1864">
        <f>ROUND(C589*E589,2)</f>
        <v>79169.39</v>
      </c>
      <c r="G589" s="44"/>
    </row>
    <row r="590" spans="1:7">
      <c r="A590" s="1860">
        <v>4.2</v>
      </c>
      <c r="B590" s="522" t="s">
        <v>1788</v>
      </c>
      <c r="C590" s="31">
        <v>23.2</v>
      </c>
      <c r="D590" s="713" t="s">
        <v>11</v>
      </c>
      <c r="E590" s="1755">
        <v>331.47</v>
      </c>
      <c r="F590" s="1864">
        <f>ROUND(C590*E590,2)</f>
        <v>7690.1</v>
      </c>
      <c r="G590" s="44"/>
    </row>
    <row r="591" spans="1:7">
      <c r="A591" s="1860">
        <v>4.3</v>
      </c>
      <c r="B591" s="522" t="s">
        <v>170</v>
      </c>
      <c r="C591" s="31">
        <v>99.92</v>
      </c>
      <c r="D591" s="713" t="s">
        <v>11</v>
      </c>
      <c r="E591" s="1755">
        <v>518.98</v>
      </c>
      <c r="F591" s="1864">
        <f>ROUND(C591*E591,2)</f>
        <v>51856.480000000003</v>
      </c>
      <c r="G591" s="44"/>
    </row>
    <row r="592" spans="1:7">
      <c r="A592" s="1860">
        <v>4.4000000000000004</v>
      </c>
      <c r="B592" s="522" t="s">
        <v>2264</v>
      </c>
      <c r="C592" s="31">
        <v>111.82</v>
      </c>
      <c r="D592" s="713" t="s">
        <v>1</v>
      </c>
      <c r="E592" s="1755">
        <v>82.21</v>
      </c>
      <c r="F592" s="1864">
        <f>ROUND(C592*E592,2)</f>
        <v>9192.7199999999993</v>
      </c>
      <c r="G592" s="44"/>
    </row>
    <row r="593" spans="1:7">
      <c r="A593" s="1860"/>
      <c r="B593" s="522"/>
      <c r="C593" s="31"/>
      <c r="D593" s="713"/>
      <c r="E593" s="1755"/>
      <c r="F593" s="1864"/>
      <c r="G593" s="44"/>
    </row>
    <row r="594" spans="1:7">
      <c r="A594" s="1897">
        <v>5</v>
      </c>
      <c r="B594" s="819" t="s">
        <v>2265</v>
      </c>
      <c r="C594" s="31"/>
      <c r="D594" s="713"/>
      <c r="E594" s="1755"/>
      <c r="F594" s="1864"/>
      <c r="G594" s="44"/>
    </row>
    <row r="595" spans="1:7" ht="25.5">
      <c r="A595" s="1860">
        <v>5.0999999999999996</v>
      </c>
      <c r="B595" s="745" t="s">
        <v>2279</v>
      </c>
      <c r="C595" s="31">
        <v>2</v>
      </c>
      <c r="D595" s="713" t="s">
        <v>3</v>
      </c>
      <c r="E595" s="1755">
        <v>46696.74</v>
      </c>
      <c r="F595" s="1864">
        <f>ROUND(C595*E595,2)</f>
        <v>93393.48</v>
      </c>
      <c r="G595" s="44"/>
    </row>
    <row r="596" spans="1:7">
      <c r="A596" s="1868">
        <v>5.0999999999999996</v>
      </c>
      <c r="B596" s="1795" t="s">
        <v>2282</v>
      </c>
      <c r="C596" s="1813">
        <v>2</v>
      </c>
      <c r="D596" s="1821" t="s">
        <v>3</v>
      </c>
      <c r="E596" s="1820">
        <v>3500</v>
      </c>
      <c r="F596" s="1879">
        <f>ROUND(C596*E596,2)</f>
        <v>7000</v>
      </c>
      <c r="G596" s="44"/>
    </row>
    <row r="597" spans="1:7">
      <c r="A597" s="1860"/>
      <c r="B597" s="522"/>
      <c r="C597" s="31"/>
      <c r="D597" s="713"/>
      <c r="E597" s="1755"/>
      <c r="F597" s="1864"/>
      <c r="G597" s="44"/>
    </row>
    <row r="598" spans="1:7">
      <c r="A598" s="1860">
        <v>6</v>
      </c>
      <c r="B598" s="522" t="s">
        <v>2276</v>
      </c>
      <c r="C598" s="31">
        <v>2</v>
      </c>
      <c r="D598" s="713" t="s">
        <v>3</v>
      </c>
      <c r="E598" s="1755">
        <v>35500</v>
      </c>
      <c r="F598" s="1864">
        <f>ROUND(C598*E598,2)</f>
        <v>71000</v>
      </c>
      <c r="G598" s="44"/>
    </row>
    <row r="599" spans="1:7">
      <c r="A599" s="1860"/>
      <c r="B599" s="522"/>
      <c r="C599" s="31"/>
      <c r="D599" s="713"/>
      <c r="E599" s="1755"/>
      <c r="F599" s="1864"/>
      <c r="G599" s="44"/>
    </row>
    <row r="600" spans="1:7">
      <c r="A600" s="1897">
        <v>7</v>
      </c>
      <c r="B600" s="819" t="s">
        <v>25</v>
      </c>
      <c r="C600" s="31">
        <v>0</v>
      </c>
      <c r="D600" s="713"/>
      <c r="E600" s="1755">
        <v>0</v>
      </c>
      <c r="F600" s="1864">
        <v>0</v>
      </c>
      <c r="G600" s="44"/>
    </row>
    <row r="601" spans="1:7">
      <c r="A601" s="1860">
        <f>+A600+0.1</f>
        <v>7.1</v>
      </c>
      <c r="B601" s="522" t="s">
        <v>2169</v>
      </c>
      <c r="C601" s="31">
        <v>128.1</v>
      </c>
      <c r="D601" s="713" t="s">
        <v>1</v>
      </c>
      <c r="E601" s="1755">
        <v>8701.7199999999993</v>
      </c>
      <c r="F601" s="1864">
        <f>ROUND(C601*E601,2)</f>
        <v>1114690.33</v>
      </c>
      <c r="G601" s="44"/>
    </row>
    <row r="602" spans="1:7">
      <c r="A602" s="1860">
        <f>+A601+0.1</f>
        <v>7.2</v>
      </c>
      <c r="B602" s="522" t="s">
        <v>2170</v>
      </c>
      <c r="C602" s="31">
        <v>25.82</v>
      </c>
      <c r="D602" s="713" t="s">
        <v>1</v>
      </c>
      <c r="E602" s="1755">
        <v>7846.35</v>
      </c>
      <c r="F602" s="1864">
        <f>ROUND(C602*E602,2)</f>
        <v>202592.76</v>
      </c>
      <c r="G602" s="44"/>
    </row>
    <row r="603" spans="1:7">
      <c r="A603" s="1860">
        <f>+A602+0.1</f>
        <v>7.3</v>
      </c>
      <c r="B603" s="522" t="s">
        <v>2171</v>
      </c>
      <c r="C603" s="31">
        <v>33.35</v>
      </c>
      <c r="D603" s="713" t="s">
        <v>1</v>
      </c>
      <c r="E603" s="1755">
        <v>13130</v>
      </c>
      <c r="F603" s="1864">
        <f>ROUND(C603*E603,2)</f>
        <v>437885.5</v>
      </c>
      <c r="G603" s="44"/>
    </row>
    <row r="604" spans="1:7">
      <c r="A604" s="1860"/>
      <c r="B604" s="522"/>
      <c r="C604" s="31"/>
      <c r="D604" s="713"/>
      <c r="E604" s="1755">
        <v>0</v>
      </c>
      <c r="F604" s="1864">
        <v>0</v>
      </c>
      <c r="G604" s="44"/>
    </row>
    <row r="605" spans="1:7">
      <c r="A605" s="1897">
        <v>8</v>
      </c>
      <c r="B605" s="819" t="s">
        <v>2172</v>
      </c>
      <c r="C605" s="31"/>
      <c r="D605" s="713"/>
      <c r="E605" s="1755">
        <v>0</v>
      </c>
      <c r="F605" s="1864">
        <v>0</v>
      </c>
      <c r="G605" s="44"/>
    </row>
    <row r="606" spans="1:7">
      <c r="A606" s="1860">
        <f>+A605+0.1</f>
        <v>8.1</v>
      </c>
      <c r="B606" s="522" t="s">
        <v>2169</v>
      </c>
      <c r="C606" s="31">
        <v>94</v>
      </c>
      <c r="D606" s="713" t="s">
        <v>3</v>
      </c>
      <c r="E606" s="1755">
        <v>314.88</v>
      </c>
      <c r="F606" s="1864">
        <f>ROUND(C606*E606,2)</f>
        <v>29598.720000000001</v>
      </c>
      <c r="G606" s="44"/>
    </row>
    <row r="607" spans="1:7">
      <c r="A607" s="1860">
        <f>+A606+0.1</f>
        <v>8.1999999999999993</v>
      </c>
      <c r="B607" s="522" t="s">
        <v>2173</v>
      </c>
      <c r="C607" s="31">
        <v>26</v>
      </c>
      <c r="D607" s="713" t="s">
        <v>3</v>
      </c>
      <c r="E607" s="1755">
        <v>124.38</v>
      </c>
      <c r="F607" s="1864">
        <f>ROUND(C607*E607,2)</f>
        <v>3233.88</v>
      </c>
      <c r="G607" s="44"/>
    </row>
    <row r="608" spans="1:7">
      <c r="A608" s="1860">
        <f>+A607+0.1</f>
        <v>8.3000000000000007</v>
      </c>
      <c r="B608" s="522" t="s">
        <v>2171</v>
      </c>
      <c r="C608" s="31">
        <v>34</v>
      </c>
      <c r="D608" s="713" t="s">
        <v>3</v>
      </c>
      <c r="E608" s="1755">
        <v>839.32</v>
      </c>
      <c r="F608" s="1864">
        <f>ROUND(C608*E608,2)</f>
        <v>28536.880000000001</v>
      </c>
      <c r="G608" s="44"/>
    </row>
    <row r="609" spans="1:49">
      <c r="A609" s="1860"/>
      <c r="B609" s="522"/>
      <c r="C609" s="31"/>
      <c r="D609" s="713"/>
      <c r="E609" s="1755"/>
      <c r="F609" s="1864"/>
      <c r="G609" s="44"/>
    </row>
    <row r="610" spans="1:49" s="1539" customFormat="1" ht="16.5" customHeight="1">
      <c r="A610" s="1873"/>
      <c r="B610" s="1827" t="s">
        <v>2123</v>
      </c>
      <c r="C610" s="1827">
        <v>0</v>
      </c>
      <c r="D610" s="1827"/>
      <c r="E610" s="1828">
        <v>0</v>
      </c>
      <c r="F610" s="1874">
        <f>SUM(F550:F608)</f>
        <v>4911766.58</v>
      </c>
      <c r="G610" s="1741"/>
    </row>
    <row r="611" spans="1:49" s="44" customFormat="1" ht="12.75" customHeight="1">
      <c r="A611" s="1860"/>
      <c r="B611" s="1768"/>
      <c r="C611" s="31"/>
      <c r="D611" s="713"/>
      <c r="E611" s="522"/>
      <c r="F611" s="1864"/>
    </row>
    <row r="612" spans="1:49" s="1771" customFormat="1" ht="12.75" customHeight="1">
      <c r="A612" s="1857" t="s">
        <v>2323</v>
      </c>
      <c r="B612" s="819" t="s">
        <v>1581</v>
      </c>
      <c r="C612" s="31"/>
      <c r="D612" s="713"/>
      <c r="E612" s="522"/>
      <c r="F612" s="1864"/>
      <c r="G612" s="1769"/>
      <c r="H612" s="1770"/>
    </row>
    <row r="613" spans="1:49" s="1773" customFormat="1" ht="6" customHeight="1">
      <c r="A613" s="1861"/>
      <c r="B613" s="1794"/>
      <c r="C613" s="31"/>
      <c r="D613" s="713"/>
      <c r="E613" s="522"/>
      <c r="F613" s="1864"/>
      <c r="G613" s="1772"/>
      <c r="H613" s="44"/>
      <c r="I613" s="1744"/>
      <c r="J613" s="1740"/>
      <c r="K613" s="1756"/>
      <c r="L613" s="1756"/>
      <c r="M613" s="1756"/>
      <c r="N613" s="1756"/>
      <c r="O613" s="1756"/>
      <c r="P613" s="1756"/>
      <c r="Q613" s="1756"/>
      <c r="R613" s="1756"/>
      <c r="S613" s="1756"/>
      <c r="T613" s="1756"/>
      <c r="U613" s="1756"/>
    </row>
    <row r="614" spans="1:49" s="1773" customFormat="1" ht="12.75" customHeight="1">
      <c r="A614" s="1861">
        <v>1</v>
      </c>
      <c r="B614" s="819" t="s">
        <v>1582</v>
      </c>
      <c r="C614" s="31"/>
      <c r="D614" s="713"/>
      <c r="E614" s="522"/>
      <c r="F614" s="1864">
        <f>+C614*E614</f>
        <v>0</v>
      </c>
      <c r="G614" s="1772"/>
      <c r="H614" s="44"/>
      <c r="I614" s="1744"/>
      <c r="J614" s="1740"/>
      <c r="K614" s="1756"/>
      <c r="L614" s="1756"/>
      <c r="M614" s="1756"/>
      <c r="N614" s="1756"/>
      <c r="O614" s="1756"/>
      <c r="P614" s="1756"/>
      <c r="Q614" s="1756"/>
      <c r="R614" s="1756"/>
      <c r="S614" s="1756"/>
      <c r="T614" s="1756"/>
      <c r="U614" s="1756"/>
    </row>
    <row r="615" spans="1:49" s="1773" customFormat="1" ht="25.5">
      <c r="A615" s="1860">
        <v>1.1000000000000001</v>
      </c>
      <c r="B615" s="747" t="s">
        <v>1583</v>
      </c>
      <c r="C615" s="31">
        <v>12</v>
      </c>
      <c r="D615" s="713" t="s">
        <v>3</v>
      </c>
      <c r="E615" s="713">
        <v>5690.06</v>
      </c>
      <c r="F615" s="1864">
        <f>+C615*E615</f>
        <v>68280.72</v>
      </c>
      <c r="G615" s="1772"/>
      <c r="H615" s="44"/>
      <c r="I615" s="1744"/>
      <c r="J615" s="1740"/>
      <c r="K615" s="1756"/>
      <c r="L615" s="1756"/>
      <c r="M615" s="1756"/>
      <c r="N615" s="1756"/>
      <c r="O615" s="1756"/>
      <c r="P615" s="1756"/>
      <c r="Q615" s="1756"/>
      <c r="R615" s="1756"/>
      <c r="S615" s="1756"/>
      <c r="T615" s="1756"/>
      <c r="U615" s="1756"/>
    </row>
    <row r="616" spans="1:49" s="1773" customFormat="1">
      <c r="A616" s="1860">
        <v>1.2</v>
      </c>
      <c r="B616" s="522" t="s">
        <v>1584</v>
      </c>
      <c r="C616" s="31">
        <v>8</v>
      </c>
      <c r="D616" s="713" t="s">
        <v>3</v>
      </c>
      <c r="E616" s="713">
        <v>14200</v>
      </c>
      <c r="F616" s="1864">
        <f>+C616*E616</f>
        <v>113600</v>
      </c>
      <c r="G616" s="1772"/>
      <c r="H616" s="44"/>
      <c r="I616" s="1744"/>
      <c r="J616" s="1740"/>
      <c r="K616" s="1756"/>
      <c r="L616" s="1756"/>
      <c r="M616" s="1756"/>
      <c r="N616" s="1756"/>
      <c r="O616" s="1756"/>
      <c r="P616" s="1756"/>
      <c r="Q616" s="1756"/>
      <c r="R616" s="1756"/>
      <c r="S616" s="1756"/>
      <c r="T616" s="1756"/>
      <c r="U616" s="1756"/>
    </row>
    <row r="617" spans="1:49" s="1773" customFormat="1" ht="25.5">
      <c r="A617" s="1860">
        <v>1.3</v>
      </c>
      <c r="B617" s="747" t="s">
        <v>1585</v>
      </c>
      <c r="C617" s="31">
        <v>800</v>
      </c>
      <c r="D617" s="713" t="s">
        <v>1</v>
      </c>
      <c r="E617" s="713">
        <v>197.58</v>
      </c>
      <c r="F617" s="1864">
        <f>ROUND(C617*E617,2)</f>
        <v>158064</v>
      </c>
      <c r="G617" s="1772"/>
      <c r="H617" s="44"/>
      <c r="I617" s="1744"/>
      <c r="J617" s="1740"/>
      <c r="K617" s="1756"/>
      <c r="L617" s="1756"/>
      <c r="M617" s="1756"/>
      <c r="N617" s="1756"/>
      <c r="O617" s="1756"/>
      <c r="P617" s="1756"/>
      <c r="Q617" s="1756"/>
      <c r="R617" s="1756"/>
      <c r="S617" s="1756"/>
      <c r="T617" s="1756"/>
      <c r="U617" s="1756"/>
    </row>
    <row r="618" spans="1:49" s="1773" customFormat="1">
      <c r="A618" s="1860">
        <v>1.4</v>
      </c>
      <c r="B618" s="522" t="s">
        <v>924</v>
      </c>
      <c r="C618" s="31">
        <v>8</v>
      </c>
      <c r="D618" s="713" t="s">
        <v>3</v>
      </c>
      <c r="E618" s="713">
        <v>1200</v>
      </c>
      <c r="F618" s="1864">
        <f>+C618*E618</f>
        <v>9600</v>
      </c>
      <c r="G618" s="1772"/>
      <c r="H618" s="44"/>
      <c r="I618" s="1744"/>
      <c r="J618" s="1740"/>
      <c r="K618" s="1756"/>
      <c r="L618" s="1756"/>
      <c r="M618" s="1756"/>
      <c r="N618" s="1756"/>
      <c r="O618" s="1756"/>
      <c r="P618" s="1756"/>
      <c r="Q618" s="1756"/>
      <c r="R618" s="1756"/>
      <c r="S618" s="1756"/>
      <c r="T618" s="1756"/>
      <c r="U618" s="1756"/>
    </row>
    <row r="619" spans="1:49" s="1773" customFormat="1">
      <c r="A619" s="1860">
        <v>1.5</v>
      </c>
      <c r="B619" s="522" t="s">
        <v>926</v>
      </c>
      <c r="C619" s="31">
        <v>8</v>
      </c>
      <c r="D619" s="713" t="s">
        <v>3</v>
      </c>
      <c r="E619" s="713">
        <v>1800</v>
      </c>
      <c r="F619" s="1864">
        <f>+C619*E619</f>
        <v>14400</v>
      </c>
      <c r="G619" s="1772"/>
      <c r="H619" s="44"/>
      <c r="I619" s="1744"/>
      <c r="J619" s="1740"/>
      <c r="K619" s="1756"/>
      <c r="L619" s="1756"/>
      <c r="M619" s="1756"/>
      <c r="N619" s="1756"/>
      <c r="O619" s="1756"/>
      <c r="P619" s="1756"/>
      <c r="Q619" s="1756"/>
      <c r="R619" s="1756"/>
      <c r="S619" s="1756"/>
      <c r="T619" s="1756"/>
      <c r="U619" s="1756"/>
    </row>
    <row r="620" spans="1:49">
      <c r="A620" s="1860">
        <v>1.6</v>
      </c>
      <c r="B620" s="522" t="s">
        <v>2131</v>
      </c>
      <c r="C620" s="31">
        <v>15</v>
      </c>
      <c r="D620" s="713" t="s">
        <v>976</v>
      </c>
      <c r="E620" s="713">
        <v>4171.1099999999997</v>
      </c>
      <c r="F620" s="1864">
        <f>ROUND((C620*E620),2)</f>
        <v>62566.65</v>
      </c>
      <c r="G620" s="44"/>
      <c r="J620" s="1396"/>
      <c r="K620" s="1396"/>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row>
    <row r="621" spans="1:49" s="1773" customFormat="1" ht="5.25" customHeight="1">
      <c r="A621" s="1860"/>
      <c r="B621" s="1774"/>
      <c r="C621" s="31"/>
      <c r="D621" s="713"/>
      <c r="E621" s="713"/>
      <c r="F621" s="1864"/>
      <c r="G621" s="1772"/>
      <c r="H621" s="1775"/>
      <c r="I621" s="1744"/>
      <c r="J621" s="1740"/>
      <c r="K621" s="1756"/>
      <c r="L621" s="1756"/>
      <c r="M621" s="1756"/>
      <c r="N621" s="1756"/>
      <c r="O621" s="1756"/>
      <c r="P621" s="1756"/>
      <c r="Q621" s="1756"/>
      <c r="R621" s="1756"/>
      <c r="S621" s="1756"/>
      <c r="T621" s="1756"/>
      <c r="U621" s="1756"/>
    </row>
    <row r="622" spans="1:49" s="1773" customFormat="1" ht="11.25" customHeight="1">
      <c r="A622" s="1861">
        <v>2</v>
      </c>
      <c r="B622" s="819" t="s">
        <v>914</v>
      </c>
      <c r="C622" s="31"/>
      <c r="D622" s="713"/>
      <c r="E622" s="713"/>
      <c r="F622" s="1864">
        <f t="shared" ref="F622:F627" si="25">C622*E622</f>
        <v>0</v>
      </c>
      <c r="G622" s="1772"/>
      <c r="H622" s="44"/>
      <c r="I622" s="1744"/>
      <c r="J622" s="1740"/>
      <c r="K622" s="1756"/>
      <c r="L622" s="1756"/>
      <c r="M622" s="1756"/>
      <c r="N622" s="1756"/>
      <c r="O622" s="1756"/>
      <c r="P622" s="1756"/>
      <c r="Q622" s="1756"/>
      <c r="R622" s="1756"/>
      <c r="S622" s="1756"/>
      <c r="T622" s="1756"/>
      <c r="U622" s="1756"/>
    </row>
    <row r="623" spans="1:49" s="1773" customFormat="1" ht="11.25" customHeight="1">
      <c r="A623" s="1860">
        <v>2.2000000000000002</v>
      </c>
      <c r="B623" s="522" t="s">
        <v>1586</v>
      </c>
      <c r="C623" s="31">
        <v>2</v>
      </c>
      <c r="D623" s="713" t="s">
        <v>976</v>
      </c>
      <c r="E623" s="713">
        <v>18880</v>
      </c>
      <c r="F623" s="1864">
        <f t="shared" si="25"/>
        <v>37760</v>
      </c>
      <c r="G623" s="1772"/>
      <c r="H623" s="44"/>
      <c r="I623" s="1744"/>
      <c r="J623" s="1740"/>
      <c r="K623" s="1756"/>
      <c r="L623" s="1756"/>
      <c r="M623" s="1756"/>
      <c r="N623" s="1756"/>
      <c r="O623" s="1756"/>
      <c r="P623" s="1756"/>
      <c r="Q623" s="1756"/>
      <c r="R623" s="1756"/>
      <c r="S623" s="1756"/>
      <c r="T623" s="1756"/>
      <c r="U623" s="1756"/>
    </row>
    <row r="624" spans="1:49" s="1773" customFormat="1" ht="11.25" customHeight="1">
      <c r="A624" s="1860">
        <v>2.2999999999999998</v>
      </c>
      <c r="B624" s="522" t="s">
        <v>1587</v>
      </c>
      <c r="C624" s="31">
        <v>150</v>
      </c>
      <c r="D624" s="713" t="s">
        <v>800</v>
      </c>
      <c r="E624" s="713">
        <v>19.84</v>
      </c>
      <c r="F624" s="1864">
        <f t="shared" si="25"/>
        <v>2976</v>
      </c>
      <c r="G624" s="1772"/>
      <c r="H624" s="44"/>
      <c r="I624" s="1744"/>
      <c r="J624" s="1740"/>
      <c r="K624" s="1756"/>
      <c r="L624" s="1756"/>
      <c r="M624" s="1756"/>
      <c r="N624" s="1756"/>
      <c r="O624" s="1756"/>
      <c r="P624" s="1756"/>
      <c r="Q624" s="1756"/>
      <c r="R624" s="1756"/>
      <c r="S624" s="1756"/>
      <c r="T624" s="1756"/>
      <c r="U624" s="1756"/>
    </row>
    <row r="625" spans="1:21" s="1773" customFormat="1" ht="11.25" customHeight="1">
      <c r="A625" s="1860">
        <v>2.4</v>
      </c>
      <c r="B625" s="522" t="s">
        <v>1314</v>
      </c>
      <c r="C625" s="31">
        <v>3</v>
      </c>
      <c r="D625" s="713" t="s">
        <v>976</v>
      </c>
      <c r="E625" s="713">
        <v>4143.0600000000004</v>
      </c>
      <c r="F625" s="1864">
        <f t="shared" si="25"/>
        <v>12429.18</v>
      </c>
      <c r="G625" s="1772"/>
      <c r="H625" s="44"/>
      <c r="I625" s="1744"/>
      <c r="J625" s="1740"/>
      <c r="K625" s="1756"/>
      <c r="L625" s="1756"/>
      <c r="M625" s="1756"/>
      <c r="N625" s="1756"/>
      <c r="O625" s="1756"/>
      <c r="P625" s="1756"/>
      <c r="Q625" s="1756"/>
      <c r="R625" s="1756"/>
      <c r="S625" s="1756"/>
      <c r="T625" s="1756"/>
      <c r="U625" s="1756"/>
    </row>
    <row r="626" spans="1:21" s="1773" customFormat="1" ht="11.25" customHeight="1">
      <c r="A626" s="1860">
        <v>2.5</v>
      </c>
      <c r="B626" s="522" t="s">
        <v>1588</v>
      </c>
      <c r="C626" s="31">
        <v>2</v>
      </c>
      <c r="D626" s="713" t="s">
        <v>976</v>
      </c>
      <c r="E626" s="713">
        <v>4595.1000000000004</v>
      </c>
      <c r="F626" s="1864">
        <f t="shared" si="25"/>
        <v>9190.2000000000007</v>
      </c>
      <c r="G626" s="1772"/>
      <c r="H626" s="44"/>
      <c r="I626" s="1744"/>
      <c r="J626" s="1740"/>
      <c r="K626" s="1756"/>
      <c r="L626" s="1756"/>
      <c r="M626" s="1756"/>
      <c r="N626" s="1756"/>
      <c r="O626" s="1756"/>
      <c r="P626" s="1756"/>
      <c r="Q626" s="1756"/>
      <c r="R626" s="1756"/>
      <c r="S626" s="1756"/>
      <c r="T626" s="1756"/>
      <c r="U626" s="1756"/>
    </row>
    <row r="627" spans="1:21" s="1773" customFormat="1" ht="11.25" customHeight="1">
      <c r="A627" s="1860">
        <v>2.6</v>
      </c>
      <c r="B627" s="829" t="s">
        <v>1315</v>
      </c>
      <c r="C627" s="31">
        <v>1</v>
      </c>
      <c r="D627" s="713" t="s">
        <v>976</v>
      </c>
      <c r="E627" s="713">
        <v>4351.63</v>
      </c>
      <c r="F627" s="1864">
        <f t="shared" si="25"/>
        <v>4351.63</v>
      </c>
      <c r="G627" s="1772"/>
      <c r="H627" s="44"/>
      <c r="I627" s="1744"/>
      <c r="J627" s="1740"/>
      <c r="K627" s="1756"/>
      <c r="L627" s="1756"/>
      <c r="M627" s="1756"/>
      <c r="N627" s="1756"/>
      <c r="O627" s="1756"/>
      <c r="P627" s="1756"/>
      <c r="Q627" s="1756"/>
      <c r="R627" s="1756"/>
      <c r="S627" s="1756"/>
      <c r="T627" s="1756"/>
      <c r="U627" s="1756"/>
    </row>
    <row r="628" spans="1:21" s="1773" customFormat="1" ht="23.25" customHeight="1">
      <c r="A628" s="1860">
        <v>2.8</v>
      </c>
      <c r="B628" s="747" t="s">
        <v>1589</v>
      </c>
      <c r="C628" s="31">
        <v>1</v>
      </c>
      <c r="D628" s="713" t="s">
        <v>3</v>
      </c>
      <c r="E628" s="713">
        <v>39854.36</v>
      </c>
      <c r="F628" s="1864">
        <f t="shared" ref="F628:F634" si="26">ROUND(C628*E628,2)</f>
        <v>39854.36</v>
      </c>
      <c r="G628" s="1772"/>
      <c r="H628" s="44"/>
      <c r="I628" s="1744"/>
      <c r="J628" s="1740"/>
      <c r="K628" s="1756"/>
      <c r="L628" s="1756"/>
      <c r="M628" s="1756"/>
      <c r="N628" s="1756"/>
      <c r="O628" s="1756"/>
      <c r="P628" s="1756"/>
      <c r="Q628" s="1756"/>
      <c r="R628" s="1756"/>
      <c r="S628" s="1756"/>
      <c r="T628" s="1756"/>
      <c r="U628" s="1756"/>
    </row>
    <row r="629" spans="1:21" s="1773" customFormat="1" ht="12.75" customHeight="1">
      <c r="A629" s="1860">
        <v>2.9</v>
      </c>
      <c r="B629" s="522" t="s">
        <v>920</v>
      </c>
      <c r="C629" s="31">
        <v>1</v>
      </c>
      <c r="D629" s="713" t="s">
        <v>3</v>
      </c>
      <c r="E629" s="713">
        <v>6592.2</v>
      </c>
      <c r="F629" s="1864">
        <f t="shared" si="26"/>
        <v>6592.2</v>
      </c>
      <c r="G629" s="1772"/>
      <c r="H629" s="44"/>
      <c r="I629" s="1744"/>
      <c r="J629" s="1740"/>
      <c r="K629" s="1756"/>
      <c r="L629" s="1756"/>
      <c r="M629" s="1756"/>
      <c r="N629" s="1756"/>
      <c r="O629" s="1756"/>
      <c r="P629" s="1756"/>
      <c r="Q629" s="1756"/>
      <c r="R629" s="1756"/>
      <c r="S629" s="1756"/>
      <c r="T629" s="1756"/>
      <c r="U629" s="1756"/>
    </row>
    <row r="630" spans="1:21" s="1773" customFormat="1" ht="12.75" customHeight="1">
      <c r="A630" s="1860">
        <v>2.1</v>
      </c>
      <c r="B630" s="522" t="s">
        <v>921</v>
      </c>
      <c r="C630" s="31">
        <v>1</v>
      </c>
      <c r="D630" s="713" t="s">
        <v>3</v>
      </c>
      <c r="E630" s="713">
        <v>1475</v>
      </c>
      <c r="F630" s="1864">
        <f t="shared" si="26"/>
        <v>1475</v>
      </c>
      <c r="G630" s="1772"/>
      <c r="H630" s="44"/>
      <c r="I630" s="1744"/>
      <c r="J630" s="1740"/>
      <c r="K630" s="1756"/>
      <c r="L630" s="1756"/>
      <c r="M630" s="1756"/>
      <c r="N630" s="1756"/>
      <c r="O630" s="1756"/>
      <c r="P630" s="1756"/>
      <c r="Q630" s="1756"/>
      <c r="R630" s="1756"/>
      <c r="S630" s="1756"/>
      <c r="T630" s="1756"/>
      <c r="U630" s="1756"/>
    </row>
    <row r="631" spans="1:21" s="1773" customFormat="1" ht="12.75" customHeight="1">
      <c r="A631" s="1860">
        <v>2.11</v>
      </c>
      <c r="B631" s="522" t="s">
        <v>926</v>
      </c>
      <c r="C631" s="31">
        <v>2</v>
      </c>
      <c r="D631" s="713" t="s">
        <v>976</v>
      </c>
      <c r="E631" s="713">
        <v>2500</v>
      </c>
      <c r="F631" s="1864">
        <f>ROUND(C631*E631,2)</f>
        <v>5000</v>
      </c>
      <c r="G631" s="1772"/>
      <c r="H631" s="44"/>
      <c r="I631" s="1744"/>
      <c r="J631" s="1740"/>
      <c r="K631" s="1756"/>
      <c r="L631" s="1756"/>
      <c r="M631" s="1756"/>
      <c r="N631" s="1756"/>
      <c r="O631" s="1756"/>
      <c r="P631" s="1756"/>
      <c r="Q631" s="1756"/>
      <c r="R631" s="1756"/>
      <c r="S631" s="1756"/>
      <c r="T631" s="1756"/>
      <c r="U631" s="1756"/>
    </row>
    <row r="632" spans="1:21" s="1773" customFormat="1" ht="12.75" customHeight="1">
      <c r="A632" s="1860">
        <v>2.12</v>
      </c>
      <c r="B632" s="522" t="s">
        <v>924</v>
      </c>
      <c r="C632" s="31">
        <v>2</v>
      </c>
      <c r="D632" s="713" t="s">
        <v>976</v>
      </c>
      <c r="E632" s="713">
        <v>1200</v>
      </c>
      <c r="F632" s="1864">
        <f>C632*E632</f>
        <v>2400</v>
      </c>
      <c r="G632" s="1772"/>
      <c r="H632" s="44"/>
      <c r="I632" s="1744"/>
      <c r="J632" s="1740"/>
      <c r="K632" s="1756"/>
      <c r="L632" s="1756"/>
      <c r="M632" s="1756"/>
      <c r="N632" s="1756"/>
      <c r="O632" s="1756"/>
      <c r="P632" s="1756"/>
      <c r="Q632" s="1756"/>
      <c r="R632" s="1756"/>
      <c r="S632" s="1756"/>
      <c r="T632" s="1756"/>
      <c r="U632" s="1756"/>
    </row>
    <row r="633" spans="1:21" s="1773" customFormat="1" ht="12.75" customHeight="1">
      <c r="A633" s="1860">
        <v>2.13</v>
      </c>
      <c r="B633" s="829" t="s">
        <v>925</v>
      </c>
      <c r="C633" s="31">
        <v>2</v>
      </c>
      <c r="D633" s="713" t="s">
        <v>976</v>
      </c>
      <c r="E633" s="713">
        <v>1000</v>
      </c>
      <c r="F633" s="1864">
        <f>C633*E633</f>
        <v>2000</v>
      </c>
      <c r="G633" s="1772"/>
      <c r="H633" s="44"/>
      <c r="I633" s="1744"/>
      <c r="J633" s="1740"/>
      <c r="K633" s="1756"/>
      <c r="L633" s="1756"/>
      <c r="M633" s="1756"/>
      <c r="N633" s="1756"/>
      <c r="O633" s="1756"/>
      <c r="P633" s="1756"/>
      <c r="Q633" s="1756"/>
      <c r="R633" s="1756"/>
      <c r="S633" s="1756"/>
      <c r="T633" s="1756"/>
      <c r="U633" s="1756"/>
    </row>
    <row r="634" spans="1:21" s="1773" customFormat="1" ht="12.75" customHeight="1">
      <c r="A634" s="1868">
        <v>2.14</v>
      </c>
      <c r="B634" s="1842" t="s">
        <v>1590</v>
      </c>
      <c r="C634" s="1813">
        <v>1</v>
      </c>
      <c r="D634" s="1821" t="s">
        <v>976</v>
      </c>
      <c r="E634" s="1821">
        <v>15400</v>
      </c>
      <c r="F634" s="1879">
        <f t="shared" si="26"/>
        <v>15400</v>
      </c>
      <c r="G634" s="1772"/>
      <c r="H634" s="44"/>
      <c r="I634" s="1744"/>
      <c r="J634" s="1740"/>
      <c r="K634" s="1756"/>
      <c r="L634" s="1756"/>
      <c r="M634" s="1756"/>
      <c r="N634" s="1756"/>
      <c r="O634" s="1756"/>
      <c r="P634" s="1756"/>
      <c r="Q634" s="1756"/>
      <c r="R634" s="1756"/>
      <c r="S634" s="1756"/>
      <c r="T634" s="1756"/>
      <c r="U634" s="1756"/>
    </row>
    <row r="635" spans="1:21" s="1773" customFormat="1">
      <c r="A635" s="1860"/>
      <c r="B635" s="1774"/>
      <c r="C635" s="31"/>
      <c r="D635" s="713"/>
      <c r="E635" s="713"/>
      <c r="F635" s="1864"/>
      <c r="G635" s="1772"/>
      <c r="H635" s="1775"/>
      <c r="I635" s="1744"/>
      <c r="J635" s="1740"/>
      <c r="K635" s="1756"/>
      <c r="L635" s="1756"/>
      <c r="M635" s="1756"/>
      <c r="N635" s="1756"/>
      <c r="O635" s="1756"/>
      <c r="P635" s="1756"/>
      <c r="Q635" s="1756"/>
      <c r="R635" s="1756"/>
      <c r="S635" s="1756"/>
      <c r="T635" s="1756"/>
      <c r="U635" s="1756"/>
    </row>
    <row r="636" spans="1:21" s="1773" customFormat="1">
      <c r="A636" s="1861">
        <v>3</v>
      </c>
      <c r="B636" s="819" t="s">
        <v>1591</v>
      </c>
      <c r="C636" s="31"/>
      <c r="D636" s="713"/>
      <c r="E636" s="713"/>
      <c r="F636" s="1864">
        <f>C636*E636</f>
        <v>0</v>
      </c>
      <c r="G636" s="1772"/>
      <c r="H636" s="44"/>
      <c r="I636" s="1744"/>
      <c r="J636" s="1740"/>
      <c r="K636" s="1756"/>
      <c r="L636" s="1756"/>
      <c r="M636" s="1756"/>
      <c r="N636" s="1756"/>
      <c r="O636" s="1756"/>
      <c r="P636" s="1756"/>
      <c r="Q636" s="1756"/>
      <c r="R636" s="1756"/>
      <c r="S636" s="1756"/>
      <c r="T636" s="1756"/>
      <c r="U636" s="1756"/>
    </row>
    <row r="637" spans="1:21" s="1773" customFormat="1" ht="51">
      <c r="A637" s="1896" t="s">
        <v>554</v>
      </c>
      <c r="B637" s="1201" t="s">
        <v>1592</v>
      </c>
      <c r="C637" s="31">
        <v>14</v>
      </c>
      <c r="D637" s="713" t="s">
        <v>1</v>
      </c>
      <c r="E637" s="713">
        <v>1532.03</v>
      </c>
      <c r="F637" s="1864">
        <f t="shared" ref="F637:F652" si="27">ROUND(C637*E637,2)</f>
        <v>21448.42</v>
      </c>
      <c r="G637" s="1772"/>
      <c r="H637" s="44"/>
      <c r="I637" s="1744"/>
      <c r="J637" s="1740"/>
      <c r="K637" s="1756"/>
      <c r="L637" s="1756"/>
      <c r="M637" s="1756"/>
      <c r="N637" s="1756"/>
      <c r="O637" s="1756"/>
      <c r="P637" s="1756"/>
      <c r="Q637" s="1756"/>
      <c r="R637" s="1756"/>
      <c r="S637" s="1756"/>
      <c r="T637" s="1756"/>
      <c r="U637" s="1756"/>
    </row>
    <row r="638" spans="1:21" s="1773" customFormat="1" ht="51">
      <c r="A638" s="1896" t="s">
        <v>1593</v>
      </c>
      <c r="B638" s="1201" t="s">
        <v>1594</v>
      </c>
      <c r="C638" s="31">
        <v>4</v>
      </c>
      <c r="D638" s="713" t="s">
        <v>1</v>
      </c>
      <c r="E638" s="713">
        <v>1155.4100000000001</v>
      </c>
      <c r="F638" s="1864">
        <f t="shared" si="27"/>
        <v>4621.6400000000003</v>
      </c>
      <c r="G638" s="1772"/>
      <c r="H638" s="44"/>
      <c r="I638" s="1744"/>
      <c r="J638" s="1740"/>
      <c r="K638" s="1756"/>
      <c r="L638" s="1756"/>
      <c r="M638" s="1756"/>
      <c r="N638" s="1756"/>
      <c r="O638" s="1756"/>
      <c r="P638" s="1756"/>
      <c r="Q638" s="1756"/>
      <c r="R638" s="1756"/>
      <c r="S638" s="1756"/>
      <c r="T638" s="1756"/>
      <c r="U638" s="1756"/>
    </row>
    <row r="639" spans="1:21" s="1773" customFormat="1" ht="51">
      <c r="A639" s="1896" t="s">
        <v>1595</v>
      </c>
      <c r="B639" s="1201" t="s">
        <v>1596</v>
      </c>
      <c r="C639" s="31">
        <v>4</v>
      </c>
      <c r="D639" s="713" t="s">
        <v>1</v>
      </c>
      <c r="E639" s="713">
        <v>1155.4100000000001</v>
      </c>
      <c r="F639" s="1864">
        <f t="shared" si="27"/>
        <v>4621.6400000000003</v>
      </c>
      <c r="G639" s="1772"/>
      <c r="H639" s="44"/>
      <c r="I639" s="1744"/>
      <c r="J639" s="1740"/>
      <c r="K639" s="1756"/>
      <c r="L639" s="1756"/>
      <c r="M639" s="1756"/>
      <c r="N639" s="1756"/>
      <c r="O639" s="1756"/>
      <c r="P639" s="1756"/>
      <c r="Q639" s="1756"/>
      <c r="R639" s="1756"/>
      <c r="S639" s="1756"/>
      <c r="T639" s="1756"/>
      <c r="U639" s="1756"/>
    </row>
    <row r="640" spans="1:21" s="1773" customFormat="1" ht="51">
      <c r="A640" s="1896" t="s">
        <v>1597</v>
      </c>
      <c r="B640" s="1201" t="s">
        <v>1598</v>
      </c>
      <c r="C640" s="1794">
        <v>4</v>
      </c>
      <c r="D640" s="1794" t="s">
        <v>1</v>
      </c>
      <c r="E640" s="1794">
        <v>363.44</v>
      </c>
      <c r="F640" s="1856">
        <f t="shared" si="27"/>
        <v>1453.76</v>
      </c>
      <c r="G640" s="1772"/>
      <c r="H640" s="44"/>
      <c r="I640" s="1744"/>
      <c r="J640" s="1740"/>
      <c r="K640" s="1756"/>
      <c r="L640" s="1756"/>
      <c r="M640" s="1756"/>
      <c r="N640" s="1756"/>
      <c r="O640" s="1756"/>
      <c r="P640" s="1756"/>
      <c r="Q640" s="1756"/>
      <c r="R640" s="1756"/>
      <c r="S640" s="1756"/>
      <c r="T640" s="1756"/>
      <c r="U640" s="1756"/>
    </row>
    <row r="641" spans="1:21" s="1773" customFormat="1" ht="51">
      <c r="A641" s="1896" t="s">
        <v>1599</v>
      </c>
      <c r="B641" s="1201" t="s">
        <v>1600</v>
      </c>
      <c r="C641" s="31">
        <v>8</v>
      </c>
      <c r="D641" s="713" t="s">
        <v>1</v>
      </c>
      <c r="E641" s="713">
        <v>373.92</v>
      </c>
      <c r="F641" s="1864">
        <f t="shared" si="27"/>
        <v>2991.36</v>
      </c>
      <c r="G641" s="1772"/>
      <c r="H641" s="44"/>
      <c r="I641" s="1744"/>
      <c r="J641" s="1740"/>
      <c r="K641" s="1756"/>
      <c r="L641" s="1756"/>
      <c r="M641" s="1756"/>
      <c r="N641" s="1756"/>
      <c r="O641" s="1756"/>
      <c r="P641" s="1756"/>
      <c r="Q641" s="1756"/>
      <c r="R641" s="1756"/>
      <c r="S641" s="1756"/>
      <c r="T641" s="1756"/>
      <c r="U641" s="1756"/>
    </row>
    <row r="642" spans="1:21" s="1773" customFormat="1" ht="51">
      <c r="A642" s="1896" t="s">
        <v>1601</v>
      </c>
      <c r="B642" s="1201" t="s">
        <v>1602</v>
      </c>
      <c r="C642" s="31">
        <v>4</v>
      </c>
      <c r="D642" s="713" t="s">
        <v>1</v>
      </c>
      <c r="E642" s="713">
        <v>363.44</v>
      </c>
      <c r="F642" s="1864">
        <f t="shared" si="27"/>
        <v>1453.76</v>
      </c>
      <c r="G642" s="1772"/>
      <c r="H642" s="44"/>
      <c r="I642" s="1744"/>
      <c r="J642" s="1740"/>
      <c r="K642" s="1756"/>
      <c r="L642" s="1756"/>
      <c r="M642" s="1756"/>
      <c r="N642" s="1756"/>
      <c r="O642" s="1756"/>
      <c r="P642" s="1756"/>
      <c r="Q642" s="1756"/>
      <c r="R642" s="1756"/>
      <c r="S642" s="1756"/>
      <c r="T642" s="1756"/>
      <c r="U642" s="1756"/>
    </row>
    <row r="643" spans="1:21" s="1773" customFormat="1" ht="51">
      <c r="A643" s="1896" t="s">
        <v>1603</v>
      </c>
      <c r="B643" s="1201" t="s">
        <v>1604</v>
      </c>
      <c r="C643" s="31">
        <v>12</v>
      </c>
      <c r="D643" s="713" t="s">
        <v>1</v>
      </c>
      <c r="E643" s="713">
        <v>373.92</v>
      </c>
      <c r="F643" s="1864">
        <f t="shared" si="27"/>
        <v>4487.04</v>
      </c>
      <c r="G643" s="1772"/>
      <c r="H643" s="44"/>
      <c r="I643" s="1744"/>
      <c r="J643" s="1740"/>
      <c r="K643" s="1756"/>
      <c r="L643" s="1756"/>
      <c r="M643" s="1756"/>
      <c r="N643" s="1756"/>
      <c r="O643" s="1756"/>
      <c r="P643" s="1756"/>
      <c r="Q643" s="1756"/>
      <c r="R643" s="1756"/>
      <c r="S643" s="1756"/>
      <c r="T643" s="1756"/>
      <c r="U643" s="1756"/>
    </row>
    <row r="644" spans="1:21" s="1773" customFormat="1" ht="51">
      <c r="A644" s="1896" t="s">
        <v>1605</v>
      </c>
      <c r="B644" s="1201" t="s">
        <v>1606</v>
      </c>
      <c r="C644" s="31">
        <v>20</v>
      </c>
      <c r="D644" s="713" t="s">
        <v>1</v>
      </c>
      <c r="E644" s="713">
        <v>363.44</v>
      </c>
      <c r="F644" s="1864">
        <f t="shared" si="27"/>
        <v>7268.8</v>
      </c>
      <c r="G644" s="1772"/>
      <c r="H644" s="44"/>
      <c r="I644" s="1744"/>
      <c r="J644" s="1740"/>
      <c r="K644" s="1756"/>
      <c r="L644" s="1756"/>
      <c r="M644" s="1756"/>
      <c r="N644" s="1756"/>
      <c r="O644" s="1756"/>
      <c r="P644" s="1756"/>
      <c r="Q644" s="1756"/>
      <c r="R644" s="1756"/>
      <c r="S644" s="1756"/>
      <c r="T644" s="1756"/>
      <c r="U644" s="1756"/>
    </row>
    <row r="645" spans="1:21" s="1773" customFormat="1" ht="51">
      <c r="A645" s="1896" t="s">
        <v>1607</v>
      </c>
      <c r="B645" s="1201" t="s">
        <v>1608</v>
      </c>
      <c r="C645" s="31">
        <v>20</v>
      </c>
      <c r="D645" s="713" t="s">
        <v>1</v>
      </c>
      <c r="E645" s="713">
        <v>246.18</v>
      </c>
      <c r="F645" s="1864">
        <f t="shared" si="27"/>
        <v>4923.6000000000004</v>
      </c>
      <c r="G645" s="1772"/>
      <c r="H645" s="44"/>
      <c r="I645" s="1744"/>
      <c r="J645" s="1740"/>
      <c r="K645" s="1756"/>
      <c r="L645" s="1756"/>
      <c r="M645" s="1756"/>
      <c r="N645" s="1756"/>
      <c r="O645" s="1756"/>
      <c r="P645" s="1756"/>
      <c r="Q645" s="1756"/>
      <c r="R645" s="1756"/>
      <c r="S645" s="1756"/>
      <c r="T645" s="1756"/>
      <c r="U645" s="1756"/>
    </row>
    <row r="646" spans="1:21" s="1773" customFormat="1" ht="51">
      <c r="A646" s="1898" t="s">
        <v>1609</v>
      </c>
      <c r="B646" s="1822" t="s">
        <v>1610</v>
      </c>
      <c r="C646" s="1813">
        <v>30</v>
      </c>
      <c r="D646" s="1821" t="s">
        <v>1</v>
      </c>
      <c r="E646" s="1821">
        <v>246.18</v>
      </c>
      <c r="F646" s="1879">
        <f t="shared" si="27"/>
        <v>7385.4</v>
      </c>
      <c r="G646" s="1772"/>
      <c r="H646" s="44"/>
      <c r="I646" s="1744"/>
      <c r="J646" s="1740"/>
      <c r="K646" s="1756"/>
      <c r="L646" s="1756"/>
      <c r="M646" s="1756"/>
      <c r="N646" s="1756"/>
      <c r="O646" s="1756"/>
      <c r="P646" s="1756"/>
      <c r="Q646" s="1756"/>
      <c r="R646" s="1756"/>
      <c r="S646" s="1756"/>
      <c r="T646" s="1756"/>
      <c r="U646" s="1756"/>
    </row>
    <row r="647" spans="1:21" s="1773" customFormat="1" ht="51">
      <c r="A647" s="1896" t="s">
        <v>1611</v>
      </c>
      <c r="B647" s="1201" t="s">
        <v>1612</v>
      </c>
      <c r="C647" s="31">
        <v>4</v>
      </c>
      <c r="D647" s="713" t="s">
        <v>1</v>
      </c>
      <c r="E647" s="713">
        <v>363.44</v>
      </c>
      <c r="F647" s="1864">
        <f t="shared" si="27"/>
        <v>1453.76</v>
      </c>
      <c r="G647" s="1772"/>
      <c r="H647" s="44"/>
      <c r="I647" s="1744"/>
      <c r="J647" s="1740"/>
      <c r="K647" s="1756"/>
      <c r="L647" s="1756"/>
      <c r="M647" s="1756"/>
      <c r="N647" s="1756"/>
      <c r="O647" s="1756"/>
      <c r="P647" s="1756"/>
      <c r="Q647" s="1756"/>
      <c r="R647" s="1756"/>
      <c r="S647" s="1756"/>
      <c r="T647" s="1756"/>
      <c r="U647" s="1756"/>
    </row>
    <row r="648" spans="1:21" s="1773" customFormat="1" ht="38.25">
      <c r="A648" s="1896" t="s">
        <v>1613</v>
      </c>
      <c r="B648" s="1201" t="s">
        <v>1614</v>
      </c>
      <c r="C648" s="31">
        <v>10</v>
      </c>
      <c r="D648" s="713" t="s">
        <v>1</v>
      </c>
      <c r="E648" s="713">
        <v>276.14999999999998</v>
      </c>
      <c r="F648" s="1864">
        <f t="shared" si="27"/>
        <v>2761.5</v>
      </c>
      <c r="G648" s="1772"/>
      <c r="H648" s="44"/>
      <c r="I648" s="1744"/>
      <c r="J648" s="1740"/>
      <c r="K648" s="1756"/>
      <c r="L648" s="1756"/>
      <c r="M648" s="1756"/>
      <c r="N648" s="1756"/>
      <c r="O648" s="1756"/>
      <c r="P648" s="1756"/>
      <c r="Q648" s="1756"/>
      <c r="R648" s="1756"/>
      <c r="S648" s="1756"/>
      <c r="T648" s="1756"/>
      <c r="U648" s="1756"/>
    </row>
    <row r="649" spans="1:21" s="1773" customFormat="1" ht="38.25">
      <c r="A649" s="1896" t="s">
        <v>1615</v>
      </c>
      <c r="B649" s="1201" t="s">
        <v>1616</v>
      </c>
      <c r="C649" s="31">
        <v>16</v>
      </c>
      <c r="D649" s="713" t="s">
        <v>1</v>
      </c>
      <c r="E649" s="713">
        <v>276.14999999999998</v>
      </c>
      <c r="F649" s="1864">
        <f t="shared" si="27"/>
        <v>4418.3999999999996</v>
      </c>
      <c r="G649" s="1772"/>
      <c r="H649" s="44"/>
      <c r="I649" s="1744"/>
      <c r="J649" s="1740"/>
      <c r="K649" s="1756"/>
      <c r="L649" s="1756"/>
      <c r="M649" s="1756"/>
      <c r="N649" s="1756"/>
      <c r="O649" s="1756"/>
      <c r="P649" s="1756"/>
      <c r="Q649" s="1756"/>
      <c r="R649" s="1756"/>
      <c r="S649" s="1756"/>
      <c r="T649" s="1756"/>
      <c r="U649" s="1756"/>
    </row>
    <row r="650" spans="1:21" s="1773" customFormat="1" ht="51">
      <c r="A650" s="1896" t="s">
        <v>1617</v>
      </c>
      <c r="B650" s="1201" t="s">
        <v>1618</v>
      </c>
      <c r="C650" s="31">
        <v>20</v>
      </c>
      <c r="D650" s="713" t="s">
        <v>1</v>
      </c>
      <c r="E650" s="713">
        <v>171.86</v>
      </c>
      <c r="F650" s="1864">
        <f t="shared" si="27"/>
        <v>3437.2</v>
      </c>
      <c r="G650" s="1772"/>
      <c r="H650" s="44"/>
      <c r="I650" s="1744"/>
      <c r="J650" s="1740"/>
      <c r="K650" s="1756"/>
      <c r="L650" s="1756"/>
      <c r="M650" s="1756"/>
      <c r="N650" s="1756"/>
      <c r="O650" s="1756"/>
      <c r="P650" s="1756"/>
      <c r="Q650" s="1756"/>
      <c r="R650" s="1756"/>
      <c r="S650" s="1756"/>
      <c r="T650" s="1756"/>
      <c r="U650" s="1756"/>
    </row>
    <row r="651" spans="1:21" s="1773" customFormat="1" ht="51">
      <c r="A651" s="1896" t="s">
        <v>1619</v>
      </c>
      <c r="B651" s="1201" t="s">
        <v>1620</v>
      </c>
      <c r="C651" s="31">
        <v>10</v>
      </c>
      <c r="D651" s="713" t="s">
        <v>1</v>
      </c>
      <c r="E651" s="713">
        <v>171.86</v>
      </c>
      <c r="F651" s="1864">
        <f t="shared" si="27"/>
        <v>1718.6</v>
      </c>
      <c r="G651" s="1772"/>
      <c r="H651" s="44"/>
      <c r="I651" s="1744"/>
      <c r="J651" s="1740"/>
      <c r="K651" s="1756"/>
      <c r="L651" s="1756"/>
      <c r="M651" s="1756"/>
      <c r="N651" s="1756"/>
      <c r="O651" s="1756"/>
      <c r="P651" s="1756"/>
      <c r="Q651" s="1756"/>
      <c r="R651" s="1756"/>
      <c r="S651" s="1756"/>
      <c r="T651" s="1756"/>
      <c r="U651" s="1756"/>
    </row>
    <row r="652" spans="1:21" s="1773" customFormat="1" ht="53.25" customHeight="1">
      <c r="A652" s="1896" t="s">
        <v>1621</v>
      </c>
      <c r="B652" s="1201" t="s">
        <v>1622</v>
      </c>
      <c r="C652" s="31">
        <v>16</v>
      </c>
      <c r="D652" s="713" t="s">
        <v>1</v>
      </c>
      <c r="E652" s="713">
        <v>299.60000000000002</v>
      </c>
      <c r="F652" s="1864">
        <f t="shared" si="27"/>
        <v>4793.6000000000004</v>
      </c>
      <c r="G652" s="1772"/>
      <c r="H652" s="44"/>
      <c r="I652" s="1744"/>
      <c r="J652" s="1740"/>
      <c r="K652" s="1756"/>
      <c r="L652" s="1756"/>
      <c r="M652" s="1756"/>
      <c r="N652" s="1756"/>
      <c r="O652" s="1756"/>
      <c r="P652" s="1756"/>
      <c r="Q652" s="1756"/>
      <c r="R652" s="1756"/>
      <c r="S652" s="1756"/>
      <c r="T652" s="1756"/>
      <c r="U652" s="1756"/>
    </row>
    <row r="653" spans="1:21" s="1773" customFormat="1">
      <c r="A653" s="1896" t="s">
        <v>1623</v>
      </c>
      <c r="B653" s="510" t="s">
        <v>1624</v>
      </c>
      <c r="C653" s="510">
        <v>1</v>
      </c>
      <c r="D653" s="510" t="s">
        <v>976</v>
      </c>
      <c r="E653" s="510">
        <v>3816.5</v>
      </c>
      <c r="F653" s="1899">
        <f t="shared" ref="F653:F660" si="28">C653*E653</f>
        <v>3816.5</v>
      </c>
      <c r="G653" s="1772"/>
      <c r="H653" s="44"/>
      <c r="I653" s="1744"/>
      <c r="J653" s="1740"/>
      <c r="K653" s="1756"/>
      <c r="L653" s="1756"/>
      <c r="M653" s="1756"/>
      <c r="N653" s="1756"/>
      <c r="O653" s="1756"/>
      <c r="P653" s="1756"/>
      <c r="Q653" s="1756"/>
      <c r="R653" s="1756"/>
      <c r="S653" s="1756"/>
      <c r="T653" s="1756"/>
      <c r="U653" s="1756"/>
    </row>
    <row r="654" spans="1:21" s="1773" customFormat="1" ht="38.25">
      <c r="A654" s="1896" t="s">
        <v>1625</v>
      </c>
      <c r="B654" s="853" t="s">
        <v>1626</v>
      </c>
      <c r="C654" s="31">
        <v>1</v>
      </c>
      <c r="D654" s="713" t="s">
        <v>976</v>
      </c>
      <c r="E654" s="713">
        <v>16000</v>
      </c>
      <c r="F654" s="1864">
        <f t="shared" si="28"/>
        <v>16000</v>
      </c>
      <c r="G654" s="1772"/>
      <c r="H654" s="44"/>
      <c r="I654" s="1744"/>
      <c r="J654" s="1740"/>
      <c r="K654" s="1756"/>
      <c r="L654" s="1756"/>
      <c r="M654" s="1756"/>
      <c r="N654" s="1756"/>
      <c r="O654" s="1756"/>
      <c r="P654" s="1756"/>
      <c r="Q654" s="1756"/>
      <c r="R654" s="1756"/>
      <c r="S654" s="1756"/>
      <c r="T654" s="1756"/>
      <c r="U654" s="1756"/>
    </row>
    <row r="655" spans="1:21" s="1773" customFormat="1" ht="27" customHeight="1">
      <c r="A655" s="1896" t="s">
        <v>1627</v>
      </c>
      <c r="B655" s="853" t="s">
        <v>1628</v>
      </c>
      <c r="C655" s="31">
        <v>1</v>
      </c>
      <c r="D655" s="713" t="s">
        <v>976</v>
      </c>
      <c r="E655" s="713">
        <v>18455.2</v>
      </c>
      <c r="F655" s="1864">
        <f>C655*E655</f>
        <v>18455.2</v>
      </c>
      <c r="G655" s="1772"/>
      <c r="H655" s="44"/>
      <c r="I655" s="1744"/>
      <c r="J655" s="1740"/>
      <c r="K655" s="1756"/>
      <c r="L655" s="1756"/>
      <c r="M655" s="1756"/>
      <c r="N655" s="1756"/>
      <c r="O655" s="1756"/>
      <c r="P655" s="1756"/>
      <c r="Q655" s="1756"/>
      <c r="R655" s="1756"/>
      <c r="S655" s="1756"/>
      <c r="T655" s="1756"/>
      <c r="U655" s="1756"/>
    </row>
    <row r="656" spans="1:21" s="1773" customFormat="1">
      <c r="A656" s="1896" t="s">
        <v>1629</v>
      </c>
      <c r="B656" s="853" t="s">
        <v>1630</v>
      </c>
      <c r="C656" s="31">
        <v>1</v>
      </c>
      <c r="D656" s="713" t="s">
        <v>976</v>
      </c>
      <c r="E656" s="713">
        <v>4758.3900000000003</v>
      </c>
      <c r="F656" s="1864">
        <f t="shared" si="28"/>
        <v>4758.3900000000003</v>
      </c>
      <c r="G656" s="1772"/>
      <c r="H656" s="44"/>
      <c r="I656" s="1744"/>
      <c r="J656" s="1740"/>
      <c r="K656" s="1756"/>
      <c r="L656" s="1756"/>
      <c r="M656" s="1756"/>
      <c r="N656" s="1756"/>
      <c r="O656" s="1756"/>
      <c r="P656" s="1756"/>
      <c r="Q656" s="1756"/>
      <c r="R656" s="1756"/>
      <c r="S656" s="1756"/>
      <c r="T656" s="1756"/>
      <c r="U656" s="1756"/>
    </row>
    <row r="657" spans="1:21" s="1773" customFormat="1" ht="25.5">
      <c r="A657" s="1896" t="s">
        <v>1631</v>
      </c>
      <c r="B657" s="853" t="s">
        <v>1632</v>
      </c>
      <c r="C657" s="31">
        <v>7</v>
      </c>
      <c r="D657" s="713" t="s">
        <v>976</v>
      </c>
      <c r="E657" s="713">
        <v>3800</v>
      </c>
      <c r="F657" s="1864">
        <f>ROUND(C657*E657,2)</f>
        <v>26600</v>
      </c>
      <c r="G657" s="1772"/>
      <c r="H657" s="44"/>
      <c r="I657" s="1744"/>
      <c r="J657" s="1740"/>
      <c r="K657" s="1756"/>
      <c r="L657" s="1756"/>
      <c r="M657" s="1756"/>
      <c r="N657" s="1756"/>
      <c r="O657" s="1756"/>
      <c r="P657" s="1756"/>
      <c r="Q657" s="1756"/>
      <c r="R657" s="1756"/>
      <c r="S657" s="1756"/>
      <c r="T657" s="1756"/>
      <c r="U657" s="1756"/>
    </row>
    <row r="658" spans="1:21" s="1773" customFormat="1">
      <c r="A658" s="1896" t="s">
        <v>1633</v>
      </c>
      <c r="B658" s="853" t="s">
        <v>1634</v>
      </c>
      <c r="C658" s="31">
        <v>1</v>
      </c>
      <c r="D658" s="713" t="s">
        <v>976</v>
      </c>
      <c r="E658" s="713">
        <v>285.04000000000002</v>
      </c>
      <c r="F658" s="1864">
        <f t="shared" si="28"/>
        <v>285.04000000000002</v>
      </c>
      <c r="G658" s="1772"/>
      <c r="H658" s="44"/>
      <c r="I658" s="1744"/>
      <c r="J658" s="1740"/>
      <c r="K658" s="1756"/>
      <c r="L658" s="1756"/>
      <c r="M658" s="1756"/>
      <c r="N658" s="1756"/>
      <c r="O658" s="1756"/>
      <c r="P658" s="1756"/>
      <c r="Q658" s="1756"/>
      <c r="R658" s="1756"/>
      <c r="S658" s="1756"/>
      <c r="T658" s="1756"/>
      <c r="U658" s="1756"/>
    </row>
    <row r="659" spans="1:21" s="1773" customFormat="1">
      <c r="A659" s="1896" t="s">
        <v>1635</v>
      </c>
      <c r="B659" s="853" t="s">
        <v>1636</v>
      </c>
      <c r="C659" s="31">
        <v>1</v>
      </c>
      <c r="D659" s="713" t="s">
        <v>976</v>
      </c>
      <c r="E659" s="713">
        <v>821.24</v>
      </c>
      <c r="F659" s="1864">
        <f t="shared" si="28"/>
        <v>821.24</v>
      </c>
      <c r="G659" s="1772"/>
      <c r="H659" s="44"/>
      <c r="I659" s="1744"/>
      <c r="J659" s="1740"/>
      <c r="K659" s="1756"/>
      <c r="L659" s="1756"/>
      <c r="M659" s="1756"/>
      <c r="N659" s="1756"/>
      <c r="O659" s="1756"/>
      <c r="P659" s="1756"/>
      <c r="Q659" s="1756"/>
      <c r="R659" s="1756"/>
      <c r="S659" s="1756"/>
      <c r="T659" s="1756"/>
      <c r="U659" s="1756"/>
    </row>
    <row r="660" spans="1:21" s="1773" customFormat="1">
      <c r="A660" s="1896" t="s">
        <v>1637</v>
      </c>
      <c r="B660" s="853" t="s">
        <v>1638</v>
      </c>
      <c r="C660" s="31">
        <v>1</v>
      </c>
      <c r="D660" s="713" t="s">
        <v>976</v>
      </c>
      <c r="E660" s="713">
        <v>20000</v>
      </c>
      <c r="F660" s="1864">
        <f t="shared" si="28"/>
        <v>20000</v>
      </c>
      <c r="G660" s="1772"/>
      <c r="H660" s="44"/>
      <c r="I660" s="1744"/>
      <c r="J660" s="1740"/>
      <c r="K660" s="1756"/>
      <c r="L660" s="1756"/>
      <c r="M660" s="1756"/>
      <c r="N660" s="1756"/>
      <c r="O660" s="1756"/>
      <c r="P660" s="1756"/>
      <c r="Q660" s="1756"/>
      <c r="R660" s="1756"/>
      <c r="S660" s="1756"/>
      <c r="T660" s="1756"/>
      <c r="U660" s="1756"/>
    </row>
    <row r="661" spans="1:21" s="1773" customFormat="1" ht="6.75" customHeight="1">
      <c r="A661" s="1860"/>
      <c r="B661" s="522"/>
      <c r="C661" s="31"/>
      <c r="D661" s="713"/>
      <c r="E661" s="713"/>
      <c r="F661" s="1864"/>
      <c r="G661" s="1772"/>
      <c r="H661" s="1775"/>
      <c r="I661" s="1744"/>
      <c r="J661" s="1740"/>
      <c r="K661" s="1756"/>
      <c r="L661" s="1756"/>
      <c r="M661" s="1756"/>
      <c r="N661" s="1756"/>
      <c r="O661" s="1756"/>
      <c r="P661" s="1756"/>
      <c r="Q661" s="1756"/>
      <c r="R661" s="1756"/>
      <c r="S661" s="1756"/>
      <c r="T661" s="1756"/>
      <c r="U661" s="1756"/>
    </row>
    <row r="662" spans="1:21" s="1773" customFormat="1" ht="12.75" customHeight="1">
      <c r="A662" s="1861">
        <v>4</v>
      </c>
      <c r="B662" s="819" t="s">
        <v>1639</v>
      </c>
      <c r="C662" s="31"/>
      <c r="D662" s="713"/>
      <c r="E662" s="713"/>
      <c r="F662" s="1864"/>
      <c r="G662" s="1772"/>
      <c r="H662" s="44"/>
      <c r="I662" s="1744"/>
      <c r="J662" s="1740"/>
      <c r="K662" s="1756"/>
      <c r="L662" s="1756"/>
      <c r="M662" s="1756"/>
      <c r="N662" s="1756"/>
      <c r="O662" s="1756"/>
      <c r="P662" s="1756"/>
      <c r="Q662" s="1756"/>
      <c r="R662" s="1756"/>
      <c r="S662" s="1756"/>
      <c r="T662" s="1756"/>
      <c r="U662" s="1756"/>
    </row>
    <row r="663" spans="1:21" s="1773" customFormat="1" ht="27" customHeight="1">
      <c r="A663" s="1900">
        <v>4.0999999999999996</v>
      </c>
      <c r="B663" s="853" t="s">
        <v>1640</v>
      </c>
      <c r="C663" s="31">
        <v>1</v>
      </c>
      <c r="D663" s="814" t="s">
        <v>3</v>
      </c>
      <c r="E663" s="713">
        <v>284510.3</v>
      </c>
      <c r="F663" s="1864">
        <f>ROUND(C663*E663,2)</f>
        <v>284510.3</v>
      </c>
      <c r="G663" s="1772"/>
      <c r="H663" s="44"/>
      <c r="I663" s="1744"/>
      <c r="J663" s="1740"/>
      <c r="K663" s="1756"/>
      <c r="L663" s="1756"/>
      <c r="M663" s="1756"/>
      <c r="N663" s="1756"/>
      <c r="O663" s="1756"/>
      <c r="P663" s="1756"/>
      <c r="Q663" s="1756"/>
      <c r="R663" s="1756"/>
      <c r="S663" s="1756"/>
      <c r="T663" s="1756"/>
      <c r="U663" s="1756"/>
    </row>
    <row r="664" spans="1:21" s="1773" customFormat="1" ht="12.75" customHeight="1">
      <c r="A664" s="1900">
        <v>4.2</v>
      </c>
      <c r="B664" s="1776" t="s">
        <v>1641</v>
      </c>
      <c r="C664" s="31">
        <v>1</v>
      </c>
      <c r="D664" s="713" t="s">
        <v>3</v>
      </c>
      <c r="E664" s="713">
        <v>40000</v>
      </c>
      <c r="F664" s="1864">
        <f>ROUND(C664*E664,2)</f>
        <v>40000</v>
      </c>
      <c r="G664" s="1772"/>
      <c r="H664" s="44"/>
      <c r="I664" s="1744"/>
      <c r="J664" s="1740"/>
      <c r="K664" s="1756"/>
      <c r="L664" s="1756"/>
      <c r="M664" s="1756"/>
      <c r="N664" s="1756"/>
      <c r="O664" s="1756"/>
      <c r="P664" s="1756"/>
      <c r="Q664" s="1756"/>
      <c r="R664" s="1756"/>
      <c r="S664" s="1756"/>
      <c r="T664" s="1756"/>
      <c r="U664" s="1756"/>
    </row>
    <row r="665" spans="1:21" s="1773" customFormat="1" ht="27" customHeight="1">
      <c r="A665" s="1900">
        <v>4.3</v>
      </c>
      <c r="B665" s="1776" t="s">
        <v>1642</v>
      </c>
      <c r="C665" s="31">
        <v>1</v>
      </c>
      <c r="D665" s="814" t="s">
        <v>3</v>
      </c>
      <c r="E665" s="713">
        <v>45300</v>
      </c>
      <c r="F665" s="1864">
        <f>ROUND(C665*E665,2)</f>
        <v>45300</v>
      </c>
      <c r="G665" s="1772"/>
      <c r="H665" s="44"/>
      <c r="I665" s="1744"/>
      <c r="J665" s="1740"/>
      <c r="K665" s="1756"/>
      <c r="L665" s="1756"/>
      <c r="M665" s="1756"/>
      <c r="N665" s="1756"/>
      <c r="O665" s="1756"/>
      <c r="P665" s="1756"/>
      <c r="Q665" s="1756"/>
      <c r="R665" s="1756"/>
      <c r="S665" s="1756"/>
      <c r="T665" s="1756"/>
      <c r="U665" s="1756"/>
    </row>
    <row r="666" spans="1:21" s="1773" customFormat="1" ht="12.75" customHeight="1">
      <c r="A666" s="1900">
        <v>4.4000000000000004</v>
      </c>
      <c r="B666" s="1776" t="s">
        <v>1643</v>
      </c>
      <c r="C666" s="31">
        <v>1</v>
      </c>
      <c r="D666" s="713" t="s">
        <v>3</v>
      </c>
      <c r="E666" s="713">
        <v>20000</v>
      </c>
      <c r="F666" s="1864">
        <f>ROUND(C666*E666,2)</f>
        <v>20000</v>
      </c>
      <c r="G666" s="1772"/>
      <c r="H666" s="44"/>
      <c r="I666" s="1744"/>
      <c r="J666" s="1740"/>
      <c r="K666" s="1756"/>
      <c r="L666" s="1756"/>
      <c r="M666" s="1756"/>
      <c r="N666" s="1756"/>
      <c r="O666" s="1756"/>
      <c r="P666" s="1756"/>
      <c r="Q666" s="1756"/>
      <c r="R666" s="1756"/>
      <c r="S666" s="1756"/>
      <c r="T666" s="1756"/>
      <c r="U666" s="1756"/>
    </row>
    <row r="667" spans="1:21" s="1773" customFormat="1" ht="12.75" customHeight="1">
      <c r="A667" s="1900">
        <v>4.5</v>
      </c>
      <c r="B667" s="1776" t="s">
        <v>1644</v>
      </c>
      <c r="C667" s="31">
        <v>1</v>
      </c>
      <c r="D667" s="814" t="s">
        <v>3</v>
      </c>
      <c r="E667" s="713">
        <v>14000</v>
      </c>
      <c r="F667" s="1864">
        <f>ROUND(C667*E667,2)</f>
        <v>14000</v>
      </c>
      <c r="G667" s="1772"/>
      <c r="H667" s="44"/>
      <c r="I667" s="1744"/>
      <c r="J667" s="1740"/>
      <c r="K667" s="1756"/>
      <c r="L667" s="1756"/>
      <c r="M667" s="1756"/>
      <c r="N667" s="1756"/>
      <c r="O667" s="1756"/>
      <c r="P667" s="1756"/>
      <c r="Q667" s="1756"/>
      <c r="R667" s="1756"/>
      <c r="S667" s="1756"/>
      <c r="T667" s="1756"/>
      <c r="U667" s="1756"/>
    </row>
    <row r="668" spans="1:21" s="1773" customFormat="1" ht="12.75" customHeight="1">
      <c r="A668" s="1900">
        <v>4.5999999999999996</v>
      </c>
      <c r="B668" s="853" t="s">
        <v>1645</v>
      </c>
      <c r="C668" s="31">
        <v>1</v>
      </c>
      <c r="D668" s="713" t="s">
        <v>976</v>
      </c>
      <c r="E668" s="713">
        <v>14680.15</v>
      </c>
      <c r="F668" s="1864">
        <f>C668*E668</f>
        <v>14680.15</v>
      </c>
      <c r="G668" s="1772"/>
      <c r="H668" s="44"/>
      <c r="I668" s="1744"/>
      <c r="J668" s="1740"/>
      <c r="K668" s="1756"/>
      <c r="L668" s="1756"/>
      <c r="M668" s="1756"/>
      <c r="N668" s="1756"/>
      <c r="O668" s="1756"/>
      <c r="P668" s="1756"/>
      <c r="Q668" s="1756"/>
      <c r="R668" s="1756"/>
      <c r="S668" s="1756"/>
      <c r="T668" s="1756"/>
      <c r="U668" s="1756"/>
    </row>
    <row r="669" spans="1:21" s="1773" customFormat="1" ht="12.75" customHeight="1">
      <c r="A669" s="1900">
        <v>4.7</v>
      </c>
      <c r="B669" s="1776" t="s">
        <v>1646</v>
      </c>
      <c r="C669" s="31">
        <v>1</v>
      </c>
      <c r="D669" s="713" t="s">
        <v>3</v>
      </c>
      <c r="E669" s="713">
        <v>4566.38</v>
      </c>
      <c r="F669" s="1864">
        <f>ROUND(C669*E669,2)</f>
        <v>4566.38</v>
      </c>
      <c r="G669" s="1772"/>
      <c r="H669" s="44"/>
      <c r="I669" s="1744"/>
      <c r="J669" s="1740"/>
      <c r="K669" s="1756"/>
      <c r="L669" s="1756"/>
      <c r="M669" s="1756"/>
      <c r="N669" s="1756"/>
      <c r="O669" s="1756"/>
      <c r="P669" s="1756"/>
      <c r="Q669" s="1756"/>
      <c r="R669" s="1756"/>
      <c r="S669" s="1756"/>
      <c r="T669" s="1756"/>
      <c r="U669" s="1756"/>
    </row>
    <row r="670" spans="1:21" s="1773" customFormat="1" ht="36.75" customHeight="1">
      <c r="A670" s="1881" t="s">
        <v>1647</v>
      </c>
      <c r="B670" s="1822" t="s">
        <v>1648</v>
      </c>
      <c r="C670" s="1813">
        <v>10</v>
      </c>
      <c r="D670" s="1821" t="s">
        <v>1</v>
      </c>
      <c r="E670" s="1821">
        <v>1036.0999999999999</v>
      </c>
      <c r="F670" s="1879">
        <f>ROUND(C670*E670,2)</f>
        <v>10361</v>
      </c>
      <c r="G670" s="1772"/>
      <c r="H670" s="44"/>
      <c r="I670" s="1744"/>
      <c r="J670" s="1740"/>
      <c r="K670" s="1756"/>
      <c r="L670" s="1756"/>
      <c r="M670" s="1756"/>
      <c r="N670" s="1756"/>
      <c r="O670" s="1756"/>
      <c r="P670" s="1756"/>
      <c r="Q670" s="1756"/>
      <c r="R670" s="1756"/>
      <c r="S670" s="1756"/>
      <c r="T670" s="1756"/>
      <c r="U670" s="1756"/>
    </row>
    <row r="671" spans="1:21" s="1773" customFormat="1" ht="12.75" customHeight="1">
      <c r="A671" s="1900">
        <v>4.9000000000000004</v>
      </c>
      <c r="B671" s="1776" t="s">
        <v>1649</v>
      </c>
      <c r="C671" s="31">
        <v>1</v>
      </c>
      <c r="D671" s="713" t="s">
        <v>3</v>
      </c>
      <c r="E671" s="713">
        <v>783.72</v>
      </c>
      <c r="F671" s="1864">
        <f>ROUND(C671*E671,2)</f>
        <v>783.72</v>
      </c>
      <c r="G671" s="1772"/>
      <c r="H671" s="44"/>
      <c r="I671" s="1744"/>
      <c r="J671" s="1740"/>
      <c r="K671" s="1778"/>
      <c r="L671" s="1779"/>
      <c r="M671" s="1780"/>
      <c r="N671" s="1781"/>
      <c r="O671" s="1782"/>
      <c r="P671" s="1780">
        <f>ROUND(M671*O671,2)</f>
        <v>0</v>
      </c>
      <c r="Q671" s="1756"/>
      <c r="R671" s="1756"/>
      <c r="S671" s="1756"/>
      <c r="T671" s="1756"/>
      <c r="U671" s="1756"/>
    </row>
    <row r="672" spans="1:21" s="1773" customFormat="1" ht="12.75" customHeight="1">
      <c r="A672" s="1860">
        <v>4.0999999999999996</v>
      </c>
      <c r="B672" s="1776" t="s">
        <v>1650</v>
      </c>
      <c r="C672" s="31">
        <v>1</v>
      </c>
      <c r="D672" s="713" t="s">
        <v>3</v>
      </c>
      <c r="E672" s="713">
        <v>293.85000000000002</v>
      </c>
      <c r="F672" s="1864">
        <f>ROUND(C672*E672,2)</f>
        <v>293.85000000000002</v>
      </c>
      <c r="G672" s="1772"/>
      <c r="H672" s="44"/>
      <c r="I672" s="1744"/>
      <c r="J672" s="1740"/>
      <c r="K672" s="1778"/>
      <c r="L672" s="1779"/>
      <c r="M672" s="7"/>
      <c r="N672" s="1740"/>
      <c r="O672" s="7"/>
      <c r="P672" s="7">
        <f>ROUND(M672*O672,2)</f>
        <v>0</v>
      </c>
      <c r="Q672" s="1756"/>
      <c r="R672" s="1756"/>
      <c r="S672" s="1756"/>
      <c r="T672" s="1756"/>
      <c r="U672" s="1756"/>
    </row>
    <row r="673" spans="1:21" s="1773" customFormat="1" ht="12.75" customHeight="1">
      <c r="A673" s="1900">
        <v>4.1100000000000003</v>
      </c>
      <c r="B673" s="1776" t="s">
        <v>1651</v>
      </c>
      <c r="C673" s="31">
        <v>1</v>
      </c>
      <c r="D673" s="713" t="s">
        <v>61</v>
      </c>
      <c r="E673" s="713">
        <v>6000</v>
      </c>
      <c r="F673" s="1864">
        <f>ROUND(C673*E673,2)</f>
        <v>6000</v>
      </c>
      <c r="G673" s="1772"/>
      <c r="H673" s="44"/>
      <c r="I673" s="1744"/>
      <c r="J673" s="1740"/>
      <c r="K673" s="1778"/>
      <c r="L673" s="1779"/>
      <c r="M673" s="1780"/>
      <c r="N673" s="1781"/>
      <c r="O673" s="1782"/>
      <c r="P673" s="1780">
        <f>ROUND(M673*O673,2)</f>
        <v>0</v>
      </c>
      <c r="Q673" s="1756"/>
      <c r="R673" s="1756"/>
      <c r="S673" s="1756"/>
      <c r="T673" s="1756"/>
      <c r="U673" s="1756"/>
    </row>
    <row r="674" spans="1:21" s="1773" customFormat="1" ht="6" customHeight="1">
      <c r="A674" s="1860"/>
      <c r="B674" s="1774"/>
      <c r="C674" s="31"/>
      <c r="D674" s="713"/>
      <c r="E674" s="713"/>
      <c r="F674" s="1864"/>
      <c r="G674" s="1772"/>
      <c r="H674" s="1775"/>
      <c r="I674" s="1744"/>
      <c r="J674" s="1740"/>
      <c r="K674" s="1783"/>
      <c r="L674" s="1784"/>
      <c r="M674" s="1785"/>
      <c r="N674" s="1781"/>
      <c r="O674" s="1786"/>
      <c r="P674" s="1787">
        <f>M674*O674</f>
        <v>0</v>
      </c>
      <c r="Q674" s="1756"/>
      <c r="R674" s="1756"/>
      <c r="S674" s="1756"/>
      <c r="T674" s="1756"/>
      <c r="U674" s="1756"/>
    </row>
    <row r="675" spans="1:21" s="1773" customFormat="1" ht="12.75" customHeight="1">
      <c r="A675" s="1861">
        <v>5</v>
      </c>
      <c r="B675" s="819" t="s">
        <v>1652</v>
      </c>
      <c r="C675" s="31"/>
      <c r="D675" s="713"/>
      <c r="E675" s="713"/>
      <c r="F675" s="1864"/>
      <c r="G675" s="1772"/>
      <c r="H675" s="44"/>
      <c r="I675" s="1744"/>
      <c r="J675" s="1740"/>
      <c r="K675" s="44"/>
      <c r="L675" s="1779"/>
      <c r="M675" s="7"/>
      <c r="N675" s="7"/>
      <c r="O675" s="7"/>
      <c r="P675" s="7">
        <f t="shared" ref="P675:P681" si="29">ROUND(M675*O675,2)</f>
        <v>0</v>
      </c>
      <c r="Q675" s="1756"/>
      <c r="R675" s="1756"/>
      <c r="S675" s="1756"/>
      <c r="T675" s="1756"/>
      <c r="U675" s="1756"/>
    </row>
    <row r="676" spans="1:21" s="1773" customFormat="1" ht="38.25">
      <c r="A676" s="1860">
        <v>5.0999999999999996</v>
      </c>
      <c r="B676" s="1201" t="s">
        <v>1653</v>
      </c>
      <c r="C676" s="31">
        <v>2</v>
      </c>
      <c r="D676" s="713" t="s">
        <v>3</v>
      </c>
      <c r="E676" s="713">
        <v>136500</v>
      </c>
      <c r="F676" s="1864">
        <f>C676*E676</f>
        <v>273000</v>
      </c>
      <c r="G676" s="1772"/>
      <c r="H676" s="1788"/>
      <c r="I676" s="1744"/>
      <c r="J676" s="1740"/>
      <c r="K676" s="1778"/>
      <c r="L676" s="1779"/>
      <c r="M676" s="1780"/>
      <c r="N676" s="1781"/>
      <c r="O676" s="1786"/>
      <c r="P676" s="1780">
        <f t="shared" si="29"/>
        <v>0</v>
      </c>
      <c r="Q676" s="1756"/>
      <c r="R676" s="1756"/>
      <c r="S676" s="1756"/>
      <c r="T676" s="1756"/>
      <c r="U676" s="1756"/>
    </row>
    <row r="677" spans="1:21" s="1773" customFormat="1">
      <c r="A677" s="1860">
        <v>5.2</v>
      </c>
      <c r="B677" s="522" t="s">
        <v>1654</v>
      </c>
      <c r="C677" s="31">
        <v>2</v>
      </c>
      <c r="D677" s="713" t="s">
        <v>3</v>
      </c>
      <c r="E677" s="713">
        <v>30000</v>
      </c>
      <c r="F677" s="1864">
        <f t="shared" ref="F677:F686" si="30">C677*E677</f>
        <v>60000</v>
      </c>
      <c r="G677" s="1772"/>
      <c r="H677" s="1788"/>
      <c r="I677" s="1744"/>
      <c r="J677" s="1740"/>
      <c r="K677" s="1789"/>
      <c r="L677" s="1779"/>
      <c r="M677" s="1780"/>
      <c r="N677" s="1781"/>
      <c r="O677" s="1782"/>
      <c r="P677" s="1780">
        <f t="shared" si="29"/>
        <v>0</v>
      </c>
      <c r="Q677" s="1756"/>
      <c r="R677" s="1756"/>
      <c r="S677" s="1756"/>
      <c r="T677" s="1756"/>
      <c r="U677" s="1756"/>
    </row>
    <row r="678" spans="1:21" s="1773" customFormat="1">
      <c r="A678" s="1860">
        <v>5.3</v>
      </c>
      <c r="B678" s="522" t="s">
        <v>1655</v>
      </c>
      <c r="C678" s="31">
        <v>6</v>
      </c>
      <c r="D678" s="713" t="s">
        <v>3</v>
      </c>
      <c r="E678" s="713">
        <v>4352.04</v>
      </c>
      <c r="F678" s="1864">
        <f>C678*E678</f>
        <v>26112.240000000002</v>
      </c>
      <c r="G678" s="1772"/>
      <c r="H678" s="1788"/>
      <c r="I678" s="1744"/>
      <c r="J678" s="1740"/>
      <c r="K678" s="1789"/>
      <c r="L678" s="1779"/>
      <c r="M678" s="1780"/>
      <c r="N678" s="1781"/>
      <c r="O678" s="1782"/>
      <c r="P678" s="1780"/>
      <c r="Q678" s="1756"/>
      <c r="R678" s="1756"/>
      <c r="S678" s="1756"/>
      <c r="T678" s="1756"/>
      <c r="U678" s="1756"/>
    </row>
    <row r="679" spans="1:21" s="1773" customFormat="1">
      <c r="A679" s="1860">
        <v>5.4</v>
      </c>
      <c r="B679" s="522" t="s">
        <v>1656</v>
      </c>
      <c r="C679" s="31">
        <v>3</v>
      </c>
      <c r="D679" s="713" t="s">
        <v>3</v>
      </c>
      <c r="E679" s="713">
        <v>6280.9</v>
      </c>
      <c r="F679" s="1864">
        <f t="shared" si="30"/>
        <v>18842.7</v>
      </c>
      <c r="G679" s="1772"/>
      <c r="H679" s="1788"/>
      <c r="I679" s="1744"/>
      <c r="J679" s="1740"/>
      <c r="K679" s="1778"/>
      <c r="L679" s="1779"/>
      <c r="M679" s="1780"/>
      <c r="N679" s="1781"/>
      <c r="O679" s="1782"/>
      <c r="P679" s="1780">
        <f t="shared" si="29"/>
        <v>0</v>
      </c>
      <c r="Q679" s="1756"/>
      <c r="R679" s="1756"/>
      <c r="S679" s="1756"/>
      <c r="T679" s="1756"/>
      <c r="U679" s="1756"/>
    </row>
    <row r="680" spans="1:21" s="1773" customFormat="1">
      <c r="A680" s="1860">
        <v>5.5</v>
      </c>
      <c r="B680" s="522" t="s">
        <v>1657</v>
      </c>
      <c r="C680" s="31">
        <v>6</v>
      </c>
      <c r="D680" s="713" t="s">
        <v>3</v>
      </c>
      <c r="E680" s="713">
        <v>2390.48</v>
      </c>
      <c r="F680" s="1864">
        <f t="shared" si="30"/>
        <v>14342.88</v>
      </c>
      <c r="G680" s="1772"/>
      <c r="H680" s="1788"/>
      <c r="I680" s="1744"/>
      <c r="J680" s="1740"/>
      <c r="K680" s="1789"/>
      <c r="L680" s="1779"/>
      <c r="M680" s="1780"/>
      <c r="N680" s="1781"/>
      <c r="O680" s="1782"/>
      <c r="P680" s="1780">
        <f t="shared" si="29"/>
        <v>0</v>
      </c>
      <c r="Q680" s="1756"/>
      <c r="R680" s="1756"/>
      <c r="S680" s="1756"/>
      <c r="T680" s="1756"/>
      <c r="U680" s="1756"/>
    </row>
    <row r="681" spans="1:21" s="1773" customFormat="1" ht="25.5">
      <c r="A681" s="1860">
        <v>5.6</v>
      </c>
      <c r="B681" s="1201" t="s">
        <v>1658</v>
      </c>
      <c r="C681" s="31">
        <v>3</v>
      </c>
      <c r="D681" s="713" t="s">
        <v>3</v>
      </c>
      <c r="E681" s="713">
        <v>34889.18</v>
      </c>
      <c r="F681" s="1864">
        <f t="shared" si="30"/>
        <v>104667.54</v>
      </c>
      <c r="G681" s="1772"/>
      <c r="H681" s="1788"/>
      <c r="I681" s="1744"/>
      <c r="J681" s="1740"/>
      <c r="K681" s="1778"/>
      <c r="L681" s="1779"/>
      <c r="M681" s="1780"/>
      <c r="N681" s="1781"/>
      <c r="O681" s="1782"/>
      <c r="P681" s="1780">
        <f t="shared" si="29"/>
        <v>0</v>
      </c>
      <c r="Q681" s="1756"/>
      <c r="R681" s="1756"/>
      <c r="S681" s="1756"/>
      <c r="T681" s="1756"/>
      <c r="U681" s="1756"/>
    </row>
    <row r="682" spans="1:21" s="1773" customFormat="1" ht="25.5">
      <c r="A682" s="1860">
        <v>5.7</v>
      </c>
      <c r="B682" s="1201" t="s">
        <v>1659</v>
      </c>
      <c r="C682" s="31">
        <v>3</v>
      </c>
      <c r="D682" s="713" t="s">
        <v>3</v>
      </c>
      <c r="E682" s="713">
        <v>19700</v>
      </c>
      <c r="F682" s="1864">
        <f t="shared" si="30"/>
        <v>59100</v>
      </c>
      <c r="G682" s="1772"/>
      <c r="H682" s="1788"/>
      <c r="I682" s="1744"/>
      <c r="J682" s="1740"/>
      <c r="K682" s="1756"/>
      <c r="L682" s="1756"/>
      <c r="M682" s="1756"/>
      <c r="N682" s="1756"/>
      <c r="O682" s="1756"/>
      <c r="P682" s="1756"/>
      <c r="Q682" s="1756"/>
      <c r="R682" s="1756"/>
      <c r="S682" s="1756"/>
      <c r="T682" s="1756"/>
      <c r="U682" s="1756"/>
    </row>
    <row r="683" spans="1:21" s="1773" customFormat="1" ht="25.5">
      <c r="A683" s="1860">
        <v>5.8</v>
      </c>
      <c r="B683" s="1201" t="s">
        <v>1660</v>
      </c>
      <c r="C683" s="31">
        <v>1</v>
      </c>
      <c r="D683" s="713" t="s">
        <v>3</v>
      </c>
      <c r="E683" s="713">
        <v>59722.59</v>
      </c>
      <c r="F683" s="1864">
        <f t="shared" si="30"/>
        <v>59722.59</v>
      </c>
      <c r="G683" s="1772"/>
      <c r="H683" s="1788"/>
      <c r="I683" s="1744"/>
      <c r="J683" s="1740"/>
      <c r="K683" s="1756"/>
      <c r="L683" s="1756"/>
      <c r="M683" s="1756"/>
      <c r="N683" s="1756"/>
      <c r="O683" s="1756"/>
      <c r="P683" s="1756"/>
      <c r="Q683" s="1756"/>
      <c r="R683" s="1756"/>
      <c r="S683" s="1756"/>
      <c r="T683" s="1756"/>
      <c r="U683" s="1756"/>
    </row>
    <row r="684" spans="1:21" s="1773" customFormat="1">
      <c r="A684" s="1860">
        <v>5.9</v>
      </c>
      <c r="B684" s="522" t="s">
        <v>1661</v>
      </c>
      <c r="C684" s="31">
        <v>1</v>
      </c>
      <c r="D684" s="713" t="s">
        <v>3</v>
      </c>
      <c r="E684" s="713">
        <v>122261.5</v>
      </c>
      <c r="F684" s="1864">
        <f>C684*E684</f>
        <v>122261.5</v>
      </c>
      <c r="G684" s="1772"/>
      <c r="H684" s="1788"/>
      <c r="I684" s="1744"/>
      <c r="J684" s="1740"/>
      <c r="K684" s="1756"/>
      <c r="L684" s="1756"/>
      <c r="M684" s="1756"/>
      <c r="N684" s="1756"/>
      <c r="O684" s="1756"/>
      <c r="P684" s="1756"/>
      <c r="Q684" s="1756"/>
      <c r="R684" s="1756"/>
      <c r="S684" s="1756"/>
      <c r="T684" s="1756"/>
      <c r="U684" s="1756"/>
    </row>
    <row r="685" spans="1:21" s="1773" customFormat="1">
      <c r="A685" s="1860">
        <v>5.0999999999999996</v>
      </c>
      <c r="B685" s="522" t="s">
        <v>1662</v>
      </c>
      <c r="C685" s="31">
        <v>6</v>
      </c>
      <c r="D685" s="713" t="s">
        <v>3</v>
      </c>
      <c r="E685" s="713">
        <v>6229.73</v>
      </c>
      <c r="F685" s="1864">
        <f>C685*E685</f>
        <v>37378.379999999997</v>
      </c>
      <c r="G685" s="1772"/>
      <c r="H685" s="1788"/>
      <c r="I685" s="1744"/>
      <c r="J685" s="1740"/>
      <c r="K685" s="1756"/>
      <c r="L685" s="1756"/>
      <c r="M685" s="1756"/>
      <c r="N685" s="1756"/>
      <c r="O685" s="1756"/>
      <c r="P685" s="1756"/>
      <c r="Q685" s="1756"/>
      <c r="R685" s="1756"/>
      <c r="S685" s="1756"/>
      <c r="T685" s="1756"/>
      <c r="U685" s="1756"/>
    </row>
    <row r="686" spans="1:21" s="1773" customFormat="1" ht="12.75" customHeight="1">
      <c r="A686" s="1860">
        <v>5.1100000000000003</v>
      </c>
      <c r="B686" s="522" t="s">
        <v>1663</v>
      </c>
      <c r="C686" s="31">
        <v>2</v>
      </c>
      <c r="D686" s="713" t="s">
        <v>3</v>
      </c>
      <c r="E686" s="713">
        <v>2000</v>
      </c>
      <c r="F686" s="1864">
        <f t="shared" si="30"/>
        <v>4000</v>
      </c>
      <c r="G686" s="1772"/>
      <c r="H686" s="1788"/>
      <c r="I686" s="1744"/>
      <c r="J686" s="1740"/>
      <c r="K686" s="1756"/>
      <c r="L686" s="1756"/>
      <c r="M686" s="1756"/>
      <c r="N686" s="1756"/>
      <c r="O686" s="1756"/>
      <c r="P686" s="1756"/>
      <c r="Q686" s="1756"/>
      <c r="R686" s="1756"/>
      <c r="S686" s="1756"/>
      <c r="T686" s="1756"/>
      <c r="U686" s="1756"/>
    </row>
    <row r="687" spans="1:21" s="1773" customFormat="1">
      <c r="A687" s="1860">
        <v>5.12</v>
      </c>
      <c r="B687" s="522" t="s">
        <v>1664</v>
      </c>
      <c r="C687" s="31">
        <v>3</v>
      </c>
      <c r="D687" s="713" t="s">
        <v>3</v>
      </c>
      <c r="E687" s="713">
        <v>2300</v>
      </c>
      <c r="F687" s="1864">
        <f>C687*E687</f>
        <v>6900</v>
      </c>
      <c r="G687" s="1772"/>
      <c r="H687" s="1788"/>
      <c r="I687" s="1744"/>
      <c r="J687" s="1740"/>
      <c r="K687" s="1756"/>
      <c r="L687" s="1756"/>
      <c r="M687" s="1756"/>
      <c r="N687" s="1756"/>
      <c r="O687" s="1756"/>
      <c r="P687" s="1756"/>
      <c r="Q687" s="1756"/>
      <c r="R687" s="1756"/>
      <c r="S687" s="1756"/>
      <c r="T687" s="1756"/>
      <c r="U687" s="1756"/>
    </row>
    <row r="688" spans="1:21" s="1773" customFormat="1" ht="25.5">
      <c r="A688" s="1860">
        <v>5.13</v>
      </c>
      <c r="B688" s="1201" t="s">
        <v>1274</v>
      </c>
      <c r="C688" s="31">
        <v>40</v>
      </c>
      <c r="D688" s="713" t="s">
        <v>1665</v>
      </c>
      <c r="E688" s="713">
        <v>650</v>
      </c>
      <c r="F688" s="1864">
        <f>C688*E688</f>
        <v>26000</v>
      </c>
      <c r="G688" s="1772"/>
      <c r="H688" s="1788"/>
      <c r="I688" s="1744"/>
      <c r="J688" s="1740"/>
      <c r="K688" s="1756"/>
      <c r="L688" s="1756"/>
      <c r="M688" s="1756"/>
      <c r="N688" s="1756"/>
      <c r="O688" s="1756"/>
      <c r="P688" s="1756"/>
      <c r="Q688" s="1756"/>
      <c r="R688" s="1756"/>
      <c r="S688" s="1756"/>
      <c r="T688" s="1756"/>
      <c r="U688" s="1756"/>
    </row>
    <row r="689" spans="1:21" s="1773" customFormat="1" ht="12.75" customHeight="1">
      <c r="A689" s="1860"/>
      <c r="B689" s="522"/>
      <c r="C689" s="31"/>
      <c r="D689" s="713"/>
      <c r="E689" s="713"/>
      <c r="F689" s="1864"/>
      <c r="G689" s="1772"/>
      <c r="H689" s="1788"/>
      <c r="I689" s="1744"/>
      <c r="J689" s="1740"/>
      <c r="K689" s="1756"/>
      <c r="L689" s="1756"/>
      <c r="M689" s="1756"/>
      <c r="N689" s="1756"/>
      <c r="O689" s="1756"/>
      <c r="P689" s="1756"/>
      <c r="Q689" s="1756"/>
      <c r="R689" s="1756"/>
      <c r="S689" s="1756"/>
      <c r="T689" s="1756"/>
      <c r="U689" s="1756"/>
    </row>
    <row r="690" spans="1:21" s="1539" customFormat="1" ht="16.5" customHeight="1">
      <c r="A690" s="1873"/>
      <c r="B690" s="1827" t="s">
        <v>2324</v>
      </c>
      <c r="C690" s="1827"/>
      <c r="D690" s="1827"/>
      <c r="E690" s="1828"/>
      <c r="F690" s="1874">
        <f>+SUM(F614:F688)</f>
        <v>1988738.02</v>
      </c>
      <c r="G690" s="1741"/>
    </row>
    <row r="691" spans="1:21" s="1773" customFormat="1" ht="12.75" customHeight="1">
      <c r="A691" s="1861"/>
      <c r="B691" s="819"/>
      <c r="C691" s="31"/>
      <c r="D691" s="819"/>
      <c r="E691" s="819"/>
      <c r="F691" s="1864"/>
      <c r="G691" s="1772"/>
      <c r="H691" s="44"/>
      <c r="I691" s="1744"/>
      <c r="J691" s="1740"/>
      <c r="K691" s="1756"/>
      <c r="L691" s="1756"/>
      <c r="M691" s="1756"/>
      <c r="N691" s="1756"/>
      <c r="O691" s="1756"/>
      <c r="P691" s="1756"/>
      <c r="Q691" s="1756"/>
      <c r="R691" s="1756"/>
      <c r="S691" s="1756"/>
      <c r="T691" s="1756"/>
      <c r="U691" s="1756"/>
    </row>
    <row r="692" spans="1:21" s="1539" customFormat="1" ht="16.5" customHeight="1">
      <c r="A692" s="1873"/>
      <c r="B692" s="1827" t="s">
        <v>2259</v>
      </c>
      <c r="C692" s="1827"/>
      <c r="D692" s="1827"/>
      <c r="E692" s="1828"/>
      <c r="F692" s="1874">
        <f>+F690+F610+F543+F480+F440+F362+F214</f>
        <v>60589354.350000001</v>
      </c>
      <c r="G692" s="1741"/>
    </row>
    <row r="693" spans="1:21" s="44" customFormat="1" ht="6.75" customHeight="1">
      <c r="A693" s="1860"/>
      <c r="B693" s="1768"/>
      <c r="C693" s="31"/>
      <c r="D693" s="522"/>
      <c r="E693" s="522"/>
      <c r="F693" s="1864"/>
    </row>
    <row r="694" spans="1:21" s="842" customFormat="1" ht="27" customHeight="1">
      <c r="A694" t="s">
        <v>10</v>
      </c>
      <c r="B694" s="851" t="s">
        <v>2240</v>
      </c>
      <c r="C694" s="31"/>
      <c r="D694" s="1790"/>
      <c r="E694" s="1751"/>
      <c r="F694" s="1864"/>
      <c r="G694" s="1036"/>
      <c r="H694" s="1036"/>
      <c r="I694" s="1036"/>
      <c r="J694" s="1036"/>
    </row>
    <row r="695" spans="1:21" s="44" customFormat="1">
      <c r="A695" t="s">
        <v>548</v>
      </c>
      <c r="B695" s="745" t="s">
        <v>37</v>
      </c>
      <c r="C695" s="31">
        <v>999</v>
      </c>
      <c r="D695" s="814" t="s">
        <v>1</v>
      </c>
      <c r="E695" s="1751">
        <v>15</v>
      </c>
      <c r="F695" s="1864">
        <f>+ROUND((E695*C695),2)</f>
        <v>14985</v>
      </c>
      <c r="G695" s="812"/>
      <c r="H695" s="812"/>
      <c r="I695" s="812"/>
      <c r="J695" s="812"/>
    </row>
    <row r="696" spans="1:21" s="44" customFormat="1" ht="6.75" customHeight="1">
      <c r="A696"/>
      <c r="B696" s="816"/>
      <c r="C696" s="31"/>
      <c r="D696" s="1790"/>
      <c r="E696" s="1751"/>
      <c r="F696" s="1864">
        <f>+ROUND((E696*C696),2)</f>
        <v>0</v>
      </c>
      <c r="G696" s="812"/>
      <c r="H696" s="812"/>
      <c r="I696" s="812"/>
      <c r="J696" s="812"/>
    </row>
    <row r="697" spans="1:21" s="44" customFormat="1">
      <c r="A697" s="1897" t="s">
        <v>549</v>
      </c>
      <c r="B697" s="818" t="s">
        <v>38</v>
      </c>
      <c r="C697" s="31"/>
      <c r="D697" s="1790"/>
      <c r="E697" s="1751"/>
      <c r="F697" s="1864">
        <f>+ROUND((E697*C697),2)</f>
        <v>0</v>
      </c>
      <c r="G697" s="812"/>
      <c r="H697" s="812"/>
      <c r="I697" s="812"/>
      <c r="J697" s="812"/>
    </row>
    <row r="698" spans="1:21" s="1539" customFormat="1">
      <c r="A698" s="1863" t="s">
        <v>1182</v>
      </c>
      <c r="B698" s="1201" t="s">
        <v>2325</v>
      </c>
      <c r="C698" s="31">
        <v>615.38</v>
      </c>
      <c r="D698" s="713" t="s">
        <v>2</v>
      </c>
      <c r="E698" s="714">
        <v>154.53</v>
      </c>
      <c r="F698" s="1864">
        <f>+ROUND(C698*E698,2)</f>
        <v>95094.67</v>
      </c>
      <c r="G698" s="1741"/>
      <c r="H698" s="1742"/>
      <c r="I698" s="1743"/>
    </row>
    <row r="699" spans="1:21" s="1539" customFormat="1" ht="25.5">
      <c r="A699" s="1863" t="s">
        <v>1183</v>
      </c>
      <c r="B699" s="1201" t="s">
        <v>2315</v>
      </c>
      <c r="C699" s="31">
        <v>263.74</v>
      </c>
      <c r="D699" s="713" t="s">
        <v>2</v>
      </c>
      <c r="E699" s="714">
        <v>1125.8</v>
      </c>
      <c r="F699" s="1864">
        <f>+ROUND(C699*E699,2)</f>
        <v>296918.49</v>
      </c>
      <c r="G699" s="1741"/>
      <c r="H699" s="1742"/>
      <c r="I699" s="1743"/>
    </row>
    <row r="700" spans="1:21" s="1539" customFormat="1" ht="7.5" customHeight="1">
      <c r="A700" s="1863"/>
      <c r="B700" s="1201"/>
      <c r="C700" s="31"/>
      <c r="D700" s="713"/>
      <c r="E700" s="714"/>
      <c r="F700" s="1864"/>
      <c r="G700" s="1741"/>
      <c r="H700" s="1742"/>
      <c r="I700" s="1743"/>
    </row>
    <row r="701" spans="1:21" s="1539" customFormat="1">
      <c r="A701" s="1863">
        <v>2.2000000000000002</v>
      </c>
      <c r="B701" s="1201" t="s">
        <v>1181</v>
      </c>
      <c r="C701" s="31">
        <v>599.4</v>
      </c>
      <c r="D701" s="713" t="s">
        <v>11</v>
      </c>
      <c r="E701" s="714">
        <v>28.5</v>
      </c>
      <c r="F701" s="1864">
        <f>+ROUND(C701*E701,2)</f>
        <v>17082.900000000001</v>
      </c>
      <c r="G701" s="1741"/>
      <c r="H701" s="1742"/>
      <c r="I701" s="1743"/>
    </row>
    <row r="702" spans="1:21" s="1539" customFormat="1">
      <c r="A702" s="1855">
        <v>2.2999999999999998</v>
      </c>
      <c r="B702" s="716" t="s">
        <v>4</v>
      </c>
      <c r="C702" s="31">
        <v>87.91</v>
      </c>
      <c r="D702" s="713" t="s">
        <v>2</v>
      </c>
      <c r="E702" s="714">
        <v>1108.8900000000001</v>
      </c>
      <c r="F702" s="1864">
        <f>+ROUND(C702*E702,2)</f>
        <v>97482.52</v>
      </c>
      <c r="G702" s="1741"/>
    </row>
    <row r="703" spans="1:21" s="1539" customFormat="1" ht="27.75" customHeight="1">
      <c r="A703" s="1855">
        <v>2.4</v>
      </c>
      <c r="B703" s="747" t="s">
        <v>2326</v>
      </c>
      <c r="C703" s="31">
        <v>329.67</v>
      </c>
      <c r="D703" s="713" t="s">
        <v>2</v>
      </c>
      <c r="E703" s="714">
        <v>668.95</v>
      </c>
      <c r="F703" s="1864">
        <f>+ROUND(C703*E703,2)</f>
        <v>220532.75</v>
      </c>
      <c r="G703" s="1741"/>
    </row>
    <row r="704" spans="1:21" s="1539" customFormat="1" ht="25.5">
      <c r="A704" s="1863">
        <v>2.5</v>
      </c>
      <c r="B704" s="1201" t="s">
        <v>1184</v>
      </c>
      <c r="C704" s="31">
        <v>743.96</v>
      </c>
      <c r="D704" s="713" t="s">
        <v>2</v>
      </c>
      <c r="E704" s="714">
        <v>183.5</v>
      </c>
      <c r="F704" s="1864">
        <f>+ROUND(C704*E704,2)</f>
        <v>136516.66</v>
      </c>
      <c r="G704" s="1741"/>
    </row>
    <row r="705" spans="1:10" s="1539" customFormat="1" ht="25.5">
      <c r="A705">
        <v>2.6</v>
      </c>
      <c r="B705" s="1843" t="s">
        <v>1579</v>
      </c>
      <c r="C705" s="1813">
        <v>648.07000000000005</v>
      </c>
      <c r="D705" s="1821" t="s">
        <v>2</v>
      </c>
      <c r="E705" s="1825">
        <v>210</v>
      </c>
      <c r="F705" s="1879">
        <f>+ROUND(C705*E705,2)</f>
        <v>136094.70000000001</v>
      </c>
      <c r="G705" s="1741"/>
    </row>
    <row r="706" spans="1:10" s="44" customFormat="1" ht="8.25" customHeight="1">
      <c r="A706"/>
      <c r="B706" s="522"/>
      <c r="C706" s="31"/>
      <c r="D706" s="814"/>
      <c r="E706" s="1751"/>
      <c r="F706" s="1864">
        <f t="shared" ref="F706:F712" si="31">+ROUND((E706*C706),2)</f>
        <v>0</v>
      </c>
      <c r="G706" s="812"/>
      <c r="H706" s="812"/>
      <c r="I706" s="812"/>
      <c r="J706" s="812"/>
    </row>
    <row r="707" spans="1:10" s="44" customFormat="1">
      <c r="A707" s="1897" t="s">
        <v>552</v>
      </c>
      <c r="B707" s="818" t="s">
        <v>553</v>
      </c>
      <c r="C707" s="31"/>
      <c r="D707" s="1790"/>
      <c r="E707" s="1751"/>
      <c r="F707" s="1864">
        <f t="shared" si="31"/>
        <v>0</v>
      </c>
      <c r="G707" s="812"/>
      <c r="H707" s="812"/>
      <c r="I707" s="812"/>
      <c r="J707" s="812"/>
    </row>
    <row r="708" spans="1:10" s="842" customFormat="1" ht="30.75" customHeight="1">
      <c r="A708" t="s">
        <v>554</v>
      </c>
      <c r="B708" s="1028" t="s">
        <v>2241</v>
      </c>
      <c r="C708" s="31">
        <v>1018.98</v>
      </c>
      <c r="D708" s="814" t="s">
        <v>1</v>
      </c>
      <c r="E708" s="1751">
        <v>321.10000000000002</v>
      </c>
      <c r="F708" s="1864">
        <f t="shared" si="31"/>
        <v>327194.48</v>
      </c>
      <c r="G708" s="1741"/>
      <c r="H708" s="1036"/>
      <c r="I708" s="1036"/>
      <c r="J708" s="1036"/>
    </row>
    <row r="709" spans="1:10" s="44" customFormat="1" ht="7.5" customHeight="1">
      <c r="A709"/>
      <c r="B709" s="816"/>
      <c r="C709" s="31"/>
      <c r="D709" s="1790"/>
      <c r="E709" s="1751"/>
      <c r="F709" s="1864">
        <f t="shared" si="31"/>
        <v>0</v>
      </c>
      <c r="G709" s="812"/>
      <c r="H709" s="812"/>
      <c r="I709" s="812"/>
      <c r="J709" s="812"/>
    </row>
    <row r="710" spans="1:10" s="44" customFormat="1">
      <c r="A710" s="1897" t="s">
        <v>555</v>
      </c>
      <c r="B710" s="818" t="s">
        <v>556</v>
      </c>
      <c r="C710" s="31"/>
      <c r="D710" s="1790"/>
      <c r="E710" s="1751"/>
      <c r="F710" s="1864">
        <f t="shared" si="31"/>
        <v>0</v>
      </c>
      <c r="G710" s="812"/>
      <c r="H710" s="812"/>
      <c r="I710" s="812"/>
      <c r="J710" s="812"/>
    </row>
    <row r="711" spans="1:10" s="44" customFormat="1" ht="18.75" customHeight="1">
      <c r="A711" t="s">
        <v>557</v>
      </c>
      <c r="B711" s="1028" t="s">
        <v>2327</v>
      </c>
      <c r="C711" s="31">
        <v>999</v>
      </c>
      <c r="D711" s="814" t="s">
        <v>1</v>
      </c>
      <c r="E711" s="1751">
        <v>27.98</v>
      </c>
      <c r="F711" s="1864">
        <f t="shared" si="31"/>
        <v>27952.02</v>
      </c>
      <c r="G711" s="1741"/>
      <c r="H711" s="812"/>
      <c r="I711" s="812"/>
      <c r="J711" s="812"/>
    </row>
    <row r="712" spans="1:10" s="44" customFormat="1" ht="6" customHeight="1">
      <c r="A712"/>
      <c r="B712" s="816"/>
      <c r="C712" s="31"/>
      <c r="D712" s="1790"/>
      <c r="E712" s="1751"/>
      <c r="F712" s="1864">
        <f t="shared" si="31"/>
        <v>0</v>
      </c>
      <c r="G712" s="812"/>
      <c r="H712" s="812"/>
      <c r="I712" s="812"/>
      <c r="J712" s="812"/>
    </row>
    <row r="713" spans="1:10" s="44" customFormat="1">
      <c r="A713" s="1897" t="s">
        <v>558</v>
      </c>
      <c r="B713" s="818" t="s">
        <v>559</v>
      </c>
      <c r="C713" s="31"/>
      <c r="D713" s="1790"/>
      <c r="E713" s="1751"/>
      <c r="F713" s="1864"/>
      <c r="G713" s="812"/>
      <c r="H713" s="812"/>
      <c r="I713" s="812"/>
      <c r="J713" s="812"/>
    </row>
    <row r="714" spans="1:10" s="44" customFormat="1" ht="25.5">
      <c r="A714" t="s">
        <v>560</v>
      </c>
      <c r="B714" s="1746" t="s">
        <v>1509</v>
      </c>
      <c r="C714" s="31">
        <v>6</v>
      </c>
      <c r="D714" s="1790" t="s">
        <v>3</v>
      </c>
      <c r="E714" s="1751">
        <v>2119.35</v>
      </c>
      <c r="F714" s="1864">
        <f t="shared" ref="F714:F719" si="32">+ROUND((E714*C714),2)</f>
        <v>12716.1</v>
      </c>
      <c r="G714" s="1741"/>
      <c r="H714" s="812"/>
      <c r="I714" s="812"/>
      <c r="J714" s="812"/>
    </row>
    <row r="715" spans="1:10" s="44" customFormat="1" ht="25.5">
      <c r="A715" t="s">
        <v>561</v>
      </c>
      <c r="B715" s="1746" t="s">
        <v>2243</v>
      </c>
      <c r="C715" s="31">
        <v>4</v>
      </c>
      <c r="D715" s="1790" t="s">
        <v>3</v>
      </c>
      <c r="E715" s="1751">
        <v>2443.85</v>
      </c>
      <c r="F715" s="1864">
        <f t="shared" si="32"/>
        <v>9775.4</v>
      </c>
      <c r="G715" s="1741"/>
      <c r="H715" s="812"/>
      <c r="I715" s="812"/>
      <c r="J715" s="812"/>
    </row>
    <row r="716" spans="1:10" s="44" customFormat="1">
      <c r="A716" t="s">
        <v>562</v>
      </c>
      <c r="B716" s="816" t="s">
        <v>1512</v>
      </c>
      <c r="C716" s="31">
        <v>20</v>
      </c>
      <c r="D716" s="522" t="s">
        <v>3</v>
      </c>
      <c r="E716" s="1751">
        <v>1566.25</v>
      </c>
      <c r="F716" s="1864">
        <f t="shared" si="32"/>
        <v>31325</v>
      </c>
      <c r="G716" s="1741"/>
      <c r="H716" s="812"/>
      <c r="I716" s="812"/>
      <c r="J716" s="812"/>
    </row>
    <row r="717" spans="1:10" s="44" customFormat="1">
      <c r="A717" t="s">
        <v>2124</v>
      </c>
      <c r="B717" s="816" t="s">
        <v>2245</v>
      </c>
      <c r="C717" s="31">
        <v>10</v>
      </c>
      <c r="D717" s="522" t="s">
        <v>3</v>
      </c>
      <c r="E717" s="1751">
        <v>3903.59</v>
      </c>
      <c r="F717" s="1864">
        <f t="shared" si="32"/>
        <v>39035.9</v>
      </c>
      <c r="G717" s="1741"/>
      <c r="H717" s="812"/>
      <c r="I717" s="812"/>
      <c r="J717" s="812"/>
    </row>
    <row r="718" spans="1:10" s="44" customFormat="1" ht="5.25" customHeight="1">
      <c r="A718"/>
      <c r="B718" s="816"/>
      <c r="C718" s="31"/>
      <c r="D718" s="522"/>
      <c r="E718" s="1751"/>
      <c r="F718" s="1864">
        <f t="shared" si="32"/>
        <v>0</v>
      </c>
      <c r="G718" s="1741"/>
      <c r="H718" s="812"/>
      <c r="I718" s="812"/>
      <c r="J718" s="812"/>
    </row>
    <row r="719" spans="1:10" s="44" customFormat="1">
      <c r="A719" s="1897" t="s">
        <v>565</v>
      </c>
      <c r="B719" s="818" t="s">
        <v>566</v>
      </c>
      <c r="C719" s="31"/>
      <c r="D719" s="1790"/>
      <c r="E719" s="1751"/>
      <c r="F719" s="1864">
        <f t="shared" si="32"/>
        <v>0</v>
      </c>
      <c r="G719" s="812"/>
      <c r="H719" s="812"/>
      <c r="I719" s="812"/>
      <c r="J719" s="812"/>
    </row>
    <row r="720" spans="1:10" s="1539" customFormat="1">
      <c r="A720" s="1855">
        <v>6.1</v>
      </c>
      <c r="B720" s="1746" t="s">
        <v>2258</v>
      </c>
      <c r="C720" s="31">
        <v>4</v>
      </c>
      <c r="D720" s="713" t="s">
        <v>3</v>
      </c>
      <c r="E720" s="712">
        <v>14250.5</v>
      </c>
      <c r="F720" s="1864">
        <f>+ROUND(C720*E720,2)</f>
        <v>57002</v>
      </c>
      <c r="G720" s="1741"/>
    </row>
    <row r="721" spans="1:10" s="1539" customFormat="1">
      <c r="A721" s="1855">
        <v>6.2</v>
      </c>
      <c r="B721" s="1746" t="s">
        <v>2257</v>
      </c>
      <c r="C721" s="31">
        <v>3</v>
      </c>
      <c r="D721" s="713" t="s">
        <v>3</v>
      </c>
      <c r="E721" s="714">
        <v>43500.9</v>
      </c>
      <c r="F721" s="1864">
        <f>+ROUND(C721*E721,2)</f>
        <v>130502.7</v>
      </c>
      <c r="G721" s="1741"/>
    </row>
    <row r="722" spans="1:10" s="1539" customFormat="1" ht="14.25" customHeight="1">
      <c r="A722" s="1855">
        <v>6.3</v>
      </c>
      <c r="B722" s="18" t="s">
        <v>414</v>
      </c>
      <c r="C722" s="31">
        <v>3</v>
      </c>
      <c r="D722" s="713" t="s">
        <v>3</v>
      </c>
      <c r="E722" s="714">
        <v>3500</v>
      </c>
      <c r="F722" s="1864">
        <f>+ROUND(C722*E722,2)</f>
        <v>10500</v>
      </c>
      <c r="G722" s="1741"/>
    </row>
    <row r="723" spans="1:10" s="1539" customFormat="1" ht="14.25" customHeight="1">
      <c r="A723" s="1855">
        <v>6.4</v>
      </c>
      <c r="B723" s="1794" t="s">
        <v>2242</v>
      </c>
      <c r="C723" s="1794">
        <v>4</v>
      </c>
      <c r="D723" s="1794" t="s">
        <v>3</v>
      </c>
      <c r="E723" s="1794">
        <v>22500</v>
      </c>
      <c r="F723" s="1899">
        <f>+ROUND(C723*E723,2)</f>
        <v>90000</v>
      </c>
      <c r="G723" s="1741"/>
    </row>
    <row r="724" spans="1:10" s="1539" customFormat="1" ht="6.75" customHeight="1">
      <c r="A724" s="1855"/>
      <c r="B724" s="18"/>
      <c r="C724" s="31"/>
      <c r="D724" s="713"/>
      <c r="E724" s="714"/>
      <c r="F724"/>
      <c r="G724" s="1741"/>
    </row>
    <row r="725" spans="1:10" s="44" customFormat="1">
      <c r="A725" s="1897">
        <v>7</v>
      </c>
      <c r="B725" s="818" t="s">
        <v>59</v>
      </c>
      <c r="C725" s="31"/>
      <c r="D725" s="1790"/>
      <c r="E725" s="1751"/>
      <c r="F725">
        <f>+ROUND(C725*E725,2)</f>
        <v>0</v>
      </c>
      <c r="G725" s="812"/>
      <c r="H725" s="812"/>
      <c r="I725" s="812"/>
      <c r="J725" s="812"/>
    </row>
    <row r="726" spans="1:10" s="1745" customFormat="1">
      <c r="A726" s="1855">
        <v>7.1</v>
      </c>
      <c r="B726" s="853" t="s">
        <v>2244</v>
      </c>
      <c r="C726" s="31">
        <v>999</v>
      </c>
      <c r="D726" s="713" t="s">
        <v>1</v>
      </c>
      <c r="E726" s="1747">
        <v>10.01</v>
      </c>
      <c r="F726">
        <f>+ROUND(C726*E726,2)</f>
        <v>9999.99</v>
      </c>
      <c r="G726" s="1741"/>
    </row>
    <row r="727" spans="1:10" s="1745" customFormat="1" ht="11.25" customHeight="1">
      <c r="A727" s="1855"/>
      <c r="B727" s="1052"/>
      <c r="C727" s="31"/>
      <c r="D727" s="713"/>
      <c r="E727" s="1747"/>
      <c r="F727" s="1864">
        <f>+ROUND(C727*E727,2)</f>
        <v>0</v>
      </c>
      <c r="G727" s="1741"/>
    </row>
    <row r="728" spans="1:10" s="1745" customFormat="1" ht="38.25">
      <c r="A728" s="1883">
        <v>8</v>
      </c>
      <c r="B728" s="1053" t="s">
        <v>520</v>
      </c>
      <c r="C728" s="31">
        <v>999</v>
      </c>
      <c r="D728" s="814" t="s">
        <v>1</v>
      </c>
      <c r="E728" s="32">
        <v>23.11</v>
      </c>
      <c r="F728" s="1864">
        <f>ROUND(C728*E728,2)</f>
        <v>23086.89</v>
      </c>
      <c r="G728" s="1741"/>
      <c r="J728" s="1748"/>
    </row>
    <row r="729" spans="1:10" s="1745" customFormat="1" ht="12.75" customHeight="1">
      <c r="A729" s="1855"/>
      <c r="B729" s="1052"/>
      <c r="C729" s="31"/>
      <c r="D729" s="814"/>
      <c r="E729" s="1777"/>
      <c r="F729" s="1864"/>
      <c r="G729" s="1741"/>
    </row>
    <row r="730" spans="1:10" s="1745" customFormat="1" ht="12.75" customHeight="1">
      <c r="A730" s="1855">
        <v>9</v>
      </c>
      <c r="B730" s="1052" t="s">
        <v>462</v>
      </c>
      <c r="C730" s="31">
        <v>999</v>
      </c>
      <c r="D730" s="814" t="s">
        <v>1</v>
      </c>
      <c r="E730" s="1777">
        <v>15</v>
      </c>
      <c r="F730" s="1864">
        <f>ROUND(C730*E730,2)</f>
        <v>14985</v>
      </c>
      <c r="G730" s="1741"/>
      <c r="J730" s="1748"/>
    </row>
    <row r="731" spans="1:10" s="1539" customFormat="1" ht="16.5" customHeight="1">
      <c r="A731" s="1873"/>
      <c r="B731" s="1827" t="s">
        <v>972</v>
      </c>
      <c r="C731" s="1827"/>
      <c r="D731" s="1827"/>
      <c r="E731" s="1828"/>
      <c r="F731" s="1874">
        <f>SUM(F695:F730)</f>
        <v>1798783.17</v>
      </c>
      <c r="G731" s="1741"/>
    </row>
    <row r="732" spans="1:10" s="44" customFormat="1">
      <c r="A732"/>
      <c r="B732" s="816"/>
      <c r="C732" s="31"/>
      <c r="D732" s="1790"/>
      <c r="E732" s="1751"/>
      <c r="F732" s="1864"/>
      <c r="G732" s="812"/>
      <c r="H732" s="812"/>
      <c r="I732" s="812"/>
      <c r="J732" s="812"/>
    </row>
    <row r="733" spans="1:10" s="842" customFormat="1" ht="17.25" customHeight="1">
      <c r="A733" t="s">
        <v>975</v>
      </c>
      <c r="B733" s="851" t="s">
        <v>1212</v>
      </c>
      <c r="C733" s="31"/>
      <c r="D733" s="1790"/>
      <c r="E733" s="1751"/>
      <c r="F733" s="1864"/>
      <c r="G733" s="1036"/>
      <c r="H733" s="1036"/>
      <c r="I733" s="1036"/>
      <c r="J733" s="1036"/>
    </row>
    <row r="734" spans="1:10" s="842" customFormat="1">
      <c r="A734"/>
      <c r="B734" s="1794"/>
      <c r="C734" s="31"/>
      <c r="D734" s="522"/>
      <c r="E734" s="522"/>
      <c r="F734" s="1864"/>
      <c r="G734" s="1266"/>
      <c r="H734" s="44"/>
      <c r="I734" s="44"/>
    </row>
    <row r="735" spans="1:10" s="1539" customFormat="1">
      <c r="A735" s="1861">
        <v>1</v>
      </c>
      <c r="B735" s="819" t="s">
        <v>1251</v>
      </c>
      <c r="C735" s="31"/>
      <c r="D735" s="1793"/>
      <c r="E735" s="1791"/>
      <c r="F735" s="1864"/>
      <c r="G735" s="1547"/>
      <c r="H735" s="1742"/>
      <c r="I735" s="1743"/>
    </row>
    <row r="736" spans="1:10" s="842" customFormat="1">
      <c r="A736" s="1889">
        <v>1.1000000000000001</v>
      </c>
      <c r="B736" s="522" t="s">
        <v>37</v>
      </c>
      <c r="C736" s="31">
        <v>1</v>
      </c>
      <c r="D736" s="1750" t="s">
        <v>1100</v>
      </c>
      <c r="E736" s="1749">
        <v>3500</v>
      </c>
      <c r="F736" s="1864">
        <f t="shared" ref="F736:F764" si="33">ROUND((C736*E736),2)</f>
        <v>3500</v>
      </c>
      <c r="G736" s="1547"/>
      <c r="H736" s="44"/>
      <c r="I736" s="44"/>
    </row>
    <row r="737" spans="1:9" s="842" customFormat="1">
      <c r="A737" s="1860"/>
      <c r="B737" s="522"/>
      <c r="C737" s="31"/>
      <c r="D737" s="1750"/>
      <c r="E737" s="1749"/>
      <c r="F737" s="1864"/>
      <c r="G737" s="1547"/>
      <c r="H737" s="44"/>
      <c r="I737" s="44"/>
    </row>
    <row r="738" spans="1:9" s="842" customFormat="1">
      <c r="A738" s="1861">
        <v>2</v>
      </c>
      <c r="B738" s="819" t="s">
        <v>38</v>
      </c>
      <c r="C738" s="31"/>
      <c r="D738" s="1750"/>
      <c r="E738" s="1749"/>
      <c r="F738" s="1864"/>
      <c r="G738" s="1547"/>
      <c r="H738" s="44"/>
      <c r="I738" s="44"/>
    </row>
    <row r="739" spans="1:9" s="842" customFormat="1">
      <c r="A739" s="1889">
        <v>2.1</v>
      </c>
      <c r="B739" s="745" t="s">
        <v>1252</v>
      </c>
      <c r="C739" s="31">
        <v>167.91</v>
      </c>
      <c r="D739" s="1750" t="s">
        <v>2</v>
      </c>
      <c r="E739" s="1749">
        <v>154.5</v>
      </c>
      <c r="F739" s="1864">
        <f t="shared" si="33"/>
        <v>25942.1</v>
      </c>
      <c r="G739" s="1547"/>
      <c r="H739" s="44"/>
      <c r="I739" s="44"/>
    </row>
    <row r="740" spans="1:9" s="842" customFormat="1" ht="25.5">
      <c r="A740" s="1889">
        <v>2.2000000000000002</v>
      </c>
      <c r="B740" s="745" t="s">
        <v>1253</v>
      </c>
      <c r="C740" s="31">
        <v>24.77</v>
      </c>
      <c r="D740" s="1750" t="s">
        <v>2</v>
      </c>
      <c r="E740" s="1749">
        <v>183.68</v>
      </c>
      <c r="F740" s="1864">
        <f t="shared" si="33"/>
        <v>4549.75</v>
      </c>
      <c r="G740" s="1847"/>
      <c r="H740" s="328"/>
      <c r="I740" s="44"/>
    </row>
    <row r="741" spans="1:9" s="842" customFormat="1" ht="25.5">
      <c r="A741" s="1889">
        <v>2.2999999999999998</v>
      </c>
      <c r="B741" s="717" t="s">
        <v>2250</v>
      </c>
      <c r="C741" s="31">
        <v>178.92</v>
      </c>
      <c r="D741" s="1750" t="s">
        <v>2</v>
      </c>
      <c r="E741" s="1749">
        <v>210</v>
      </c>
      <c r="F741" s="1864">
        <f t="shared" si="33"/>
        <v>37573.199999999997</v>
      </c>
      <c r="G741" s="1547"/>
      <c r="H741" s="328"/>
      <c r="I741" s="328"/>
    </row>
    <row r="742" spans="1:9" s="842" customFormat="1" ht="6.75" customHeight="1">
      <c r="A742" s="1860"/>
      <c r="B742" s="1752"/>
      <c r="C742" s="31">
        <v>0</v>
      </c>
      <c r="D742" s="1750"/>
      <c r="E742" s="1749"/>
      <c r="F742" s="1864">
        <f t="shared" si="33"/>
        <v>0</v>
      </c>
      <c r="G742" s="1547"/>
      <c r="H742" s="328"/>
      <c r="I742" s="44"/>
    </row>
    <row r="743" spans="1:9" s="1539" customFormat="1" ht="25.5">
      <c r="A743" s="1861">
        <v>3</v>
      </c>
      <c r="B743" s="744" t="s">
        <v>2251</v>
      </c>
      <c r="C743" s="31">
        <v>0</v>
      </c>
      <c r="D743" s="1793"/>
      <c r="E743" s="1791"/>
      <c r="F743" s="1864">
        <f t="shared" si="33"/>
        <v>0</v>
      </c>
      <c r="G743" s="1547"/>
      <c r="H743" s="1742"/>
      <c r="I743" s="1743"/>
    </row>
    <row r="744" spans="1:9" s="842" customFormat="1">
      <c r="A744" s="1889">
        <v>3.1</v>
      </c>
      <c r="B744" s="745" t="s">
        <v>1256</v>
      </c>
      <c r="C744" s="31">
        <v>6.53</v>
      </c>
      <c r="D744" s="1750" t="s">
        <v>2</v>
      </c>
      <c r="E744" s="1749">
        <v>11436.25</v>
      </c>
      <c r="F744" s="1864">
        <f t="shared" si="33"/>
        <v>74678.710000000006</v>
      </c>
      <c r="G744" s="1848"/>
      <c r="H744" s="328"/>
      <c r="I744" s="44"/>
    </row>
    <row r="745" spans="1:9" s="842" customFormat="1" ht="14.25" customHeight="1">
      <c r="A745" s="1889">
        <v>3.2</v>
      </c>
      <c r="B745" s="1792" t="s">
        <v>1257</v>
      </c>
      <c r="C745" s="31">
        <v>0.64</v>
      </c>
      <c r="D745" s="1750" t="s">
        <v>2</v>
      </c>
      <c r="E745" s="1749">
        <v>13999.69</v>
      </c>
      <c r="F745" s="1864">
        <f t="shared" si="33"/>
        <v>8959.7999999999993</v>
      </c>
      <c r="G745" s="1848"/>
      <c r="H745" s="328"/>
      <c r="I745" s="44"/>
    </row>
    <row r="746" spans="1:9" s="842" customFormat="1">
      <c r="A746">
        <v>3.3</v>
      </c>
      <c r="B746" s="1795" t="s">
        <v>1258</v>
      </c>
      <c r="C746" s="1813">
        <v>4.9400000000000004</v>
      </c>
      <c r="D746" s="1819" t="s">
        <v>2</v>
      </c>
      <c r="E746" s="1816">
        <v>12834.49</v>
      </c>
      <c r="F746" s="1879">
        <f t="shared" si="33"/>
        <v>63402.38</v>
      </c>
      <c r="G746" s="1848"/>
      <c r="H746" s="328"/>
      <c r="I746" s="44"/>
    </row>
    <row r="747" spans="1:9" s="842" customFormat="1">
      <c r="A747" s="1889">
        <v>3.4</v>
      </c>
      <c r="B747" s="522" t="s">
        <v>1259</v>
      </c>
      <c r="C747" s="31">
        <v>14.38</v>
      </c>
      <c r="D747" s="1750" t="s">
        <v>2</v>
      </c>
      <c r="E747" s="1749">
        <v>19906.63</v>
      </c>
      <c r="F747" s="1864">
        <f t="shared" si="33"/>
        <v>286257.34000000003</v>
      </c>
      <c r="G747" s="1848"/>
      <c r="H747" s="328"/>
      <c r="I747" s="44"/>
    </row>
    <row r="748" spans="1:9" s="842" customFormat="1">
      <c r="A748" s="1889">
        <v>3.5</v>
      </c>
      <c r="B748" s="522" t="s">
        <v>1260</v>
      </c>
      <c r="C748" s="31">
        <v>1.1299999999999999</v>
      </c>
      <c r="D748" s="1750" t="s">
        <v>2</v>
      </c>
      <c r="E748" s="1749">
        <v>24410.73</v>
      </c>
      <c r="F748" s="1864">
        <f t="shared" si="33"/>
        <v>27584.12</v>
      </c>
      <c r="G748" s="1848"/>
      <c r="H748" s="328"/>
      <c r="I748" s="44"/>
    </row>
    <row r="749" spans="1:9" s="842" customFormat="1">
      <c r="A749" s="1889">
        <v>3.6</v>
      </c>
      <c r="B749" s="522" t="s">
        <v>1261</v>
      </c>
      <c r="C749" s="31">
        <v>0.81</v>
      </c>
      <c r="D749" s="1750" t="s">
        <v>2</v>
      </c>
      <c r="E749" s="1749">
        <v>25647.16</v>
      </c>
      <c r="F749" s="1864">
        <f t="shared" si="33"/>
        <v>20774.2</v>
      </c>
      <c r="G749" s="1848"/>
      <c r="H749" s="328"/>
      <c r="I749" s="44"/>
    </row>
    <row r="750" spans="1:9" s="842" customFormat="1">
      <c r="A750" s="1889">
        <v>3.7</v>
      </c>
      <c r="B750" s="522" t="s">
        <v>1262</v>
      </c>
      <c r="C750" s="31">
        <v>5.86</v>
      </c>
      <c r="D750" s="1750" t="s">
        <v>2</v>
      </c>
      <c r="E750" s="1749">
        <v>14526.97</v>
      </c>
      <c r="F750" s="1864">
        <f t="shared" si="33"/>
        <v>85128.04</v>
      </c>
      <c r="G750" s="1848"/>
      <c r="H750" s="44"/>
      <c r="I750" s="44"/>
    </row>
    <row r="751" spans="1:9" s="842" customFormat="1">
      <c r="A751" s="1889">
        <v>3.8</v>
      </c>
      <c r="B751" s="522" t="s">
        <v>1263</v>
      </c>
      <c r="C751" s="31">
        <v>3.82</v>
      </c>
      <c r="D751" s="1750" t="s">
        <v>2</v>
      </c>
      <c r="E751" s="1749">
        <v>5068.3</v>
      </c>
      <c r="F751" s="1864">
        <f t="shared" si="33"/>
        <v>19360.91</v>
      </c>
      <c r="G751" s="1848"/>
      <c r="H751" s="44"/>
      <c r="I751" s="44"/>
    </row>
    <row r="752" spans="1:9" s="842" customFormat="1">
      <c r="A752" s="1860"/>
      <c r="B752" s="1752"/>
      <c r="C752" s="31"/>
      <c r="D752" s="1750"/>
      <c r="E752" s="1749"/>
      <c r="F752" s="1864"/>
      <c r="G752" s="1547"/>
      <c r="H752" s="328"/>
      <c r="I752" s="328"/>
    </row>
    <row r="753" spans="1:9" s="1539" customFormat="1">
      <c r="A753" s="1861">
        <v>4</v>
      </c>
      <c r="B753" s="819" t="s">
        <v>787</v>
      </c>
      <c r="C753" s="31"/>
      <c r="D753" s="1793"/>
      <c r="E753" s="1791"/>
      <c r="F753" s="1864"/>
      <c r="G753" s="1547"/>
      <c r="H753" s="1742"/>
      <c r="I753" s="1743"/>
    </row>
    <row r="754" spans="1:9" s="842" customFormat="1">
      <c r="A754" s="1889">
        <v>4.0999999999999996</v>
      </c>
      <c r="B754" s="522" t="s">
        <v>165</v>
      </c>
      <c r="C754" s="31">
        <v>61.1</v>
      </c>
      <c r="D754" s="1750" t="s">
        <v>11</v>
      </c>
      <c r="E754" s="1749">
        <v>279.61</v>
      </c>
      <c r="F754" s="1864">
        <f t="shared" si="33"/>
        <v>17084.169999999998</v>
      </c>
      <c r="G754" s="1848"/>
      <c r="H754" s="44"/>
      <c r="I754" s="44"/>
    </row>
    <row r="755" spans="1:9" s="842" customFormat="1">
      <c r="A755" s="1889">
        <v>4.2</v>
      </c>
      <c r="B755" s="522" t="s">
        <v>152</v>
      </c>
      <c r="C755" s="31">
        <v>66.89</v>
      </c>
      <c r="D755" s="1750" t="s">
        <v>11</v>
      </c>
      <c r="E755" s="1749">
        <v>294.77999999999997</v>
      </c>
      <c r="F755" s="1864">
        <f t="shared" si="33"/>
        <v>19717.830000000002</v>
      </c>
      <c r="G755" s="1848"/>
      <c r="H755" s="44"/>
      <c r="I755" s="44"/>
    </row>
    <row r="756" spans="1:9" s="842" customFormat="1">
      <c r="A756" s="1889">
        <v>4.3</v>
      </c>
      <c r="B756" s="522" t="s">
        <v>889</v>
      </c>
      <c r="C756" s="31">
        <v>39.82</v>
      </c>
      <c r="D756" s="1750" t="s">
        <v>11</v>
      </c>
      <c r="E756" s="1749">
        <v>475.66</v>
      </c>
      <c r="F756" s="1864">
        <f t="shared" si="33"/>
        <v>18940.78</v>
      </c>
      <c r="G756" s="1848"/>
      <c r="H756" s="44"/>
      <c r="I756" s="44"/>
    </row>
    <row r="757" spans="1:9" s="842" customFormat="1">
      <c r="A757" s="1889">
        <v>4.4000000000000004</v>
      </c>
      <c r="B757" s="522" t="s">
        <v>1264</v>
      </c>
      <c r="C757" s="31">
        <v>33.76</v>
      </c>
      <c r="D757" s="1750" t="s">
        <v>11</v>
      </c>
      <c r="E757" s="1749">
        <v>488.98</v>
      </c>
      <c r="F757">
        <f t="shared" si="33"/>
        <v>16507.96</v>
      </c>
      <c r="G757" s="1848"/>
      <c r="I757" s="44"/>
    </row>
    <row r="758" spans="1:9" s="842" customFormat="1">
      <c r="A758" s="1889">
        <v>4.5</v>
      </c>
      <c r="B758" s="522" t="s">
        <v>177</v>
      </c>
      <c r="C758" s="31">
        <v>42.24</v>
      </c>
      <c r="D758" s="1750" t="s">
        <v>1</v>
      </c>
      <c r="E758" s="1749">
        <v>78.489999999999995</v>
      </c>
      <c r="F758">
        <f t="shared" si="33"/>
        <v>3315.42</v>
      </c>
      <c r="G758" s="1848"/>
      <c r="I758" s="44"/>
    </row>
    <row r="759" spans="1:9" s="842" customFormat="1">
      <c r="A759" s="1889">
        <v>4.5999999999999996</v>
      </c>
      <c r="B759" s="522" t="s">
        <v>1265</v>
      </c>
      <c r="C759" s="31">
        <v>106.71</v>
      </c>
      <c r="D759" s="1750" t="s">
        <v>11</v>
      </c>
      <c r="E759" s="1749">
        <v>45.5</v>
      </c>
      <c r="F759">
        <f t="shared" si="33"/>
        <v>4855.3100000000004</v>
      </c>
      <c r="G759" s="1848"/>
      <c r="I759" s="44"/>
    </row>
    <row r="760" spans="1:9" s="842" customFormat="1">
      <c r="A760" s="1883">
        <v>4.7</v>
      </c>
      <c r="B760" s="522" t="s">
        <v>1266</v>
      </c>
      <c r="C760" s="1794">
        <v>106.71</v>
      </c>
      <c r="D760" s="1794" t="s">
        <v>11</v>
      </c>
      <c r="E760" s="1794">
        <v>126.35</v>
      </c>
      <c r="F760" s="1899">
        <f t="shared" si="33"/>
        <v>13482.81</v>
      </c>
      <c r="G760" s="1848"/>
      <c r="H760" s="44"/>
      <c r="I760" s="44"/>
    </row>
    <row r="761" spans="1:9" s="842" customFormat="1">
      <c r="A761" s="1860"/>
      <c r="B761" s="522"/>
      <c r="C761" s="31"/>
      <c r="D761" s="1750"/>
      <c r="E761" s="1749"/>
      <c r="F761">
        <f t="shared" si="33"/>
        <v>0</v>
      </c>
      <c r="G761" s="1547"/>
      <c r="H761" s="44"/>
      <c r="I761" s="44"/>
    </row>
    <row r="762" spans="1:9" s="1539" customFormat="1">
      <c r="A762" s="1861">
        <v>5</v>
      </c>
      <c r="B762" s="819" t="s">
        <v>1267</v>
      </c>
      <c r="C762" s="31"/>
      <c r="D762" s="1793"/>
      <c r="E762" s="1791"/>
      <c r="F762">
        <f t="shared" si="33"/>
        <v>0</v>
      </c>
      <c r="G762" s="1547"/>
      <c r="H762" s="1742"/>
      <c r="I762" s="1743"/>
    </row>
    <row r="763" spans="1:9" s="842" customFormat="1">
      <c r="A763" s="1889">
        <v>5.0999999999999996</v>
      </c>
      <c r="B763" s="522" t="s">
        <v>1268</v>
      </c>
      <c r="C763" s="31">
        <v>20</v>
      </c>
      <c r="D763" s="1750" t="s">
        <v>118</v>
      </c>
      <c r="E763" s="1749">
        <v>250</v>
      </c>
      <c r="F763">
        <f t="shared" si="33"/>
        <v>5000</v>
      </c>
      <c r="G763" s="1547"/>
      <c r="H763" s="44"/>
      <c r="I763" s="44"/>
    </row>
    <row r="764" spans="1:9" s="842" customFormat="1">
      <c r="A764" s="1889">
        <v>5.2</v>
      </c>
      <c r="B764" s="522" t="s">
        <v>1269</v>
      </c>
      <c r="C764" s="31">
        <v>10</v>
      </c>
      <c r="D764" s="1750" t="s">
        <v>118</v>
      </c>
      <c r="E764" s="1749">
        <v>250</v>
      </c>
      <c r="F764">
        <f t="shared" si="33"/>
        <v>2500</v>
      </c>
      <c r="G764" s="1547"/>
      <c r="H764" s="44"/>
      <c r="I764" s="44"/>
    </row>
    <row r="765" spans="1:9" s="842" customFormat="1">
      <c r="A765" s="1889"/>
      <c r="B765" s="522"/>
      <c r="C765" s="31"/>
      <c r="D765" s="1750"/>
      <c r="E765" s="1749"/>
      <c r="F765" s="1864"/>
      <c r="G765" s="1547"/>
      <c r="H765" s="44"/>
      <c r="I765" s="44"/>
    </row>
    <row r="766" spans="1:9" s="842" customFormat="1" ht="25.5">
      <c r="A766" s="1865">
        <v>6</v>
      </c>
      <c r="B766" s="1792" t="s">
        <v>1271</v>
      </c>
      <c r="C766" s="31">
        <v>98</v>
      </c>
      <c r="D766" s="1750" t="s">
        <v>1</v>
      </c>
      <c r="E766" s="1749">
        <v>714.5</v>
      </c>
      <c r="F766" s="1864">
        <f>ROUND((C766*E766),2)</f>
        <v>70021</v>
      </c>
      <c r="G766" s="1547"/>
      <c r="H766" s="44"/>
      <c r="I766" s="44"/>
    </row>
    <row r="767" spans="1:9" s="842" customFormat="1">
      <c r="A767" s="1860"/>
      <c r="B767" s="522"/>
      <c r="C767" s="31"/>
      <c r="D767" s="1750"/>
      <c r="E767" s="1749"/>
      <c r="F767" s="1864">
        <f>ROUND((C767*E767),2)</f>
        <v>0</v>
      </c>
      <c r="G767" s="1547"/>
      <c r="H767" s="44"/>
      <c r="I767" s="44"/>
    </row>
    <row r="768" spans="1:9" s="1539" customFormat="1">
      <c r="A768" s="1861">
        <v>7</v>
      </c>
      <c r="B768" s="819" t="s">
        <v>1272</v>
      </c>
      <c r="C768" s="31"/>
      <c r="D768" s="1793"/>
      <c r="E768" s="1791"/>
      <c r="F768" s="1864">
        <f>ROUND((C768*E768),2)</f>
        <v>0</v>
      </c>
      <c r="G768" s="1547"/>
      <c r="H768" s="1742"/>
      <c r="I768" s="1743"/>
    </row>
    <row r="769" spans="1:9" s="842" customFormat="1" ht="25.5">
      <c r="A769" s="1876">
        <v>7.1</v>
      </c>
      <c r="B769" s="1792" t="s">
        <v>1273</v>
      </c>
      <c r="C769" s="31">
        <v>6.1</v>
      </c>
      <c r="D769" s="1750" t="s">
        <v>1</v>
      </c>
      <c r="E769" s="1749">
        <v>4565.1099999999997</v>
      </c>
      <c r="F769" s="1864">
        <f>C769*E769</f>
        <v>27847.17</v>
      </c>
      <c r="G769" s="1547"/>
      <c r="H769" s="44"/>
      <c r="I769" s="44"/>
    </row>
    <row r="770" spans="1:9" s="842" customFormat="1" ht="25.5">
      <c r="A770" s="1876">
        <v>7.2</v>
      </c>
      <c r="B770" s="1792" t="s">
        <v>1274</v>
      </c>
      <c r="C770" s="31">
        <v>6.1</v>
      </c>
      <c r="D770" s="1750" t="s">
        <v>1</v>
      </c>
      <c r="E770" s="1749">
        <v>3016.23</v>
      </c>
      <c r="F770" s="1864">
        <f>C770*E770</f>
        <v>18399</v>
      </c>
      <c r="G770" s="1547"/>
      <c r="H770" s="44"/>
      <c r="I770" s="44"/>
    </row>
    <row r="771" spans="1:9" s="842" customFormat="1" ht="25.5">
      <c r="A771" s="1876">
        <v>7.3</v>
      </c>
      <c r="B771" s="745" t="s">
        <v>1275</v>
      </c>
      <c r="C771" s="31">
        <v>1</v>
      </c>
      <c r="D771" s="1750" t="s">
        <v>3</v>
      </c>
      <c r="E771" s="1749">
        <v>4108.6000000000004</v>
      </c>
      <c r="F771" s="1864">
        <f t="shared" ref="F771:F788" si="34">ROUND((C771*E771),2)</f>
        <v>4108.6000000000004</v>
      </c>
      <c r="G771" s="1547"/>
      <c r="H771" s="44"/>
      <c r="I771" s="44"/>
    </row>
    <row r="772" spans="1:9" s="842" customFormat="1" ht="25.5">
      <c r="A772" s="1876">
        <v>7.4</v>
      </c>
      <c r="B772" s="745" t="s">
        <v>1276</v>
      </c>
      <c r="C772" s="31">
        <v>1</v>
      </c>
      <c r="D772" s="1750" t="s">
        <v>3</v>
      </c>
      <c r="E772" s="1749">
        <v>2714.61</v>
      </c>
      <c r="F772" s="1864">
        <f t="shared" si="34"/>
        <v>2714.61</v>
      </c>
      <c r="G772" s="1547"/>
      <c r="H772" s="44"/>
      <c r="I772" s="328"/>
    </row>
    <row r="773" spans="1:9" s="842" customFormat="1">
      <c r="A773" s="1876">
        <v>7.5</v>
      </c>
      <c r="B773" s="522" t="s">
        <v>1277</v>
      </c>
      <c r="C773" s="31">
        <v>3</v>
      </c>
      <c r="D773" s="1750" t="s">
        <v>3</v>
      </c>
      <c r="E773" s="1749">
        <v>2948.22</v>
      </c>
      <c r="F773" s="1864">
        <f t="shared" si="34"/>
        <v>8844.66</v>
      </c>
      <c r="G773" s="1848"/>
      <c r="H773" s="44"/>
      <c r="I773" s="44"/>
    </row>
    <row r="774" spans="1:9" s="842" customFormat="1">
      <c r="A774" s="1876">
        <v>7.6</v>
      </c>
      <c r="B774" s="522" t="s">
        <v>1278</v>
      </c>
      <c r="C774" s="31">
        <v>3</v>
      </c>
      <c r="D774" s="1750" t="s">
        <v>3</v>
      </c>
      <c r="E774" s="1749">
        <v>2390.48</v>
      </c>
      <c r="F774" s="1864">
        <f t="shared" si="34"/>
        <v>7171.44</v>
      </c>
      <c r="G774" s="1848"/>
      <c r="H774" s="44"/>
      <c r="I774" s="44"/>
    </row>
    <row r="775" spans="1:9" s="842" customFormat="1">
      <c r="A775" s="1876">
        <v>7.7</v>
      </c>
      <c r="B775" s="522" t="s">
        <v>1279</v>
      </c>
      <c r="C775" s="31">
        <v>1</v>
      </c>
      <c r="D775" s="1750" t="s">
        <v>3</v>
      </c>
      <c r="E775" s="1749">
        <v>5500</v>
      </c>
      <c r="F775" s="1864">
        <f t="shared" si="34"/>
        <v>5500</v>
      </c>
      <c r="G775" s="1849"/>
      <c r="H775" s="44"/>
      <c r="I775" s="44"/>
    </row>
    <row r="776" spans="1:9" s="842" customFormat="1">
      <c r="A776" s="1876">
        <v>7.8</v>
      </c>
      <c r="B776" s="425" t="s">
        <v>1280</v>
      </c>
      <c r="C776" s="31">
        <v>1</v>
      </c>
      <c r="D776" s="1750" t="s">
        <v>3</v>
      </c>
      <c r="E776" s="1749">
        <v>6000</v>
      </c>
      <c r="F776" s="1864">
        <f t="shared" si="34"/>
        <v>6000</v>
      </c>
      <c r="G776" s="1547"/>
      <c r="H776" s="44"/>
      <c r="I776" s="44"/>
    </row>
    <row r="777" spans="1:9" s="842" customFormat="1">
      <c r="A777" s="1876">
        <v>7.9</v>
      </c>
      <c r="B777" s="522" t="s">
        <v>1281</v>
      </c>
      <c r="C777" s="31">
        <v>1</v>
      </c>
      <c r="D777" s="1750" t="s">
        <v>3</v>
      </c>
      <c r="E777" s="1749">
        <v>6658.74</v>
      </c>
      <c r="F777" s="1864">
        <f t="shared" si="34"/>
        <v>6658.74</v>
      </c>
      <c r="G777" s="1547"/>
      <c r="H777" s="44"/>
      <c r="I777" s="44"/>
    </row>
    <row r="778" spans="1:9" s="842" customFormat="1" ht="51">
      <c r="A778">
        <v>7.1</v>
      </c>
      <c r="B778" s="1746" t="s">
        <v>2307</v>
      </c>
      <c r="C778" s="31">
        <v>4</v>
      </c>
      <c r="D778" s="713" t="s">
        <v>3</v>
      </c>
      <c r="E778" s="714">
        <v>66115.7</v>
      </c>
      <c r="F778" s="1864">
        <f>+ROUND(C778*E778,2)</f>
        <v>264462.8</v>
      </c>
      <c r="G778" s="1547"/>
      <c r="H778" s="44"/>
      <c r="I778" s="44"/>
    </row>
    <row r="779" spans="1:9" s="842" customFormat="1">
      <c r="A779" s="1876">
        <v>7.11</v>
      </c>
      <c r="B779" s="18" t="s">
        <v>2308</v>
      </c>
      <c r="C779" s="31">
        <v>4</v>
      </c>
      <c r="D779" s="713" t="s">
        <v>3</v>
      </c>
      <c r="E779" s="714">
        <v>22500</v>
      </c>
      <c r="F779" s="1864">
        <f>+ROUND(C779*E779,2)</f>
        <v>90000</v>
      </c>
      <c r="G779" s="1547"/>
      <c r="H779" s="44"/>
      <c r="I779" s="44"/>
    </row>
    <row r="780" spans="1:9" s="842" customFormat="1">
      <c r="A780" s="1876">
        <v>7.12</v>
      </c>
      <c r="B780" s="522" t="s">
        <v>1282</v>
      </c>
      <c r="C780" s="31">
        <v>1</v>
      </c>
      <c r="D780" s="1750" t="s">
        <v>3</v>
      </c>
      <c r="E780" s="1749">
        <v>7500</v>
      </c>
      <c r="F780" s="1864">
        <f t="shared" si="34"/>
        <v>7500</v>
      </c>
      <c r="G780" s="1547"/>
      <c r="H780" s="44"/>
      <c r="I780" s="44"/>
    </row>
    <row r="781" spans="1:9" s="842" customFormat="1">
      <c r="A781" s="1860"/>
      <c r="B781" s="522"/>
      <c r="C781" s="31"/>
      <c r="D781" s="1750"/>
      <c r="E781" s="1749"/>
      <c r="F781" s="1864">
        <f t="shared" si="34"/>
        <v>0</v>
      </c>
      <c r="G781" s="1547"/>
      <c r="H781" s="44"/>
      <c r="I781" s="44"/>
    </row>
    <row r="782" spans="1:9" s="1539" customFormat="1">
      <c r="A782" s="1861">
        <v>8</v>
      </c>
      <c r="B782" s="819" t="s">
        <v>1283</v>
      </c>
      <c r="C782" s="31"/>
      <c r="D782" s="1793"/>
      <c r="E782" s="1791"/>
      <c r="F782" s="1864">
        <f t="shared" si="34"/>
        <v>0</v>
      </c>
      <c r="G782" s="1547"/>
      <c r="H782" s="1742"/>
      <c r="I782" s="1743"/>
    </row>
    <row r="783" spans="1:9" s="842" customFormat="1">
      <c r="A783">
        <v>8.1</v>
      </c>
      <c r="B783" s="1795" t="s">
        <v>1285</v>
      </c>
      <c r="C783" s="1813">
        <v>9.76</v>
      </c>
      <c r="D783" s="1819" t="s">
        <v>2</v>
      </c>
      <c r="E783" s="1816">
        <v>334.5</v>
      </c>
      <c r="F783" s="1879">
        <f t="shared" si="34"/>
        <v>3264.72</v>
      </c>
      <c r="G783" s="1849"/>
      <c r="H783" s="44"/>
      <c r="I783" s="44"/>
    </row>
    <row r="784" spans="1:9" s="842" customFormat="1" ht="25.5">
      <c r="A784" s="1889">
        <v>8.1999999999999993</v>
      </c>
      <c r="B784" s="745" t="s">
        <v>1287</v>
      </c>
      <c r="C784" s="31">
        <v>9.06</v>
      </c>
      <c r="D784" s="1750" t="s">
        <v>2</v>
      </c>
      <c r="E784" s="1749">
        <v>183.68</v>
      </c>
      <c r="F784" s="1864">
        <f t="shared" si="34"/>
        <v>1664.14</v>
      </c>
      <c r="G784" s="1849"/>
      <c r="H784" s="44"/>
      <c r="I784" s="44"/>
    </row>
    <row r="785" spans="1:12" s="842" customFormat="1" ht="25.5">
      <c r="A785" s="1889">
        <v>8.3000000000000007</v>
      </c>
      <c r="B785" s="18" t="s">
        <v>2252</v>
      </c>
      <c r="C785" s="31">
        <v>0.83</v>
      </c>
      <c r="D785" s="1750" t="s">
        <v>2</v>
      </c>
      <c r="E785" s="1749">
        <v>210</v>
      </c>
      <c r="F785" s="1864">
        <f t="shared" si="34"/>
        <v>174.3</v>
      </c>
      <c r="G785" s="1849"/>
      <c r="H785" s="44"/>
      <c r="I785" s="44"/>
    </row>
    <row r="786" spans="1:12" s="842" customFormat="1">
      <c r="A786" s="1860"/>
      <c r="B786" s="522"/>
      <c r="C786" s="31"/>
      <c r="D786" s="1750"/>
      <c r="E786" s="1749"/>
      <c r="F786" s="1864">
        <f t="shared" si="34"/>
        <v>0</v>
      </c>
      <c r="G786" s="1547"/>
      <c r="H786" s="44"/>
      <c r="I786" s="44"/>
    </row>
    <row r="787" spans="1:12" customFormat="1">
      <c r="A787" s="1860">
        <v>9</v>
      </c>
      <c r="B787" s="522" t="s">
        <v>766</v>
      </c>
      <c r="C787" s="31">
        <v>24</v>
      </c>
      <c r="D787" s="1750" t="s">
        <v>11</v>
      </c>
      <c r="E787" s="1749">
        <v>777.08</v>
      </c>
      <c r="F787" s="1864">
        <f t="shared" si="34"/>
        <v>18649.919999999998</v>
      </c>
      <c r="G787" s="1850"/>
      <c r="H787" s="510"/>
      <c r="I787" s="510"/>
      <c r="J787" s="510"/>
      <c r="K787" s="510"/>
      <c r="L787" s="510"/>
    </row>
    <row r="788" spans="1:12" customFormat="1">
      <c r="A788" s="1860"/>
      <c r="B788" s="522"/>
      <c r="C788" s="31"/>
      <c r="D788" s="1750"/>
      <c r="E788" s="1749"/>
      <c r="F788" s="1864">
        <f t="shared" si="34"/>
        <v>0</v>
      </c>
      <c r="G788" s="1547"/>
      <c r="H788" s="510"/>
      <c r="I788" s="510"/>
      <c r="J788" s="510"/>
      <c r="K788" s="510"/>
      <c r="L788" s="510"/>
    </row>
    <row r="789" spans="1:12" s="1539" customFormat="1">
      <c r="A789" s="1861">
        <v>10</v>
      </c>
      <c r="B789" s="819" t="s">
        <v>1290</v>
      </c>
      <c r="C789" s="31"/>
      <c r="D789" s="1793"/>
      <c r="E789" s="1791"/>
      <c r="F789" s="1864"/>
      <c r="G789" s="1547"/>
      <c r="H789" s="1742"/>
      <c r="I789" s="1743"/>
    </row>
    <row r="790" spans="1:12" s="842" customFormat="1" ht="25.5">
      <c r="A790" s="1889">
        <v>10.1</v>
      </c>
      <c r="B790" s="1053" t="s">
        <v>1291</v>
      </c>
      <c r="C790" s="31">
        <v>1</v>
      </c>
      <c r="D790" s="1750" t="s">
        <v>3</v>
      </c>
      <c r="E790" s="1749">
        <v>7500</v>
      </c>
      <c r="F790" s="1864">
        <f>ROUND((C790*E790),2)</f>
        <v>7500</v>
      </c>
      <c r="G790" s="1547"/>
      <c r="H790" s="44"/>
      <c r="I790" s="44"/>
    </row>
    <row r="791" spans="1:12" s="842" customFormat="1">
      <c r="A791" s="1860"/>
      <c r="B791" s="522"/>
      <c r="C791" s="31"/>
      <c r="D791" s="1750"/>
      <c r="E791" s="1749"/>
      <c r="F791" s="1864"/>
      <c r="G791" s="1547"/>
      <c r="H791" s="44"/>
      <c r="I791" s="44"/>
    </row>
    <row r="792" spans="1:12" s="842" customFormat="1">
      <c r="A792" s="1860">
        <v>11</v>
      </c>
      <c r="B792" s="522" t="s">
        <v>1292</v>
      </c>
      <c r="C792" s="1794">
        <v>1</v>
      </c>
      <c r="D792" s="1794" t="s">
        <v>3</v>
      </c>
      <c r="E792" s="1794">
        <v>5100</v>
      </c>
      <c r="F792" s="1856">
        <f>ROUND((C792*E792),2)</f>
        <v>5100</v>
      </c>
      <c r="G792" s="1547"/>
      <c r="H792" s="44"/>
      <c r="I792" s="44"/>
    </row>
    <row r="793" spans="1:12" s="842" customFormat="1">
      <c r="A793" s="1860"/>
      <c r="B793" s="522"/>
      <c r="C793" s="31"/>
      <c r="D793" s="1750"/>
      <c r="E793" s="1749"/>
      <c r="F793" s="1864"/>
      <c r="G793" s="1547"/>
      <c r="H793" s="44"/>
      <c r="I793" s="44"/>
    </row>
    <row r="794" spans="1:12" s="1539" customFormat="1">
      <c r="A794" t="s">
        <v>774</v>
      </c>
      <c r="B794" s="819" t="s">
        <v>1293</v>
      </c>
      <c r="C794" s="31"/>
      <c r="D794" s="1793"/>
      <c r="E794" s="1791"/>
      <c r="F794" s="1864"/>
      <c r="G794" s="1547"/>
      <c r="H794" s="1742"/>
      <c r="I794" s="1743"/>
    </row>
    <row r="795" spans="1:12" s="842" customFormat="1">
      <c r="A795" s="1860"/>
      <c r="B795" s="522"/>
      <c r="C795" s="31"/>
      <c r="D795" s="1750"/>
      <c r="E795" s="1749"/>
      <c r="F795" s="1864"/>
      <c r="G795" s="1547"/>
      <c r="H795" s="44"/>
      <c r="I795" s="44"/>
    </row>
    <row r="796" spans="1:12" customFormat="1" ht="12.75" customHeight="1">
      <c r="A796" s="1861">
        <v>1</v>
      </c>
      <c r="B796" s="819" t="s">
        <v>1251</v>
      </c>
      <c r="C796" s="31"/>
      <c r="D796" s="1793"/>
      <c r="E796" s="1791"/>
      <c r="F796" s="1864"/>
      <c r="G796" s="1547"/>
      <c r="H796" s="510"/>
      <c r="I796" s="510"/>
      <c r="J796" s="510"/>
      <c r="K796" s="510"/>
      <c r="L796" s="510"/>
    </row>
    <row r="797" spans="1:12" customFormat="1">
      <c r="A797" s="1889">
        <v>1.1000000000000001</v>
      </c>
      <c r="B797" s="522" t="s">
        <v>37</v>
      </c>
      <c r="C797" s="31">
        <v>1</v>
      </c>
      <c r="D797" s="1750" t="s">
        <v>1100</v>
      </c>
      <c r="E797" s="1749">
        <v>1500</v>
      </c>
      <c r="F797" s="1864">
        <f>ROUND((C797*E797),2)</f>
        <v>1500</v>
      </c>
      <c r="G797" s="1547"/>
      <c r="H797" s="510"/>
      <c r="I797" s="510"/>
      <c r="J797" s="510"/>
      <c r="K797" s="510"/>
      <c r="L797" s="510"/>
    </row>
    <row r="798" spans="1:12" customFormat="1">
      <c r="A798" s="1860"/>
      <c r="B798" s="522"/>
      <c r="C798" s="31"/>
      <c r="D798" s="1750"/>
      <c r="E798" s="1749"/>
      <c r="F798" s="1864"/>
      <c r="G798" s="1547"/>
      <c r="H798" s="510"/>
      <c r="I798" s="510"/>
      <c r="J798" s="510"/>
      <c r="K798" s="510"/>
      <c r="L798" s="510"/>
    </row>
    <row r="799" spans="1:12" customFormat="1">
      <c r="A799" s="1861">
        <v>2</v>
      </c>
      <c r="B799" s="654" t="s">
        <v>1294</v>
      </c>
      <c r="C799" s="31"/>
      <c r="D799" s="522"/>
      <c r="E799" s="522"/>
      <c r="F799" s="1864">
        <f>ROUND((C799*E799),2)</f>
        <v>0</v>
      </c>
      <c r="G799" s="1547"/>
      <c r="H799" s="510"/>
      <c r="I799" s="510"/>
      <c r="J799" s="510"/>
      <c r="K799" s="510"/>
      <c r="L799" s="510"/>
    </row>
    <row r="800" spans="1:12" customFormat="1">
      <c r="A800" s="1889">
        <v>2.1</v>
      </c>
      <c r="B800" s="522" t="s">
        <v>1295</v>
      </c>
      <c r="C800" s="31">
        <v>26.46</v>
      </c>
      <c r="D800" s="1750" t="s">
        <v>1296</v>
      </c>
      <c r="E800" s="1749">
        <v>920.17</v>
      </c>
      <c r="F800" s="1864">
        <f>ROUND((C800*E800),2)</f>
        <v>24347.7</v>
      </c>
      <c r="G800" s="1851"/>
      <c r="H800" s="510"/>
      <c r="I800" s="510"/>
      <c r="J800" s="510"/>
      <c r="K800" s="510"/>
      <c r="L800" s="510"/>
    </row>
    <row r="801" spans="1:12" customFormat="1">
      <c r="A801" s="1860"/>
      <c r="B801" s="522"/>
      <c r="C801" s="31"/>
      <c r="D801" s="1750"/>
      <c r="E801" s="1749"/>
      <c r="F801" s="1864"/>
      <c r="G801" s="1547"/>
      <c r="H801" s="510"/>
      <c r="I801" s="510"/>
      <c r="J801" s="510"/>
      <c r="K801" s="510"/>
      <c r="L801" s="510"/>
    </row>
    <row r="802" spans="1:12" customFormat="1" ht="26.25" customHeight="1">
      <c r="A802" s="1867">
        <v>3</v>
      </c>
      <c r="B802" s="1807" t="s">
        <v>2251</v>
      </c>
      <c r="C802" s="31">
        <v>0</v>
      </c>
      <c r="D802" s="1750"/>
      <c r="E802" s="1749"/>
      <c r="F802" s="1864">
        <f>ROUND((C802*E802),2)</f>
        <v>0</v>
      </c>
      <c r="G802" s="1547"/>
      <c r="H802" s="510"/>
      <c r="I802" s="510"/>
      <c r="J802" s="510"/>
      <c r="K802" s="510"/>
      <c r="L802" s="510"/>
    </row>
    <row r="803" spans="1:12" customFormat="1">
      <c r="A803" s="1889">
        <v>3.1</v>
      </c>
      <c r="B803" s="522" t="s">
        <v>1297</v>
      </c>
      <c r="C803" s="31">
        <v>0.33</v>
      </c>
      <c r="D803" s="1750" t="s">
        <v>2</v>
      </c>
      <c r="E803" s="1794">
        <v>31918.880000000001</v>
      </c>
      <c r="F803" s="1864">
        <f>ROUND((C803*E803),2)</f>
        <v>10533.23</v>
      </c>
      <c r="G803" s="1848"/>
      <c r="H803" s="510"/>
      <c r="I803" s="510"/>
      <c r="J803" s="510"/>
      <c r="K803" s="510"/>
      <c r="L803" s="510"/>
    </row>
    <row r="804" spans="1:12" customFormat="1">
      <c r="A804" s="1889">
        <v>3.2</v>
      </c>
      <c r="B804" s="522" t="s">
        <v>1667</v>
      </c>
      <c r="C804" s="31">
        <v>1.97</v>
      </c>
      <c r="D804" s="1750" t="s">
        <v>2</v>
      </c>
      <c r="E804" s="1749">
        <v>15692.17</v>
      </c>
      <c r="F804" s="1864">
        <f>ROUND((C804*E804),2)</f>
        <v>30913.57</v>
      </c>
      <c r="G804" s="1848"/>
      <c r="H804" s="510"/>
      <c r="I804" s="510"/>
      <c r="J804" s="510"/>
      <c r="K804" s="510"/>
      <c r="L804" s="510"/>
    </row>
    <row r="805" spans="1:12" customFormat="1">
      <c r="A805" s="1860"/>
      <c r="B805" s="522"/>
      <c r="C805" s="31"/>
      <c r="D805" s="1750"/>
      <c r="E805" s="1749"/>
      <c r="F805" s="1864"/>
      <c r="G805" s="1547"/>
      <c r="H805" s="510"/>
      <c r="I805" s="510"/>
      <c r="J805" s="510"/>
      <c r="K805" s="510"/>
      <c r="L805" s="510"/>
    </row>
    <row r="806" spans="1:12" customFormat="1">
      <c r="A806" s="1861">
        <v>4</v>
      </c>
      <c r="B806" s="819" t="s">
        <v>787</v>
      </c>
      <c r="C806" s="31"/>
      <c r="D806" s="1750"/>
      <c r="E806" s="1749"/>
      <c r="F806" s="1864">
        <f t="shared" ref="F806:F812" si="35">ROUND((C806*E806),2)</f>
        <v>0</v>
      </c>
      <c r="G806" s="1547"/>
      <c r="H806" s="510"/>
      <c r="I806" s="510"/>
      <c r="J806" s="510"/>
      <c r="K806" s="510"/>
      <c r="L806" s="510"/>
    </row>
    <row r="807" spans="1:12" customFormat="1">
      <c r="A807" s="1889">
        <v>4.0999999999999996</v>
      </c>
      <c r="B807" s="522" t="s">
        <v>165</v>
      </c>
      <c r="C807" s="31">
        <v>27.7</v>
      </c>
      <c r="D807" s="1750" t="s">
        <v>11</v>
      </c>
      <c r="E807" s="1749">
        <v>279.61</v>
      </c>
      <c r="F807" s="1864">
        <f t="shared" si="35"/>
        <v>7745.2</v>
      </c>
      <c r="G807" s="1547"/>
      <c r="H807" s="510"/>
      <c r="I807" s="510"/>
      <c r="J807" s="510"/>
      <c r="K807" s="510"/>
      <c r="L807" s="510"/>
    </row>
    <row r="808" spans="1:12" customFormat="1">
      <c r="A808" s="1889">
        <v>4.2</v>
      </c>
      <c r="B808" s="522" t="s">
        <v>152</v>
      </c>
      <c r="C808" s="31">
        <v>38.299999999999997</v>
      </c>
      <c r="D808" s="1750" t="s">
        <v>11</v>
      </c>
      <c r="E808" s="1749">
        <v>294.77999999999997</v>
      </c>
      <c r="F808" s="1864">
        <f t="shared" si="35"/>
        <v>11290.07</v>
      </c>
      <c r="G808" s="1547"/>
      <c r="H808" s="510"/>
      <c r="I808" s="510"/>
      <c r="J808" s="510"/>
      <c r="K808" s="510"/>
      <c r="L808" s="510"/>
    </row>
    <row r="809" spans="1:12" customFormat="1" ht="14.25" customHeight="1">
      <c r="A809" s="1889">
        <v>4.3</v>
      </c>
      <c r="B809" s="522" t="s">
        <v>889</v>
      </c>
      <c r="C809" s="31">
        <v>8.58</v>
      </c>
      <c r="D809" s="1750" t="s">
        <v>11</v>
      </c>
      <c r="E809" s="1749">
        <v>475.66</v>
      </c>
      <c r="F809" s="1864">
        <f t="shared" si="35"/>
        <v>4081.16</v>
      </c>
      <c r="G809" s="1547"/>
      <c r="H809" s="510"/>
      <c r="I809" s="510"/>
      <c r="J809" s="510"/>
      <c r="K809" s="510"/>
      <c r="L809" s="510"/>
    </row>
    <row r="810" spans="1:12" customFormat="1">
      <c r="A810" s="1889">
        <v>4.4000000000000004</v>
      </c>
      <c r="B810" s="522" t="s">
        <v>177</v>
      </c>
      <c r="C810" s="31">
        <v>54.24</v>
      </c>
      <c r="D810" s="1750" t="s">
        <v>1</v>
      </c>
      <c r="E810" s="1749">
        <v>78.489999999999995</v>
      </c>
      <c r="F810" s="1864">
        <f t="shared" si="35"/>
        <v>4257.3</v>
      </c>
      <c r="G810" s="1547"/>
      <c r="H810" s="510"/>
      <c r="I810" s="510"/>
      <c r="J810" s="510"/>
      <c r="K810" s="510"/>
      <c r="L810" s="510"/>
    </row>
    <row r="811" spans="1:12" customFormat="1">
      <c r="A811" s="1889">
        <v>4.5</v>
      </c>
      <c r="B811" s="522" t="s">
        <v>1265</v>
      </c>
      <c r="C811" s="31">
        <v>67.55</v>
      </c>
      <c r="D811" s="1750" t="s">
        <v>11</v>
      </c>
      <c r="E811" s="1749">
        <v>45.5</v>
      </c>
      <c r="F811" s="1864">
        <f t="shared" si="35"/>
        <v>3073.53</v>
      </c>
      <c r="G811" s="1547"/>
      <c r="H811" s="510"/>
      <c r="I811" s="510"/>
      <c r="J811" s="510"/>
      <c r="K811" s="510"/>
      <c r="L811" s="510"/>
    </row>
    <row r="812" spans="1:12">
      <c r="A812" s="1889">
        <v>4.5999999999999996</v>
      </c>
      <c r="B812" s="522" t="s">
        <v>1266</v>
      </c>
      <c r="C812" s="31">
        <v>67.55</v>
      </c>
      <c r="D812" s="1750" t="s">
        <v>11</v>
      </c>
      <c r="E812" s="1749">
        <v>126.35</v>
      </c>
      <c r="F812" s="1864">
        <f t="shared" si="35"/>
        <v>8534.94</v>
      </c>
      <c r="G812" s="1547"/>
    </row>
    <row r="813" spans="1:12">
      <c r="A813" s="1860"/>
      <c r="B813" s="522"/>
      <c r="C813" s="31"/>
      <c r="D813" s="1750"/>
      <c r="E813" s="1749"/>
      <c r="F813" s="1864"/>
      <c r="G813" s="1547"/>
    </row>
    <row r="814" spans="1:12">
      <c r="A814" s="1861">
        <v>5</v>
      </c>
      <c r="B814" s="819" t="s">
        <v>1267</v>
      </c>
      <c r="C814" s="31">
        <v>0</v>
      </c>
      <c r="D814" s="1750"/>
      <c r="E814" s="1749"/>
      <c r="F814" s="1864">
        <f>ROUND((C814*E814),2)</f>
        <v>0</v>
      </c>
      <c r="G814" s="1547"/>
    </row>
    <row r="815" spans="1:12">
      <c r="A815" s="1889">
        <v>5.0999999999999996</v>
      </c>
      <c r="B815" s="522" t="s">
        <v>1299</v>
      </c>
      <c r="C815" s="31">
        <v>2</v>
      </c>
      <c r="D815" s="713" t="s">
        <v>118</v>
      </c>
      <c r="E815" s="1755">
        <v>250</v>
      </c>
      <c r="F815" s="1864">
        <f>ROUND((C815*E815),2)</f>
        <v>500</v>
      </c>
      <c r="G815" s="1547"/>
    </row>
    <row r="816" spans="1:12">
      <c r="A816" s="1860"/>
      <c r="B816" s="522"/>
      <c r="C816" s="31"/>
      <c r="D816" s="713"/>
      <c r="E816" s="1755"/>
      <c r="F816" s="1864"/>
      <c r="G816" s="1547"/>
    </row>
    <row r="817" spans="1:12" s="1539" customFormat="1">
      <c r="A817" t="s">
        <v>851</v>
      </c>
      <c r="B817" s="819" t="s">
        <v>1300</v>
      </c>
      <c r="C817" s="31"/>
      <c r="D817" s="1793"/>
      <c r="E817" s="1791"/>
      <c r="F817" s="1864"/>
      <c r="G817" s="1547"/>
      <c r="H817" s="1742"/>
      <c r="I817" s="1743"/>
    </row>
    <row r="818" spans="1:12">
      <c r="A818" s="1860"/>
      <c r="B818" s="522"/>
      <c r="C818" s="31"/>
      <c r="D818" s="713"/>
      <c r="E818" s="1755"/>
      <c r="F818" s="1864"/>
      <c r="G818" s="1547"/>
    </row>
    <row r="819" spans="1:12">
      <c r="A819" s="1860">
        <v>1</v>
      </c>
      <c r="B819" s="522" t="s">
        <v>1301</v>
      </c>
      <c r="C819" s="31">
        <v>76.8</v>
      </c>
      <c r="D819" s="713" t="s">
        <v>11</v>
      </c>
      <c r="E819" s="1755">
        <v>110</v>
      </c>
      <c r="F819" s="1864">
        <f>ROUND((C819*E819),2)</f>
        <v>8448</v>
      </c>
      <c r="G819" s="1547"/>
    </row>
    <row r="820" spans="1:12">
      <c r="A820" s="1860"/>
      <c r="B820" s="522"/>
      <c r="C820" s="31"/>
      <c r="D820" s="713"/>
      <c r="E820" s="1755"/>
      <c r="F820" s="1864"/>
      <c r="G820" s="1547"/>
    </row>
    <row r="821" spans="1:12">
      <c r="A821" s="1861">
        <v>2</v>
      </c>
      <c r="B821" s="819" t="s">
        <v>1302</v>
      </c>
      <c r="C821" s="31"/>
      <c r="D821" s="713"/>
      <c r="E821" s="1794"/>
      <c r="F821" s="1864">
        <f>ROUND((C821*E821),2)</f>
        <v>0</v>
      </c>
      <c r="G821" s="1547"/>
      <c r="H821" s="328"/>
      <c r="I821" s="328"/>
      <c r="J821" s="328"/>
    </row>
    <row r="822" spans="1:12" ht="25.5">
      <c r="A822" s="1889">
        <v>2.1</v>
      </c>
      <c r="B822" s="745" t="s">
        <v>1303</v>
      </c>
      <c r="C822" s="31">
        <v>42.4</v>
      </c>
      <c r="D822" s="713" t="s">
        <v>1</v>
      </c>
      <c r="E822" s="1755">
        <v>3800.32</v>
      </c>
      <c r="F822" s="1864">
        <f>ROUND((C822*E822),2)</f>
        <v>161133.57</v>
      </c>
      <c r="G822" s="1849"/>
    </row>
    <row r="823" spans="1:12">
      <c r="A823" s="1889">
        <v>2.2000000000000002</v>
      </c>
      <c r="B823" s="522" t="s">
        <v>1304</v>
      </c>
      <c r="C823" s="31">
        <v>1</v>
      </c>
      <c r="D823" s="713" t="s">
        <v>3</v>
      </c>
      <c r="E823" s="1755">
        <v>26500</v>
      </c>
      <c r="F823" s="1864">
        <f>ROUND((C823*E823),2)</f>
        <v>26500</v>
      </c>
      <c r="G823" s="1849"/>
    </row>
    <row r="824" spans="1:12">
      <c r="A824" s="1889">
        <v>2.2999999999999998</v>
      </c>
      <c r="B824" s="522" t="s">
        <v>1305</v>
      </c>
      <c r="C824" s="31">
        <v>11</v>
      </c>
      <c r="D824" s="713" t="s">
        <v>3</v>
      </c>
      <c r="E824" s="1755">
        <v>7390.64</v>
      </c>
      <c r="F824" s="1864">
        <f>ROUND((C824*E824),2)</f>
        <v>81297.039999999994</v>
      </c>
      <c r="G824" s="1849"/>
    </row>
    <row r="825" spans="1:12">
      <c r="A825">
        <v>2.4</v>
      </c>
      <c r="B825" s="1795" t="s">
        <v>1306</v>
      </c>
      <c r="C825" s="1813">
        <v>5</v>
      </c>
      <c r="D825" s="1821" t="s">
        <v>3</v>
      </c>
      <c r="E825" s="1820">
        <v>522.26</v>
      </c>
      <c r="F825" s="1879">
        <f>ROUND((C825*E825),2)</f>
        <v>2611.3000000000002</v>
      </c>
      <c r="G825" s="1849"/>
    </row>
    <row r="826" spans="1:12">
      <c r="A826" s="1860"/>
      <c r="B826" s="522"/>
      <c r="C826" s="31"/>
      <c r="D826" s="713"/>
      <c r="E826" s="1755"/>
      <c r="F826" s="1864"/>
      <c r="G826" s="1547"/>
    </row>
    <row r="827" spans="1:12">
      <c r="A827" s="1860">
        <v>3</v>
      </c>
      <c r="B827" s="522" t="s">
        <v>1307</v>
      </c>
      <c r="C827" s="31">
        <v>1</v>
      </c>
      <c r="D827" s="713" t="s">
        <v>3</v>
      </c>
      <c r="E827" s="1755">
        <v>15000</v>
      </c>
      <c r="F827" s="1864">
        <f>ROUND((C827*E827),2)</f>
        <v>15000</v>
      </c>
      <c r="G827" s="1547"/>
    </row>
    <row r="828" spans="1:12" customFormat="1">
      <c r="A828" s="1860">
        <v>4</v>
      </c>
      <c r="B828" s="522" t="s">
        <v>979</v>
      </c>
      <c r="C828" s="31">
        <v>1</v>
      </c>
      <c r="D828" s="713" t="s">
        <v>3</v>
      </c>
      <c r="E828" s="1755">
        <v>8000</v>
      </c>
      <c r="F828" s="1864">
        <f>ROUND((C828*E828),2)</f>
        <v>8000</v>
      </c>
      <c r="G828" s="1547"/>
      <c r="H828" s="1742"/>
      <c r="I828" s="1743"/>
      <c r="J828" s="510"/>
      <c r="K828" s="510"/>
      <c r="L828" s="510"/>
    </row>
    <row r="829" spans="1:12" customFormat="1">
      <c r="A829" s="1860">
        <v>5</v>
      </c>
      <c r="B829" s="522" t="s">
        <v>876</v>
      </c>
      <c r="C829" s="31">
        <v>1</v>
      </c>
      <c r="D829" s="713" t="s">
        <v>3</v>
      </c>
      <c r="E829" s="1755">
        <v>3500</v>
      </c>
      <c r="F829" s="1864">
        <f>ROUND((C829*E829),2)</f>
        <v>3500</v>
      </c>
      <c r="G829" s="1547"/>
      <c r="H829" s="1742"/>
      <c r="I829" s="1743"/>
      <c r="J829" s="510"/>
      <c r="K829" s="510"/>
      <c r="L829" s="510"/>
    </row>
    <row r="830" spans="1:12" s="1539" customFormat="1" ht="16.5" customHeight="1">
      <c r="A830" s="1873"/>
      <c r="B830" s="1827" t="s">
        <v>1176</v>
      </c>
      <c r="C830" s="1827"/>
      <c r="D830" s="1827"/>
      <c r="E830" s="1828"/>
      <c r="F830" s="1874">
        <f>SUM(F736:F829)</f>
        <v>1727962.54</v>
      </c>
      <c r="G830" s="1741"/>
    </row>
    <row r="831" spans="1:12">
      <c r="A831" s="1860"/>
      <c r="B831" s="522"/>
      <c r="C831" s="31"/>
      <c r="D831" s="713"/>
      <c r="E831" s="1749"/>
      <c r="F831" s="1864"/>
      <c r="G831" s="1741"/>
      <c r="H831" s="510"/>
      <c r="I831" s="510"/>
    </row>
    <row r="832" spans="1:12" ht="25.5">
      <c r="A832" s="1857" t="s">
        <v>540</v>
      </c>
      <c r="B832" s="744" t="s">
        <v>1308</v>
      </c>
      <c r="C832" s="31"/>
      <c r="D832" s="713"/>
      <c r="E832" s="1791"/>
      <c r="F832" s="1864"/>
      <c r="G832" s="1547"/>
      <c r="H832" s="510"/>
      <c r="I832" s="510"/>
    </row>
    <row r="833" spans="1:256">
      <c r="A833" s="1860"/>
      <c r="B833" s="522"/>
      <c r="C833" s="31"/>
      <c r="D833" s="713"/>
      <c r="E833" s="1791"/>
      <c r="F833" s="1864"/>
      <c r="G833" s="1547"/>
      <c r="H833" s="510"/>
      <c r="I833" s="510"/>
    </row>
    <row r="834" spans="1:256">
      <c r="A834" s="1867">
        <v>1</v>
      </c>
      <c r="B834" s="1804" t="s">
        <v>1309</v>
      </c>
      <c r="C834" s="31"/>
      <c r="D834" s="713"/>
      <c r="E834" s="1794"/>
      <c r="F834" s="1864"/>
      <c r="G834" s="1547"/>
      <c r="H834" s="510"/>
      <c r="I834" s="510"/>
    </row>
    <row r="835" spans="1:256">
      <c r="A835" s="1883">
        <v>1.1000000000000001</v>
      </c>
      <c r="B835" s="1794" t="s">
        <v>1310</v>
      </c>
      <c r="C835" s="31">
        <v>1</v>
      </c>
      <c r="D835" s="713" t="s">
        <v>3</v>
      </c>
      <c r="E835" s="1755">
        <v>23600</v>
      </c>
      <c r="F835" s="1864">
        <f t="shared" ref="F835:F844" si="36">ROUND((C835*E835),2)</f>
        <v>23600</v>
      </c>
      <c r="G835" s="1547"/>
      <c r="H835" s="510"/>
      <c r="I835" s="510"/>
      <c r="J835" s="275"/>
    </row>
    <row r="836" spans="1:256">
      <c r="A836" s="1883">
        <v>1.2</v>
      </c>
      <c r="B836" s="1794" t="s">
        <v>1311</v>
      </c>
      <c r="C836" s="31">
        <v>1</v>
      </c>
      <c r="D836" s="713" t="s">
        <v>3</v>
      </c>
      <c r="E836" s="1755">
        <v>14600</v>
      </c>
      <c r="F836" s="1864">
        <f t="shared" si="36"/>
        <v>14600</v>
      </c>
      <c r="G836" s="1547"/>
      <c r="H836" s="510"/>
      <c r="I836" s="510"/>
    </row>
    <row r="837" spans="1:256">
      <c r="A837" s="1883">
        <v>1.3</v>
      </c>
      <c r="B837" s="1053" t="s">
        <v>1312</v>
      </c>
      <c r="C837" s="31">
        <v>50</v>
      </c>
      <c r="D837" s="713" t="s">
        <v>800</v>
      </c>
      <c r="E837" s="1755">
        <v>17.12</v>
      </c>
      <c r="F837" s="1864">
        <f t="shared" si="36"/>
        <v>856</v>
      </c>
      <c r="G837" s="1547"/>
      <c r="H837" s="510"/>
      <c r="I837" s="510"/>
    </row>
    <row r="838" spans="1:256" ht="38.25">
      <c r="A838">
        <v>1.4</v>
      </c>
      <c r="B838" s="853" t="s">
        <v>1313</v>
      </c>
      <c r="C838" s="31">
        <v>1</v>
      </c>
      <c r="D838" s="713" t="s">
        <v>3</v>
      </c>
      <c r="E838" s="1755">
        <v>42440</v>
      </c>
      <c r="F838" s="1864">
        <f t="shared" si="36"/>
        <v>42440</v>
      </c>
      <c r="G838" s="1547"/>
      <c r="H838" s="510"/>
      <c r="I838" s="510"/>
    </row>
    <row r="839" spans="1:256">
      <c r="A839" s="1883">
        <v>1.5</v>
      </c>
      <c r="B839" s="1794" t="s">
        <v>1314</v>
      </c>
      <c r="C839" s="31">
        <v>1</v>
      </c>
      <c r="D839" s="713" t="s">
        <v>3</v>
      </c>
      <c r="E839" s="1755">
        <v>4143.0600000000004</v>
      </c>
      <c r="F839" s="1864">
        <f t="shared" si="36"/>
        <v>4143.0600000000004</v>
      </c>
      <c r="G839" s="1547"/>
      <c r="H839" s="510"/>
      <c r="I839" s="510"/>
    </row>
    <row r="840" spans="1:256">
      <c r="A840" s="1883">
        <v>1.6</v>
      </c>
      <c r="B840" s="1794" t="s">
        <v>1315</v>
      </c>
      <c r="C840" s="31">
        <v>1</v>
      </c>
      <c r="D840" s="713" t="s">
        <v>3</v>
      </c>
      <c r="E840" s="1755">
        <v>3402.66</v>
      </c>
      <c r="F840" s="1864">
        <f t="shared" si="36"/>
        <v>3402.66</v>
      </c>
      <c r="G840" s="1547"/>
      <c r="H840" s="510"/>
    </row>
    <row r="841" spans="1:256">
      <c r="A841" s="1883">
        <v>1.7</v>
      </c>
      <c r="B841" s="1794" t="s">
        <v>1316</v>
      </c>
      <c r="C841" s="31">
        <v>2</v>
      </c>
      <c r="D841" s="713" t="s">
        <v>3</v>
      </c>
      <c r="E841" s="1755">
        <v>1302.1500000000001</v>
      </c>
      <c r="F841" s="1864">
        <f t="shared" si="36"/>
        <v>2604.3000000000002</v>
      </c>
      <c r="G841" s="1547"/>
      <c r="H841" s="510"/>
    </row>
    <row r="842" spans="1:256">
      <c r="A842" s="1883">
        <v>1.8</v>
      </c>
      <c r="B842" s="1794" t="s">
        <v>1317</v>
      </c>
      <c r="C842" s="31">
        <v>1</v>
      </c>
      <c r="D842" s="713" t="s">
        <v>3</v>
      </c>
      <c r="E842" s="1755">
        <v>8245</v>
      </c>
      <c r="F842" s="1864">
        <f t="shared" si="36"/>
        <v>8245</v>
      </c>
      <c r="G842" s="1547"/>
      <c r="H842" s="510"/>
      <c r="I842" s="510"/>
    </row>
    <row r="843" spans="1:256">
      <c r="A843" s="1883">
        <v>1.9</v>
      </c>
      <c r="B843" s="1794" t="s">
        <v>1318</v>
      </c>
      <c r="C843" s="31">
        <v>2</v>
      </c>
      <c r="D843" s="713" t="s">
        <v>3</v>
      </c>
      <c r="E843" s="1755">
        <v>1200</v>
      </c>
      <c r="F843" s="1864">
        <f t="shared" si="36"/>
        <v>2400</v>
      </c>
      <c r="G843" s="1547"/>
      <c r="H843" s="510"/>
      <c r="I843" s="510"/>
    </row>
    <row r="844" spans="1:256">
      <c r="A844" s="1883">
        <v>1.1000000000000001</v>
      </c>
      <c r="B844" s="1794" t="s">
        <v>1319</v>
      </c>
      <c r="C844" s="31">
        <v>1</v>
      </c>
      <c r="D844" s="713" t="s">
        <v>3</v>
      </c>
      <c r="E844" s="1755">
        <v>16000</v>
      </c>
      <c r="F844" s="1864">
        <f t="shared" si="36"/>
        <v>16000</v>
      </c>
      <c r="G844" s="1848"/>
      <c r="H844" s="510"/>
      <c r="I844" s="510"/>
    </row>
    <row r="845" spans="1:256">
      <c r="A845" s="1883"/>
      <c r="B845" s="1794"/>
      <c r="C845" s="31"/>
      <c r="D845" s="713"/>
      <c r="E845" s="1755"/>
      <c r="F845" s="1864"/>
      <c r="G845" s="1848"/>
    </row>
    <row r="846" spans="1:256">
      <c r="A846" s="1867">
        <v>2</v>
      </c>
      <c r="B846" s="1804" t="s">
        <v>1320</v>
      </c>
      <c r="C846" s="808"/>
      <c r="D846" s="1804"/>
      <c r="E846" s="1755"/>
      <c r="F846"/>
      <c r="G846" s="1754"/>
      <c r="H846" s="1846"/>
      <c r="I846" s="1754"/>
      <c r="J846" s="1846"/>
      <c r="K846" s="1754"/>
      <c r="L846" s="1846"/>
      <c r="M846" s="1803"/>
      <c r="N846" s="1737"/>
      <c r="O846" s="808"/>
      <c r="P846" s="1737"/>
      <c r="Q846" s="808"/>
      <c r="R846" s="1737"/>
      <c r="S846" s="808"/>
      <c r="T846" s="1737"/>
      <c r="U846" s="808"/>
      <c r="V846" s="1737"/>
      <c r="W846" s="808"/>
      <c r="X846" s="1737"/>
      <c r="Y846" s="808"/>
      <c r="Z846" s="1737"/>
      <c r="AA846" s="808"/>
      <c r="AB846" s="1737"/>
      <c r="AC846" s="808"/>
      <c r="AD846" s="1737"/>
      <c r="AE846" s="808"/>
      <c r="AF846" s="1737"/>
      <c r="AG846" s="808"/>
      <c r="AH846" s="1737"/>
      <c r="AI846" s="808"/>
      <c r="AJ846" s="1737"/>
      <c r="AK846" s="808"/>
      <c r="AL846" s="1737"/>
      <c r="AM846" s="808"/>
      <c r="AN846" s="1737"/>
      <c r="AO846" s="808"/>
      <c r="AP846" s="1737"/>
      <c r="AQ846" s="808"/>
      <c r="AR846" s="1737"/>
      <c r="AS846" s="808"/>
      <c r="AT846" s="1737"/>
      <c r="AU846" s="808"/>
      <c r="AV846" s="1737"/>
      <c r="AW846" s="808"/>
      <c r="AX846" s="1737"/>
      <c r="AY846" s="808"/>
      <c r="AZ846" s="1737"/>
      <c r="BA846" s="808"/>
      <c r="BB846" s="1737"/>
      <c r="BC846" s="808"/>
      <c r="BD846" s="1737"/>
      <c r="BE846" s="808"/>
      <c r="BF846" s="1737"/>
      <c r="BG846" s="808"/>
      <c r="BH846" s="1737"/>
      <c r="BI846" s="808"/>
      <c r="BJ846" s="1737"/>
      <c r="BK846" s="808"/>
      <c r="BL846" s="1737"/>
      <c r="BM846" s="808"/>
      <c r="BN846" s="1737"/>
      <c r="BO846" s="808"/>
      <c r="BP846" s="1737"/>
      <c r="BQ846" s="808"/>
      <c r="BR846" s="1737"/>
      <c r="BS846" s="808"/>
      <c r="BT846" s="1737"/>
      <c r="BU846" s="808"/>
      <c r="BV846" s="1737"/>
      <c r="BW846" s="808"/>
      <c r="BX846" s="1737"/>
      <c r="BY846" s="808"/>
      <c r="BZ846" s="1737"/>
      <c r="CA846" s="808"/>
      <c r="CB846" s="1737"/>
      <c r="CC846" s="808"/>
      <c r="CD846" s="1737"/>
      <c r="CE846" s="808"/>
      <c r="CF846" s="1737"/>
      <c r="CG846" s="808"/>
      <c r="CH846" s="1737"/>
      <c r="CI846" s="808"/>
      <c r="CJ846" s="1737"/>
      <c r="CK846" s="808"/>
      <c r="CL846" s="1737"/>
      <c r="CM846" s="808"/>
      <c r="CN846" s="1737"/>
      <c r="CO846" s="808"/>
      <c r="CP846" s="1737"/>
      <c r="CQ846" s="808"/>
      <c r="CR846" s="1737"/>
      <c r="CS846" s="808"/>
      <c r="CT846" s="1737"/>
      <c r="CU846" s="808"/>
      <c r="CV846" s="1737"/>
      <c r="CW846" s="808"/>
      <c r="CX846" s="1737"/>
      <c r="CY846" s="808"/>
      <c r="CZ846" s="1737"/>
      <c r="DA846" s="808"/>
      <c r="DB846" s="1737"/>
      <c r="DC846" s="808"/>
      <c r="DD846" s="1737"/>
      <c r="DE846" s="808"/>
      <c r="DF846" s="1737"/>
      <c r="DG846" s="808"/>
      <c r="DH846" s="1737"/>
      <c r="DI846" s="808"/>
      <c r="DJ846" s="1737"/>
      <c r="DK846" s="808"/>
      <c r="DL846" s="1737"/>
      <c r="DM846" s="808"/>
      <c r="DN846" s="1737"/>
      <c r="DO846" s="808"/>
      <c r="DP846" s="1737"/>
      <c r="DQ846" s="808"/>
      <c r="DR846" s="1737"/>
      <c r="DS846" s="808"/>
      <c r="DT846" s="1737"/>
      <c r="DU846" s="808"/>
      <c r="DV846" s="1737"/>
      <c r="DW846" s="808"/>
      <c r="DX846" s="1737"/>
      <c r="DY846" s="808"/>
      <c r="DZ846" s="1737"/>
      <c r="EA846" s="808"/>
      <c r="EB846" s="1737"/>
      <c r="EC846" s="808"/>
      <c r="ED846" s="1737"/>
      <c r="EE846" s="808"/>
      <c r="EF846" s="1737"/>
      <c r="EG846" s="808"/>
      <c r="EH846" s="1737"/>
      <c r="EI846" s="808"/>
      <c r="EJ846" s="1737"/>
      <c r="EK846" s="808"/>
      <c r="EL846" s="1737"/>
      <c r="EM846" s="808"/>
      <c r="EN846" s="1737"/>
      <c r="EO846" s="808"/>
      <c r="EP846" s="1737"/>
      <c r="EQ846" s="808"/>
      <c r="ER846" s="1737"/>
      <c r="ES846" s="808"/>
      <c r="ET846" s="1737"/>
      <c r="EU846" s="808"/>
      <c r="EV846" s="1737"/>
      <c r="EW846" s="808"/>
      <c r="EX846" s="1737"/>
      <c r="EY846" s="808"/>
      <c r="EZ846" s="1737"/>
      <c r="FA846" s="808"/>
      <c r="FB846" s="1737"/>
      <c r="FC846" s="808"/>
      <c r="FD846" s="1737"/>
      <c r="FE846" s="808"/>
      <c r="FF846" s="1737"/>
      <c r="FG846" s="808"/>
      <c r="FH846" s="1737"/>
      <c r="FI846" s="808"/>
      <c r="FJ846" s="1737"/>
      <c r="FK846" s="808"/>
      <c r="FL846" s="1737"/>
      <c r="FM846" s="808"/>
      <c r="FN846" s="1737"/>
      <c r="FO846" s="808"/>
      <c r="FP846" s="1737"/>
      <c r="FQ846" s="808"/>
      <c r="FR846" s="1737"/>
      <c r="FS846" s="808"/>
      <c r="FT846" s="1737"/>
      <c r="FU846" s="808"/>
      <c r="FV846" s="1737"/>
      <c r="FW846" s="808"/>
      <c r="FX846" s="1737"/>
      <c r="FY846" s="808"/>
      <c r="FZ846" s="1737"/>
      <c r="GA846" s="808"/>
      <c r="GB846" s="1737"/>
      <c r="GC846" s="808"/>
      <c r="GD846" s="1737"/>
      <c r="GE846" s="808"/>
      <c r="GF846" s="1737"/>
      <c r="GG846" s="808"/>
      <c r="GH846" s="1737"/>
      <c r="GI846" s="808"/>
      <c r="GJ846" s="1737"/>
      <c r="GK846" s="808"/>
      <c r="GL846" s="1737"/>
      <c r="GM846" s="808"/>
      <c r="GN846" s="1737"/>
      <c r="GO846" s="808"/>
      <c r="GP846" s="1737"/>
      <c r="GQ846" s="808"/>
      <c r="GR846" s="1737"/>
      <c r="GS846" s="808"/>
      <c r="GT846" s="1737"/>
      <c r="GU846" s="808"/>
      <c r="GV846" s="1737"/>
      <c r="GW846" s="808"/>
      <c r="GX846" s="1737"/>
      <c r="GY846" s="808"/>
      <c r="GZ846" s="1737"/>
      <c r="HA846" s="808"/>
      <c r="HB846" s="1737"/>
      <c r="HC846" s="808"/>
      <c r="HD846" s="1737"/>
      <c r="HE846" s="808"/>
      <c r="HF846" s="1737"/>
      <c r="HG846" s="808"/>
      <c r="HH846" s="1737"/>
      <c r="HI846" s="808"/>
      <c r="HJ846" s="1737"/>
      <c r="HK846" s="808"/>
      <c r="HL846" s="1737"/>
      <c r="HM846" s="808"/>
      <c r="HN846" s="1737"/>
      <c r="HO846" s="808"/>
      <c r="HP846" s="1737"/>
      <c r="HQ846" s="808"/>
      <c r="HR846" s="1737"/>
      <c r="HS846" s="808"/>
      <c r="HT846" s="1737"/>
      <c r="HU846" s="808"/>
      <c r="HV846" s="1737"/>
      <c r="HW846" s="808"/>
      <c r="HX846" s="1737"/>
      <c r="HY846" s="808"/>
      <c r="HZ846" s="1737"/>
      <c r="IA846" s="808"/>
      <c r="IB846" s="1737"/>
      <c r="IC846" s="808"/>
      <c r="ID846" s="1737"/>
      <c r="IE846" s="808"/>
      <c r="IF846" s="1737"/>
      <c r="IG846" s="808"/>
      <c r="IH846" s="1737"/>
      <c r="II846" s="808"/>
      <c r="IJ846" s="1737"/>
      <c r="IK846" s="808"/>
      <c r="IL846" s="1737"/>
      <c r="IM846" s="808"/>
      <c r="IN846" s="1737"/>
      <c r="IO846" s="808"/>
      <c r="IP846" s="1737"/>
      <c r="IQ846" s="808"/>
      <c r="IR846" s="1737"/>
      <c r="IS846" s="808"/>
      <c r="IT846" s="1737"/>
      <c r="IU846" s="808"/>
      <c r="IV846" s="1737"/>
    </row>
    <row r="847" spans="1:256" ht="25.5">
      <c r="A847" s="1865">
        <v>2.1</v>
      </c>
      <c r="B847" s="853" t="s">
        <v>1321</v>
      </c>
      <c r="C847" s="31">
        <v>1</v>
      </c>
      <c r="D847" s="713" t="s">
        <v>3</v>
      </c>
      <c r="E847" s="1755">
        <v>3256.45</v>
      </c>
      <c r="F847" s="1864">
        <f t="shared" ref="F847:F858" si="37">ROUND((C847*E847),2)</f>
        <v>3256.45</v>
      </c>
      <c r="G847" s="1547"/>
    </row>
    <row r="848" spans="1:256" ht="25.5">
      <c r="A848" s="1865">
        <v>2.2000000000000002</v>
      </c>
      <c r="B848" s="853" t="s">
        <v>1322</v>
      </c>
      <c r="C848" s="31">
        <v>2</v>
      </c>
      <c r="D848" s="713" t="s">
        <v>3</v>
      </c>
      <c r="E848" s="1755">
        <v>5283.24</v>
      </c>
      <c r="F848" s="1864">
        <f t="shared" si="37"/>
        <v>10566.48</v>
      </c>
      <c r="G848" s="1547"/>
    </row>
    <row r="849" spans="1:256">
      <c r="A849" s="1865">
        <v>2.2999999999999998</v>
      </c>
      <c r="B849" s="510" t="s">
        <v>1323</v>
      </c>
      <c r="C849" s="31">
        <v>1</v>
      </c>
      <c r="D849" s="713" t="s">
        <v>3</v>
      </c>
      <c r="E849" s="1755">
        <v>846.2</v>
      </c>
      <c r="F849" s="1864">
        <f t="shared" si="37"/>
        <v>846.2</v>
      </c>
      <c r="G849" s="1547"/>
    </row>
    <row r="850" spans="1:256" ht="25.5">
      <c r="A850" s="1865">
        <v>2.4</v>
      </c>
      <c r="B850" s="853" t="s">
        <v>1324</v>
      </c>
      <c r="C850" s="31">
        <v>2</v>
      </c>
      <c r="D850" s="713" t="s">
        <v>3</v>
      </c>
      <c r="E850" s="1755">
        <v>4560.8500000000004</v>
      </c>
      <c r="F850" s="1864">
        <f t="shared" si="37"/>
        <v>9121.7000000000007</v>
      </c>
      <c r="G850" s="1547"/>
    </row>
    <row r="851" spans="1:256">
      <c r="A851" s="1865">
        <v>2.5</v>
      </c>
      <c r="B851" s="510" t="s">
        <v>1325</v>
      </c>
      <c r="C851" s="31">
        <v>1</v>
      </c>
      <c r="D851" s="713" t="s">
        <v>3</v>
      </c>
      <c r="E851" s="1755">
        <v>268.27999999999997</v>
      </c>
      <c r="F851" s="1864">
        <f t="shared" si="37"/>
        <v>268.27999999999997</v>
      </c>
      <c r="G851" s="1547"/>
    </row>
    <row r="852" spans="1:256">
      <c r="A852" s="1865">
        <v>2.6</v>
      </c>
      <c r="B852" s="510" t="s">
        <v>41</v>
      </c>
      <c r="C852" s="31">
        <v>1</v>
      </c>
      <c r="D852" s="713" t="s">
        <v>3</v>
      </c>
      <c r="E852" s="1755">
        <v>8000</v>
      </c>
      <c r="F852" s="1864">
        <f t="shared" si="37"/>
        <v>8000</v>
      </c>
      <c r="G852" s="1547"/>
    </row>
    <row r="853" spans="1:256" ht="76.5">
      <c r="A853" s="1888">
        <v>2.8</v>
      </c>
      <c r="B853" s="1823" t="s">
        <v>1326</v>
      </c>
      <c r="C853" s="1813">
        <v>4</v>
      </c>
      <c r="D853" s="1821" t="s">
        <v>1</v>
      </c>
      <c r="E853" s="1820">
        <v>1254</v>
      </c>
      <c r="F853" s="1879">
        <f t="shared" si="37"/>
        <v>5016</v>
      </c>
      <c r="G853" s="1547"/>
    </row>
    <row r="854" spans="1:256" ht="63.75">
      <c r="A854" s="1865">
        <v>2.9</v>
      </c>
      <c r="B854" s="853" t="s">
        <v>1327</v>
      </c>
      <c r="C854" s="31">
        <v>3</v>
      </c>
      <c r="D854" s="713" t="s">
        <v>1</v>
      </c>
      <c r="E854" s="1755">
        <v>1254</v>
      </c>
      <c r="F854" s="1864">
        <f t="shared" si="37"/>
        <v>3762</v>
      </c>
      <c r="G854" s="1547"/>
    </row>
    <row r="855" spans="1:256" ht="63.75">
      <c r="A855" s="1883">
        <v>2.1</v>
      </c>
      <c r="B855" s="853" t="s">
        <v>1328</v>
      </c>
      <c r="C855" s="1809">
        <v>10</v>
      </c>
      <c r="D855" s="1809" t="s">
        <v>1</v>
      </c>
      <c r="E855" s="1809">
        <v>702</v>
      </c>
      <c r="F855" s="1886">
        <f t="shared" si="37"/>
        <v>7020</v>
      </c>
      <c r="G855" s="1547"/>
      <c r="H855" s="510"/>
    </row>
    <row r="856" spans="1:256" ht="63.75">
      <c r="A856" s="1865">
        <v>2.11</v>
      </c>
      <c r="B856" s="853" t="s">
        <v>1329</v>
      </c>
      <c r="C856" s="31">
        <v>6</v>
      </c>
      <c r="D856" s="713" t="s">
        <v>1</v>
      </c>
      <c r="E856" s="1755">
        <v>1350</v>
      </c>
      <c r="F856" s="1864">
        <f t="shared" si="37"/>
        <v>8100</v>
      </c>
      <c r="G856" s="1547"/>
    </row>
    <row r="857" spans="1:256" ht="63.75">
      <c r="A857" s="1865">
        <v>2.12</v>
      </c>
      <c r="B857" s="853" t="s">
        <v>1330</v>
      </c>
      <c r="C857" s="31">
        <v>8</v>
      </c>
      <c r="D857" s="713" t="s">
        <v>1</v>
      </c>
      <c r="E857" s="1755">
        <v>615</v>
      </c>
      <c r="F857" s="1864">
        <f t="shared" si="37"/>
        <v>4920</v>
      </c>
      <c r="G857" s="1547"/>
      <c r="H857" s="1539"/>
      <c r="I857" s="1539"/>
      <c r="J857" s="1539"/>
    </row>
    <row r="858" spans="1:256" ht="51">
      <c r="A858" s="1865">
        <v>2.13</v>
      </c>
      <c r="B858" s="853" t="s">
        <v>1331</v>
      </c>
      <c r="C858" s="31">
        <v>2</v>
      </c>
      <c r="D858" s="713" t="s">
        <v>1</v>
      </c>
      <c r="E858" s="1755">
        <v>450</v>
      </c>
      <c r="F858" s="1864">
        <f t="shared" si="37"/>
        <v>900</v>
      </c>
      <c r="G858" s="1547"/>
      <c r="H858" s="510"/>
      <c r="I858" s="275"/>
      <c r="J858" s="275"/>
    </row>
    <row r="859" spans="1:256" ht="51">
      <c r="A859" s="1865">
        <v>2.14</v>
      </c>
      <c r="B859" s="853" t="s">
        <v>1332</v>
      </c>
      <c r="C859" s="31">
        <v>50</v>
      </c>
      <c r="D859" s="713" t="s">
        <v>1</v>
      </c>
      <c r="E859" s="1755">
        <v>350</v>
      </c>
      <c r="F859" s="1864">
        <f>ROUND((C859*E859),2)</f>
        <v>17500</v>
      </c>
      <c r="G859" s="1547"/>
      <c r="H859" s="510"/>
    </row>
    <row r="860" spans="1:256">
      <c r="A860" s="1860"/>
      <c r="B860" s="1794"/>
      <c r="C860" s="31"/>
      <c r="D860" s="713"/>
      <c r="E860" s="1755"/>
      <c r="F860" s="1864"/>
      <c r="G860" s="1547"/>
      <c r="H860" s="510"/>
    </row>
    <row r="861" spans="1:256">
      <c r="A861" s="1867">
        <v>3</v>
      </c>
      <c r="B861" s="1804" t="s">
        <v>1333</v>
      </c>
      <c r="C861" s="808"/>
      <c r="D861" s="1804"/>
      <c r="E861" s="1755"/>
      <c r="F861"/>
      <c r="G861" s="1754"/>
      <c r="H861" s="1846"/>
      <c r="I861" s="1754"/>
      <c r="J861" s="1846"/>
      <c r="K861" s="1754"/>
      <c r="L861" s="1846"/>
      <c r="M861" s="1803"/>
      <c r="N861" s="1737"/>
      <c r="O861" s="808"/>
      <c r="P861" s="1737"/>
      <c r="Q861" s="808"/>
      <c r="R861" s="1737"/>
      <c r="S861" s="808"/>
      <c r="T861" s="1737"/>
      <c r="U861" s="808"/>
      <c r="V861" s="1737"/>
      <c r="W861" s="808"/>
      <c r="X861" s="1737"/>
      <c r="Y861" s="808"/>
      <c r="Z861" s="1737"/>
      <c r="AA861" s="808"/>
      <c r="AB861" s="1737"/>
      <c r="AC861" s="808"/>
      <c r="AD861" s="1737"/>
      <c r="AE861" s="808"/>
      <c r="AF861" s="1737"/>
      <c r="AG861" s="808"/>
      <c r="AH861" s="1737"/>
      <c r="AI861" s="808"/>
      <c r="AJ861" s="1737"/>
      <c r="AK861" s="808"/>
      <c r="AL861" s="1737"/>
      <c r="AM861" s="808"/>
      <c r="AN861" s="1737"/>
      <c r="AO861" s="808"/>
      <c r="AP861" s="1737"/>
      <c r="AQ861" s="808"/>
      <c r="AR861" s="1737"/>
      <c r="AS861" s="808"/>
      <c r="AT861" s="1737"/>
      <c r="AU861" s="808"/>
      <c r="AV861" s="1737"/>
      <c r="AW861" s="808"/>
      <c r="AX861" s="1737"/>
      <c r="AY861" s="808"/>
      <c r="AZ861" s="1737"/>
      <c r="BA861" s="808"/>
      <c r="BB861" s="1737"/>
      <c r="BC861" s="808"/>
      <c r="BD861" s="1737"/>
      <c r="BE861" s="808"/>
      <c r="BF861" s="1737"/>
      <c r="BG861" s="808"/>
      <c r="BH861" s="1737"/>
      <c r="BI861" s="808"/>
      <c r="BJ861" s="1737"/>
      <c r="BK861" s="808"/>
      <c r="BL861" s="1737"/>
      <c r="BM861" s="808"/>
      <c r="BN861" s="1737"/>
      <c r="BO861" s="808"/>
      <c r="BP861" s="1737"/>
      <c r="BQ861" s="808"/>
      <c r="BR861" s="1737"/>
      <c r="BS861" s="808"/>
      <c r="BT861" s="1737"/>
      <c r="BU861" s="808"/>
      <c r="BV861" s="1737"/>
      <c r="BW861" s="808"/>
      <c r="BX861" s="1737"/>
      <c r="BY861" s="808"/>
      <c r="BZ861" s="1737"/>
      <c r="CA861" s="808"/>
      <c r="CB861" s="1737"/>
      <c r="CC861" s="808"/>
      <c r="CD861" s="1737"/>
      <c r="CE861" s="808"/>
      <c r="CF861" s="1737"/>
      <c r="CG861" s="808"/>
      <c r="CH861" s="1737"/>
      <c r="CI861" s="808"/>
      <c r="CJ861" s="1737"/>
      <c r="CK861" s="808"/>
      <c r="CL861" s="1737"/>
      <c r="CM861" s="808"/>
      <c r="CN861" s="1737"/>
      <c r="CO861" s="808"/>
      <c r="CP861" s="1737"/>
      <c r="CQ861" s="808"/>
      <c r="CR861" s="1737"/>
      <c r="CS861" s="808"/>
      <c r="CT861" s="1737"/>
      <c r="CU861" s="808"/>
      <c r="CV861" s="1737"/>
      <c r="CW861" s="808"/>
      <c r="CX861" s="1737"/>
      <c r="CY861" s="808"/>
      <c r="CZ861" s="1737"/>
      <c r="DA861" s="808"/>
      <c r="DB861" s="1737"/>
      <c r="DC861" s="808"/>
      <c r="DD861" s="1737"/>
      <c r="DE861" s="808"/>
      <c r="DF861" s="1737"/>
      <c r="DG861" s="808"/>
      <c r="DH861" s="1737"/>
      <c r="DI861" s="808"/>
      <c r="DJ861" s="1737"/>
      <c r="DK861" s="808"/>
      <c r="DL861" s="1737"/>
      <c r="DM861" s="808"/>
      <c r="DN861" s="1737"/>
      <c r="DO861" s="808"/>
      <c r="DP861" s="1737"/>
      <c r="DQ861" s="808"/>
      <c r="DR861" s="1737"/>
      <c r="DS861" s="808"/>
      <c r="DT861" s="1737"/>
      <c r="DU861" s="808"/>
      <c r="DV861" s="1737"/>
      <c r="DW861" s="808"/>
      <c r="DX861" s="1737"/>
      <c r="DY861" s="808"/>
      <c r="DZ861" s="1737"/>
      <c r="EA861" s="808"/>
      <c r="EB861" s="1737"/>
      <c r="EC861" s="808"/>
      <c r="ED861" s="1737"/>
      <c r="EE861" s="808"/>
      <c r="EF861" s="1737"/>
      <c r="EG861" s="808"/>
      <c r="EH861" s="1737"/>
      <c r="EI861" s="808"/>
      <c r="EJ861" s="1737"/>
      <c r="EK861" s="808"/>
      <c r="EL861" s="1737"/>
      <c r="EM861" s="808"/>
      <c r="EN861" s="1737"/>
      <c r="EO861" s="808"/>
      <c r="EP861" s="1737"/>
      <c r="EQ861" s="808"/>
      <c r="ER861" s="1737"/>
      <c r="ES861" s="808"/>
      <c r="ET861" s="1737"/>
      <c r="EU861" s="808"/>
      <c r="EV861" s="1737"/>
      <c r="EW861" s="808"/>
      <c r="EX861" s="1737"/>
      <c r="EY861" s="808"/>
      <c r="EZ861" s="1737"/>
      <c r="FA861" s="808"/>
      <c r="FB861" s="1737"/>
      <c r="FC861" s="808"/>
      <c r="FD861" s="1737"/>
      <c r="FE861" s="808"/>
      <c r="FF861" s="1737"/>
      <c r="FG861" s="808"/>
      <c r="FH861" s="1737"/>
      <c r="FI861" s="808"/>
      <c r="FJ861" s="1737"/>
      <c r="FK861" s="808"/>
      <c r="FL861" s="1737"/>
      <c r="FM861" s="808"/>
      <c r="FN861" s="1737"/>
      <c r="FO861" s="808"/>
      <c r="FP861" s="1737"/>
      <c r="FQ861" s="808"/>
      <c r="FR861" s="1737"/>
      <c r="FS861" s="808"/>
      <c r="FT861" s="1737"/>
      <c r="FU861" s="808"/>
      <c r="FV861" s="1737"/>
      <c r="FW861" s="808"/>
      <c r="FX861" s="1737"/>
      <c r="FY861" s="808"/>
      <c r="FZ861" s="1737"/>
      <c r="GA861" s="808"/>
      <c r="GB861" s="1737"/>
      <c r="GC861" s="808"/>
      <c r="GD861" s="1737"/>
      <c r="GE861" s="808"/>
      <c r="GF861" s="1737"/>
      <c r="GG861" s="808"/>
      <c r="GH861" s="1737"/>
      <c r="GI861" s="808"/>
      <c r="GJ861" s="1737"/>
      <c r="GK861" s="808"/>
      <c r="GL861" s="1737"/>
      <c r="GM861" s="808"/>
      <c r="GN861" s="1737"/>
      <c r="GO861" s="808"/>
      <c r="GP861" s="1737"/>
      <c r="GQ861" s="808"/>
      <c r="GR861" s="1737"/>
      <c r="GS861" s="808"/>
      <c r="GT861" s="1737"/>
      <c r="GU861" s="808"/>
      <c r="GV861" s="1737"/>
      <c r="GW861" s="808"/>
      <c r="GX861" s="1737"/>
      <c r="GY861" s="808"/>
      <c r="GZ861" s="1737"/>
      <c r="HA861" s="808"/>
      <c r="HB861" s="1737"/>
      <c r="HC861" s="808"/>
      <c r="HD861" s="1737"/>
      <c r="HE861" s="808"/>
      <c r="HF861" s="1737"/>
      <c r="HG861" s="808"/>
      <c r="HH861" s="1737"/>
      <c r="HI861" s="808"/>
      <c r="HJ861" s="1737"/>
      <c r="HK861" s="808"/>
      <c r="HL861" s="1737"/>
      <c r="HM861" s="808"/>
      <c r="HN861" s="1737"/>
      <c r="HO861" s="808"/>
      <c r="HP861" s="1737"/>
      <c r="HQ861" s="808"/>
      <c r="HR861" s="1737"/>
      <c r="HS861" s="808"/>
      <c r="HT861" s="1737"/>
      <c r="HU861" s="808"/>
      <c r="HV861" s="1737"/>
      <c r="HW861" s="808"/>
      <c r="HX861" s="1737"/>
      <c r="HY861" s="808"/>
      <c r="HZ861" s="1737"/>
      <c r="IA861" s="808"/>
      <c r="IB861" s="1737"/>
      <c r="IC861" s="808"/>
      <c r="ID861" s="1737"/>
      <c r="IE861" s="808"/>
      <c r="IF861" s="1737"/>
      <c r="IG861" s="808"/>
      <c r="IH861" s="1737"/>
      <c r="II861" s="808"/>
      <c r="IJ861" s="1737"/>
      <c r="IK861" s="808"/>
      <c r="IL861" s="1737"/>
      <c r="IM861" s="808"/>
      <c r="IN861" s="1737"/>
      <c r="IO861" s="808"/>
      <c r="IP861" s="1737"/>
      <c r="IQ861" s="808"/>
      <c r="IR861" s="1737"/>
      <c r="IS861" s="808"/>
      <c r="IT861" s="1737"/>
      <c r="IU861" s="808"/>
      <c r="IV861" s="1737"/>
    </row>
    <row r="862" spans="1:256" ht="38.25">
      <c r="A862" s="1860">
        <v>3.1</v>
      </c>
      <c r="B862" s="853" t="s">
        <v>1334</v>
      </c>
      <c r="C862" s="31">
        <v>2</v>
      </c>
      <c r="D862" s="713" t="s">
        <v>3</v>
      </c>
      <c r="E862" s="1755">
        <v>37425.15</v>
      </c>
      <c r="F862" s="1864">
        <f t="shared" ref="F862:F876" si="38">ROUND(C862*E862,2)</f>
        <v>74850.3</v>
      </c>
      <c r="G862" s="1547"/>
      <c r="H862" s="510"/>
    </row>
    <row r="863" spans="1:256">
      <c r="A863" s="1860">
        <v>3.2</v>
      </c>
      <c r="B863" s="853" t="s">
        <v>1335</v>
      </c>
      <c r="C863" s="31">
        <v>2</v>
      </c>
      <c r="D863" s="713" t="s">
        <v>3</v>
      </c>
      <c r="E863" s="1755">
        <v>6500</v>
      </c>
      <c r="F863" s="1864">
        <f t="shared" si="38"/>
        <v>13000</v>
      </c>
      <c r="G863" s="1547"/>
      <c r="H863" s="510"/>
    </row>
    <row r="864" spans="1:256">
      <c r="A864" s="1860">
        <v>3.3</v>
      </c>
      <c r="B864" s="1776" t="s">
        <v>1336</v>
      </c>
      <c r="C864" s="31">
        <v>1</v>
      </c>
      <c r="D864" s="713" t="s">
        <v>3</v>
      </c>
      <c r="E864" s="1755">
        <v>1405.45</v>
      </c>
      <c r="F864" s="1864">
        <f t="shared" si="38"/>
        <v>1405.45</v>
      </c>
      <c r="G864" s="1547"/>
      <c r="H864" s="510"/>
    </row>
    <row r="865" spans="1:256">
      <c r="A865" s="1860">
        <v>3.4</v>
      </c>
      <c r="B865" s="1776" t="s">
        <v>1337</v>
      </c>
      <c r="C865" s="31">
        <v>2</v>
      </c>
      <c r="D865" s="713" t="s">
        <v>3</v>
      </c>
      <c r="E865" s="1755">
        <v>1104.24</v>
      </c>
      <c r="F865" s="1864">
        <f t="shared" si="38"/>
        <v>2208.48</v>
      </c>
      <c r="G865" s="1547"/>
      <c r="H865" s="510"/>
      <c r="I865" s="275"/>
      <c r="J865" s="275"/>
    </row>
    <row r="866" spans="1:256">
      <c r="A866" s="1860">
        <v>3.5</v>
      </c>
      <c r="B866" s="1776" t="s">
        <v>1338</v>
      </c>
      <c r="C866" s="31">
        <v>8</v>
      </c>
      <c r="D866" s="713" t="s">
        <v>3</v>
      </c>
      <c r="E866" s="1755">
        <v>1104.24</v>
      </c>
      <c r="F866" s="1864">
        <f t="shared" si="38"/>
        <v>8833.92</v>
      </c>
      <c r="G866" s="1547"/>
      <c r="H866" s="510"/>
      <c r="I866" s="275"/>
      <c r="J866" s="275"/>
    </row>
    <row r="867" spans="1:256">
      <c r="A867" s="1860">
        <v>3.6</v>
      </c>
      <c r="B867" s="1776" t="s">
        <v>1339</v>
      </c>
      <c r="C867" s="31">
        <v>2</v>
      </c>
      <c r="D867" s="713" t="s">
        <v>3</v>
      </c>
      <c r="E867" s="1755">
        <v>1104.24</v>
      </c>
      <c r="F867" s="1864">
        <f t="shared" si="38"/>
        <v>2208.48</v>
      </c>
      <c r="G867" s="1547"/>
      <c r="H867" s="510"/>
    </row>
    <row r="868" spans="1:256" ht="25.5">
      <c r="A868" s="1860">
        <v>3.7</v>
      </c>
      <c r="B868" s="853" t="s">
        <v>1340</v>
      </c>
      <c r="C868" s="31">
        <v>4</v>
      </c>
      <c r="D868" s="713" t="s">
        <v>3</v>
      </c>
      <c r="E868" s="1755">
        <v>23180.77</v>
      </c>
      <c r="F868" s="1864">
        <f t="shared" si="38"/>
        <v>92723.08</v>
      </c>
      <c r="G868" s="1547"/>
      <c r="H868" s="510"/>
    </row>
    <row r="869" spans="1:256">
      <c r="A869" s="1860">
        <v>3.8</v>
      </c>
      <c r="B869" s="1776" t="s">
        <v>1341</v>
      </c>
      <c r="C869" s="31">
        <v>2</v>
      </c>
      <c r="D869" s="713" t="s">
        <v>3</v>
      </c>
      <c r="E869" s="1755">
        <v>17593.939999999999</v>
      </c>
      <c r="F869" s="1864">
        <f t="shared" si="38"/>
        <v>35187.879999999997</v>
      </c>
      <c r="G869" s="1547"/>
      <c r="H869" s="510"/>
    </row>
    <row r="870" spans="1:256">
      <c r="A870" s="1860">
        <v>3.9</v>
      </c>
      <c r="B870" s="1776" t="s">
        <v>1342</v>
      </c>
      <c r="C870" s="31">
        <v>2</v>
      </c>
      <c r="D870" s="713" t="s">
        <v>3</v>
      </c>
      <c r="E870" s="1755">
        <v>17593.939999999999</v>
      </c>
      <c r="F870" s="1864">
        <f t="shared" si="38"/>
        <v>35187.879999999997</v>
      </c>
      <c r="G870" s="1547"/>
      <c r="H870" s="510"/>
    </row>
    <row r="871" spans="1:256">
      <c r="A871" s="1860">
        <v>3.1</v>
      </c>
      <c r="B871" s="1794" t="s">
        <v>1343</v>
      </c>
      <c r="C871" s="31">
        <v>2</v>
      </c>
      <c r="D871" s="713" t="s">
        <v>3</v>
      </c>
      <c r="E871" s="1755">
        <v>13483.62</v>
      </c>
      <c r="F871" s="1864">
        <f t="shared" si="38"/>
        <v>26967.24</v>
      </c>
      <c r="G871" s="1547"/>
      <c r="H871" s="510"/>
    </row>
    <row r="872" spans="1:256" ht="25.5">
      <c r="A872" s="1860">
        <v>3.11</v>
      </c>
      <c r="B872" s="853" t="s">
        <v>1344</v>
      </c>
      <c r="C872" s="31">
        <v>2</v>
      </c>
      <c r="D872" s="713" t="s">
        <v>3</v>
      </c>
      <c r="E872" s="1755">
        <v>2850.2</v>
      </c>
      <c r="F872" s="1864">
        <f t="shared" si="38"/>
        <v>5700.4</v>
      </c>
      <c r="G872" s="1547"/>
      <c r="H872" s="510"/>
    </row>
    <row r="873" spans="1:256">
      <c r="A873" s="1860">
        <v>3.12</v>
      </c>
      <c r="B873" s="1794" t="s">
        <v>1345</v>
      </c>
      <c r="C873" s="31">
        <v>2</v>
      </c>
      <c r="D873" s="713" t="s">
        <v>3</v>
      </c>
      <c r="E873" s="1755">
        <v>2360.64</v>
      </c>
      <c r="F873" s="1864">
        <f t="shared" si="38"/>
        <v>4721.28</v>
      </c>
      <c r="G873" s="1547"/>
      <c r="H873" s="510"/>
    </row>
    <row r="874" spans="1:256">
      <c r="A874" s="1868">
        <v>3.13</v>
      </c>
      <c r="B874" s="1837" t="s">
        <v>1346</v>
      </c>
      <c r="C874" s="1813">
        <v>3</v>
      </c>
      <c r="D874" s="1821" t="s">
        <v>3</v>
      </c>
      <c r="E874" s="1820">
        <v>649.94000000000005</v>
      </c>
      <c r="F874" s="1879">
        <f t="shared" si="38"/>
        <v>1949.82</v>
      </c>
      <c r="G874" s="1547"/>
      <c r="H874" s="510"/>
    </row>
    <row r="875" spans="1:256">
      <c r="A875" s="1860">
        <v>3.14</v>
      </c>
      <c r="B875" s="1794" t="s">
        <v>1347</v>
      </c>
      <c r="C875" s="31">
        <v>1</v>
      </c>
      <c r="D875" s="713" t="s">
        <v>3</v>
      </c>
      <c r="E875" s="1755">
        <v>7391.23</v>
      </c>
      <c r="F875" s="1864">
        <f t="shared" si="38"/>
        <v>7391.23</v>
      </c>
      <c r="G875" s="1547"/>
      <c r="H875" s="510"/>
    </row>
    <row r="876" spans="1:256">
      <c r="A876" s="1860">
        <v>3.15</v>
      </c>
      <c r="B876" s="1776" t="s">
        <v>1348</v>
      </c>
      <c r="C876" s="31">
        <v>2</v>
      </c>
      <c r="D876" s="713" t="s">
        <v>3</v>
      </c>
      <c r="E876" s="1755">
        <v>4957.25</v>
      </c>
      <c r="F876" s="1864">
        <f t="shared" si="38"/>
        <v>9914.5</v>
      </c>
      <c r="G876" s="1547"/>
      <c r="H876" s="510"/>
    </row>
    <row r="877" spans="1:256">
      <c r="A877" s="1860"/>
      <c r="B877" s="1776"/>
      <c r="C877" s="31"/>
      <c r="D877" s="713"/>
      <c r="E877" s="1755"/>
      <c r="F877" s="1864"/>
      <c r="G877" s="1547"/>
      <c r="H877" s="510"/>
    </row>
    <row r="878" spans="1:256">
      <c r="A878" s="1867">
        <v>4</v>
      </c>
      <c r="B878" s="1804" t="s">
        <v>1349</v>
      </c>
      <c r="C878" s="808"/>
      <c r="D878" s="1804"/>
      <c r="E878" s="1755"/>
      <c r="F878"/>
      <c r="G878" s="1754"/>
      <c r="H878" s="1846"/>
      <c r="I878" s="1754"/>
      <c r="J878" s="1846"/>
      <c r="K878" s="1754"/>
      <c r="L878" s="1846"/>
      <c r="M878" s="1803"/>
      <c r="N878" s="1737"/>
      <c r="O878" s="808"/>
      <c r="P878" s="1737"/>
      <c r="Q878" s="808"/>
      <c r="R878" s="1737"/>
      <c r="S878" s="808"/>
      <c r="T878" s="1737"/>
      <c r="U878" s="808"/>
      <c r="V878" s="1737"/>
      <c r="W878" s="808"/>
      <c r="X878" s="1737"/>
      <c r="Y878" s="808"/>
      <c r="Z878" s="1737"/>
      <c r="AA878" s="808"/>
      <c r="AB878" s="1737"/>
      <c r="AC878" s="808"/>
      <c r="AD878" s="1737"/>
      <c r="AE878" s="808"/>
      <c r="AF878" s="1737"/>
      <c r="AG878" s="808"/>
      <c r="AH878" s="1737"/>
      <c r="AI878" s="808"/>
      <c r="AJ878" s="1737"/>
      <c r="AK878" s="808"/>
      <c r="AL878" s="1737"/>
      <c r="AM878" s="808"/>
      <c r="AN878" s="1737"/>
      <c r="AO878" s="808"/>
      <c r="AP878" s="1737"/>
      <c r="AQ878" s="808"/>
      <c r="AR878" s="1737"/>
      <c r="AS878" s="808"/>
      <c r="AT878" s="1737"/>
      <c r="AU878" s="808"/>
      <c r="AV878" s="1737"/>
      <c r="AW878" s="808"/>
      <c r="AX878" s="1737"/>
      <c r="AY878" s="808"/>
      <c r="AZ878" s="1737"/>
      <c r="BA878" s="808"/>
      <c r="BB878" s="1737"/>
      <c r="BC878" s="808"/>
      <c r="BD878" s="1737"/>
      <c r="BE878" s="808"/>
      <c r="BF878" s="1737"/>
      <c r="BG878" s="808"/>
      <c r="BH878" s="1737"/>
      <c r="BI878" s="808"/>
      <c r="BJ878" s="1737"/>
      <c r="BK878" s="808"/>
      <c r="BL878" s="1737"/>
      <c r="BM878" s="808"/>
      <c r="BN878" s="1737"/>
      <c r="BO878" s="808"/>
      <c r="BP878" s="1737"/>
      <c r="BQ878" s="808"/>
      <c r="BR878" s="1737"/>
      <c r="BS878" s="808"/>
      <c r="BT878" s="1737"/>
      <c r="BU878" s="808"/>
      <c r="BV878" s="1737"/>
      <c r="BW878" s="808"/>
      <c r="BX878" s="1737"/>
      <c r="BY878" s="808"/>
      <c r="BZ878" s="1737"/>
      <c r="CA878" s="808"/>
      <c r="CB878" s="1737"/>
      <c r="CC878" s="808"/>
      <c r="CD878" s="1737"/>
      <c r="CE878" s="808"/>
      <c r="CF878" s="1737"/>
      <c r="CG878" s="808"/>
      <c r="CH878" s="1737"/>
      <c r="CI878" s="808"/>
      <c r="CJ878" s="1737"/>
      <c r="CK878" s="808"/>
      <c r="CL878" s="1737"/>
      <c r="CM878" s="808"/>
      <c r="CN878" s="1737"/>
      <c r="CO878" s="808"/>
      <c r="CP878" s="1737"/>
      <c r="CQ878" s="808"/>
      <c r="CR878" s="1737"/>
      <c r="CS878" s="808"/>
      <c r="CT878" s="1737"/>
      <c r="CU878" s="808"/>
      <c r="CV878" s="1737"/>
      <c r="CW878" s="808"/>
      <c r="CX878" s="1737"/>
      <c r="CY878" s="808"/>
      <c r="CZ878" s="1737"/>
      <c r="DA878" s="808"/>
      <c r="DB878" s="1737"/>
      <c r="DC878" s="808"/>
      <c r="DD878" s="1737"/>
      <c r="DE878" s="808"/>
      <c r="DF878" s="1737"/>
      <c r="DG878" s="808"/>
      <c r="DH878" s="1737"/>
      <c r="DI878" s="808"/>
      <c r="DJ878" s="1737"/>
      <c r="DK878" s="808"/>
      <c r="DL878" s="1737"/>
      <c r="DM878" s="808"/>
      <c r="DN878" s="1737"/>
      <c r="DO878" s="808"/>
      <c r="DP878" s="1737"/>
      <c r="DQ878" s="808"/>
      <c r="DR878" s="1737"/>
      <c r="DS878" s="808"/>
      <c r="DT878" s="1737"/>
      <c r="DU878" s="808"/>
      <c r="DV878" s="1737"/>
      <c r="DW878" s="808"/>
      <c r="DX878" s="1737"/>
      <c r="DY878" s="808"/>
      <c r="DZ878" s="1737"/>
      <c r="EA878" s="808"/>
      <c r="EB878" s="1737"/>
      <c r="EC878" s="808"/>
      <c r="ED878" s="1737"/>
      <c r="EE878" s="808"/>
      <c r="EF878" s="1737"/>
      <c r="EG878" s="808"/>
      <c r="EH878" s="1737"/>
      <c r="EI878" s="808"/>
      <c r="EJ878" s="1737"/>
      <c r="EK878" s="808"/>
      <c r="EL878" s="1737"/>
      <c r="EM878" s="808"/>
      <c r="EN878" s="1737"/>
      <c r="EO878" s="808"/>
      <c r="EP878" s="1737"/>
      <c r="EQ878" s="808"/>
      <c r="ER878" s="1737"/>
      <c r="ES878" s="808"/>
      <c r="ET878" s="1737"/>
      <c r="EU878" s="808"/>
      <c r="EV878" s="1737"/>
      <c r="EW878" s="808"/>
      <c r="EX878" s="1737"/>
      <c r="EY878" s="808"/>
      <c r="EZ878" s="1737"/>
      <c r="FA878" s="808"/>
      <c r="FB878" s="1737"/>
      <c r="FC878" s="808"/>
      <c r="FD878" s="1737"/>
      <c r="FE878" s="808"/>
      <c r="FF878" s="1737"/>
      <c r="FG878" s="808"/>
      <c r="FH878" s="1737"/>
      <c r="FI878" s="808"/>
      <c r="FJ878" s="1737"/>
      <c r="FK878" s="808"/>
      <c r="FL878" s="1737"/>
      <c r="FM878" s="808"/>
      <c r="FN878" s="1737"/>
      <c r="FO878" s="808"/>
      <c r="FP878" s="1737"/>
      <c r="FQ878" s="808"/>
      <c r="FR878" s="1737"/>
      <c r="FS878" s="808"/>
      <c r="FT878" s="1737"/>
      <c r="FU878" s="808"/>
      <c r="FV878" s="1737"/>
      <c r="FW878" s="808"/>
      <c r="FX878" s="1737"/>
      <c r="FY878" s="808"/>
      <c r="FZ878" s="1737"/>
      <c r="GA878" s="808"/>
      <c r="GB878" s="1737"/>
      <c r="GC878" s="808"/>
      <c r="GD878" s="1737"/>
      <c r="GE878" s="808"/>
      <c r="GF878" s="1737"/>
      <c r="GG878" s="808"/>
      <c r="GH878" s="1737"/>
      <c r="GI878" s="808"/>
      <c r="GJ878" s="1737"/>
      <c r="GK878" s="808"/>
      <c r="GL878" s="1737"/>
      <c r="GM878" s="808"/>
      <c r="GN878" s="1737"/>
      <c r="GO878" s="808"/>
      <c r="GP878" s="1737"/>
      <c r="GQ878" s="808"/>
      <c r="GR878" s="1737"/>
      <c r="GS878" s="808"/>
      <c r="GT878" s="1737"/>
      <c r="GU878" s="808"/>
      <c r="GV878" s="1737"/>
      <c r="GW878" s="808"/>
      <c r="GX878" s="1737"/>
      <c r="GY878" s="808"/>
      <c r="GZ878" s="1737"/>
      <c r="HA878" s="808"/>
      <c r="HB878" s="1737"/>
      <c r="HC878" s="808"/>
      <c r="HD878" s="1737"/>
      <c r="HE878" s="808"/>
      <c r="HF878" s="1737"/>
      <c r="HG878" s="808"/>
      <c r="HH878" s="1737"/>
      <c r="HI878" s="808"/>
      <c r="HJ878" s="1737"/>
      <c r="HK878" s="808"/>
      <c r="HL878" s="1737"/>
      <c r="HM878" s="808"/>
      <c r="HN878" s="1737"/>
      <c r="HO878" s="808"/>
      <c r="HP878" s="1737"/>
      <c r="HQ878" s="808"/>
      <c r="HR878" s="1737"/>
      <c r="HS878" s="808"/>
      <c r="HT878" s="1737"/>
      <c r="HU878" s="808"/>
      <c r="HV878" s="1737"/>
      <c r="HW878" s="808"/>
      <c r="HX878" s="1737"/>
      <c r="HY878" s="808"/>
      <c r="HZ878" s="1737"/>
      <c r="IA878" s="808"/>
      <c r="IB878" s="1737"/>
      <c r="IC878" s="808"/>
      <c r="ID878" s="1737"/>
      <c r="IE878" s="808"/>
      <c r="IF878" s="1737"/>
      <c r="IG878" s="808"/>
      <c r="IH878" s="1737"/>
      <c r="II878" s="808"/>
      <c r="IJ878" s="1737"/>
      <c r="IK878" s="808"/>
      <c r="IL878" s="1737"/>
      <c r="IM878" s="808"/>
      <c r="IN878" s="1737"/>
      <c r="IO878" s="808"/>
      <c r="IP878" s="1737"/>
      <c r="IQ878" s="808"/>
      <c r="IR878" s="1737"/>
      <c r="IS878" s="808"/>
      <c r="IT878" s="1737"/>
      <c r="IU878" s="808"/>
      <c r="IV878" s="1737"/>
    </row>
    <row r="879" spans="1:256">
      <c r="A879" s="1860">
        <v>4.0999999999999996</v>
      </c>
      <c r="B879" s="1794" t="s">
        <v>1350</v>
      </c>
      <c r="C879" s="31">
        <v>2</v>
      </c>
      <c r="D879" s="713" t="s">
        <v>3</v>
      </c>
      <c r="E879" s="1755">
        <v>1128.6400000000001</v>
      </c>
      <c r="F879" s="1864">
        <f>ROUND((C879*E879),2)</f>
        <v>2257.2800000000002</v>
      </c>
      <c r="G879" s="1547"/>
      <c r="H879" s="660"/>
      <c r="I879" s="510"/>
      <c r="J879" s="660"/>
    </row>
    <row r="880" spans="1:256">
      <c r="A880" s="1860">
        <v>4.2</v>
      </c>
      <c r="B880" s="1794" t="s">
        <v>1351</v>
      </c>
      <c r="C880" s="31">
        <v>1</v>
      </c>
      <c r="D880" s="713" t="s">
        <v>3</v>
      </c>
      <c r="E880" s="1755">
        <v>1494.35</v>
      </c>
      <c r="F880" s="1864">
        <f>ROUND((C880*E880),2)</f>
        <v>1494.35</v>
      </c>
      <c r="G880" s="1547"/>
      <c r="H880" s="660"/>
      <c r="I880" s="510"/>
      <c r="J880" s="660"/>
    </row>
    <row r="881" spans="1:256">
      <c r="A881" s="1860">
        <v>4.3</v>
      </c>
      <c r="B881" s="1794" t="s">
        <v>1352</v>
      </c>
      <c r="C881" s="31">
        <v>2</v>
      </c>
      <c r="D881" s="713" t="s">
        <v>3</v>
      </c>
      <c r="E881" s="1755">
        <v>1166.98</v>
      </c>
      <c r="F881" s="1864">
        <f>ROUND((C881*E881),2)</f>
        <v>2333.96</v>
      </c>
      <c r="G881" s="1547"/>
      <c r="H881" s="660"/>
      <c r="I881" s="510"/>
      <c r="J881" s="660"/>
    </row>
    <row r="882" spans="1:256" s="1539" customFormat="1" ht="16.5" customHeight="1">
      <c r="A882" s="1873"/>
      <c r="B882" s="1827" t="s">
        <v>1666</v>
      </c>
      <c r="C882" s="1827"/>
      <c r="D882" s="1827"/>
      <c r="E882" s="1828"/>
      <c r="F882" s="1874">
        <f>SUM(F833:F881)</f>
        <v>525903.66</v>
      </c>
      <c r="G882" s="1741"/>
    </row>
    <row r="883" spans="1:256">
      <c r="A883" s="1865"/>
      <c r="B883" s="522"/>
      <c r="C883" s="31"/>
      <c r="D883" s="713"/>
      <c r="E883" s="1755"/>
      <c r="F883" s="1864"/>
      <c r="G883" s="1741"/>
      <c r="H883" s="660"/>
      <c r="I883" s="510"/>
      <c r="J883" s="660"/>
    </row>
    <row r="884" spans="1:256">
      <c r="A884" t="s">
        <v>997</v>
      </c>
      <c r="B884" s="1804" t="s">
        <v>2283</v>
      </c>
      <c r="C884" s="808"/>
      <c r="D884" s="1804"/>
      <c r="E884" s="1755"/>
      <c r="F884">
        <f>C884*E884</f>
        <v>0</v>
      </c>
      <c r="G884" s="1754"/>
      <c r="H884" s="1846"/>
      <c r="I884" s="1754"/>
      <c r="J884" s="1846"/>
      <c r="K884" s="1754"/>
      <c r="L884" s="1846"/>
      <c r="M884" s="1803"/>
      <c r="N884" s="1737"/>
      <c r="O884" s="808"/>
      <c r="P884" s="1737"/>
      <c r="Q884" s="808"/>
      <c r="R884" s="1737"/>
      <c r="S884" s="808"/>
      <c r="T884" s="1737"/>
      <c r="U884" s="808"/>
      <c r="V884" s="1737"/>
      <c r="W884" s="808"/>
      <c r="X884" s="1737"/>
      <c r="Y884" s="808"/>
      <c r="Z884" s="1737"/>
      <c r="AA884" s="808"/>
      <c r="AB884" s="1737"/>
      <c r="AC884" s="808"/>
      <c r="AD884" s="1737"/>
      <c r="AE884" s="808"/>
      <c r="AF884" s="1737"/>
      <c r="AG884" s="808"/>
      <c r="AH884" s="1737"/>
      <c r="AI884" s="808"/>
      <c r="AJ884" s="1737"/>
      <c r="AK884" s="808"/>
      <c r="AL884" s="1737"/>
      <c r="AM884" s="808"/>
      <c r="AN884" s="1737"/>
      <c r="AO884" s="808"/>
      <c r="AP884" s="1737"/>
      <c r="AQ884" s="808"/>
      <c r="AR884" s="1737"/>
      <c r="AS884" s="808"/>
      <c r="AT884" s="1737"/>
      <c r="AU884" s="808"/>
      <c r="AV884" s="1737"/>
      <c r="AW884" s="808"/>
      <c r="AX884" s="1737"/>
      <c r="AY884" s="808"/>
      <c r="AZ884" s="1737"/>
      <c r="BA884" s="808"/>
      <c r="BB884" s="1737"/>
      <c r="BC884" s="808"/>
      <c r="BD884" s="1737"/>
      <c r="BE884" s="808"/>
      <c r="BF884" s="1737"/>
      <c r="BG884" s="808"/>
      <c r="BH884" s="1737"/>
      <c r="BI884" s="808"/>
      <c r="BJ884" s="1737"/>
      <c r="BK884" s="808"/>
      <c r="BL884" s="1737"/>
      <c r="BM884" s="808"/>
      <c r="BN884" s="1737"/>
      <c r="BO884" s="808"/>
      <c r="BP884" s="1737"/>
      <c r="BQ884" s="808"/>
      <c r="BR884" s="1737"/>
      <c r="BS884" s="808"/>
      <c r="BT884" s="1737"/>
      <c r="BU884" s="808"/>
      <c r="BV884" s="1737"/>
      <c r="BW884" s="808"/>
      <c r="BX884" s="1737"/>
      <c r="BY884" s="808"/>
      <c r="BZ884" s="1737"/>
      <c r="CA884" s="808"/>
      <c r="CB884" s="1737"/>
      <c r="CC884" s="808"/>
      <c r="CD884" s="1737"/>
      <c r="CE884" s="808"/>
      <c r="CF884" s="1737"/>
      <c r="CG884" s="808"/>
      <c r="CH884" s="1737"/>
      <c r="CI884" s="808"/>
      <c r="CJ884" s="1737"/>
      <c r="CK884" s="808"/>
      <c r="CL884" s="1737"/>
      <c r="CM884" s="808"/>
      <c r="CN884" s="1737"/>
      <c r="CO884" s="808"/>
      <c r="CP884" s="1737"/>
      <c r="CQ884" s="808"/>
      <c r="CR884" s="1737"/>
      <c r="CS884" s="808"/>
      <c r="CT884" s="1737"/>
      <c r="CU884" s="808"/>
      <c r="CV884" s="1737"/>
      <c r="CW884" s="808"/>
      <c r="CX884" s="1737"/>
      <c r="CY884" s="808"/>
      <c r="CZ884" s="1737"/>
      <c r="DA884" s="808"/>
      <c r="DB884" s="1737"/>
      <c r="DC884" s="808"/>
      <c r="DD884" s="1737"/>
      <c r="DE884" s="808"/>
      <c r="DF884" s="1737"/>
      <c r="DG884" s="808"/>
      <c r="DH884" s="1737"/>
      <c r="DI884" s="808"/>
      <c r="DJ884" s="1737"/>
      <c r="DK884" s="808"/>
      <c r="DL884" s="1737"/>
      <c r="DM884" s="808"/>
      <c r="DN884" s="1737"/>
      <c r="DO884" s="808"/>
      <c r="DP884" s="1737"/>
      <c r="DQ884" s="808"/>
      <c r="DR884" s="1737"/>
      <c r="DS884" s="808"/>
      <c r="DT884" s="1737"/>
      <c r="DU884" s="808"/>
      <c r="DV884" s="1737"/>
      <c r="DW884" s="808"/>
      <c r="DX884" s="1737"/>
      <c r="DY884" s="808"/>
      <c r="DZ884" s="1737"/>
      <c r="EA884" s="808"/>
      <c r="EB884" s="1737"/>
      <c r="EC884" s="808"/>
      <c r="ED884" s="1737"/>
      <c r="EE884" s="808"/>
      <c r="EF884" s="1737"/>
      <c r="EG884" s="808"/>
      <c r="EH884" s="1737"/>
      <c r="EI884" s="808"/>
      <c r="EJ884" s="1737"/>
      <c r="EK884" s="808"/>
      <c r="EL884" s="1737"/>
      <c r="EM884" s="808"/>
      <c r="EN884" s="1737"/>
      <c r="EO884" s="808"/>
      <c r="EP884" s="1737"/>
      <c r="EQ884" s="808"/>
      <c r="ER884" s="1737"/>
      <c r="ES884" s="808"/>
      <c r="ET884" s="1737"/>
      <c r="EU884" s="808"/>
      <c r="EV884" s="1737"/>
      <c r="EW884" s="808"/>
      <c r="EX884" s="1737"/>
      <c r="EY884" s="808"/>
      <c r="EZ884" s="1737"/>
      <c r="FA884" s="808"/>
      <c r="FB884" s="1737"/>
      <c r="FC884" s="808"/>
      <c r="FD884" s="1737"/>
      <c r="FE884" s="808"/>
      <c r="FF884" s="1737"/>
      <c r="FG884" s="808"/>
      <c r="FH884" s="1737"/>
      <c r="FI884" s="808"/>
      <c r="FJ884" s="1737"/>
      <c r="FK884" s="808"/>
      <c r="FL884" s="1737"/>
      <c r="FM884" s="808"/>
      <c r="FN884" s="1737"/>
      <c r="FO884" s="808"/>
      <c r="FP884" s="1737"/>
      <c r="FQ884" s="808"/>
      <c r="FR884" s="1737"/>
      <c r="FS884" s="808"/>
      <c r="FT884" s="1737"/>
      <c r="FU884" s="808"/>
      <c r="FV884" s="1737"/>
      <c r="FW884" s="808"/>
      <c r="FX884" s="1737"/>
      <c r="FY884" s="808"/>
      <c r="FZ884" s="1737"/>
      <c r="GA884" s="808"/>
      <c r="GB884" s="1737"/>
      <c r="GC884" s="808"/>
      <c r="GD884" s="1737"/>
      <c r="GE884" s="808"/>
      <c r="GF884" s="1737"/>
      <c r="GG884" s="808"/>
      <c r="GH884" s="1737"/>
      <c r="GI884" s="808"/>
      <c r="GJ884" s="1737"/>
      <c r="GK884" s="808"/>
      <c r="GL884" s="1737"/>
      <c r="GM884" s="808"/>
      <c r="GN884" s="1737"/>
      <c r="GO884" s="808"/>
      <c r="GP884" s="1737"/>
      <c r="GQ884" s="808"/>
      <c r="GR884" s="1737"/>
      <c r="GS884" s="808"/>
      <c r="GT884" s="1737"/>
      <c r="GU884" s="808"/>
      <c r="GV884" s="1737"/>
      <c r="GW884" s="808"/>
      <c r="GX884" s="1737"/>
      <c r="GY884" s="808"/>
      <c r="GZ884" s="1737"/>
      <c r="HA884" s="808"/>
      <c r="HB884" s="1737"/>
      <c r="HC884" s="808"/>
      <c r="HD884" s="1737"/>
      <c r="HE884" s="808"/>
      <c r="HF884" s="1737"/>
      <c r="HG884" s="808"/>
      <c r="HH884" s="1737"/>
      <c r="HI884" s="808"/>
      <c r="HJ884" s="1737"/>
      <c r="HK884" s="808"/>
      <c r="HL884" s="1737"/>
      <c r="HM884" s="808"/>
      <c r="HN884" s="1737"/>
      <c r="HO884" s="808"/>
      <c r="HP884" s="1737"/>
      <c r="HQ884" s="808"/>
      <c r="HR884" s="1737"/>
      <c r="HS884" s="808"/>
      <c r="HT884" s="1737"/>
      <c r="HU884" s="808"/>
      <c r="HV884" s="1737"/>
      <c r="HW884" s="808"/>
      <c r="HX884" s="1737"/>
      <c r="HY884" s="808"/>
      <c r="HZ884" s="1737"/>
      <c r="IA884" s="808"/>
      <c r="IB884" s="1737"/>
      <c r="IC884" s="808"/>
      <c r="ID884" s="1737"/>
      <c r="IE884" s="808"/>
      <c r="IF884" s="1737"/>
      <c r="IG884" s="808"/>
      <c r="IH884" s="1737"/>
      <c r="II884" s="808"/>
      <c r="IJ884" s="1737"/>
      <c r="IK884" s="808"/>
      <c r="IL884" s="1737"/>
      <c r="IM884" s="808"/>
      <c r="IN884" s="1737"/>
      <c r="IO884" s="808"/>
      <c r="IP884" s="1737"/>
      <c r="IQ884" s="808"/>
      <c r="IR884" s="1737"/>
      <c r="IS884" s="808"/>
      <c r="IT884" s="1737"/>
      <c r="IU884" s="808"/>
      <c r="IV884" s="1737"/>
    </row>
    <row r="885" spans="1:256">
      <c r="A885" s="1876"/>
      <c r="B885" s="425"/>
      <c r="C885" s="31"/>
      <c r="D885" s="713"/>
      <c r="E885" s="1755"/>
      <c r="F885" s="1864"/>
      <c r="G885" s="1741"/>
      <c r="H885" s="510"/>
    </row>
    <row r="886" spans="1:256">
      <c r="A886" s="1867">
        <v>1</v>
      </c>
      <c r="B886" s="1804" t="s">
        <v>1203</v>
      </c>
      <c r="C886" s="808"/>
      <c r="D886" s="1804"/>
      <c r="E886" s="1755"/>
      <c r="F886">
        <f>C886*E886</f>
        <v>0</v>
      </c>
      <c r="G886" s="1754"/>
      <c r="H886" s="1846"/>
      <c r="I886" s="1754"/>
      <c r="J886" s="1846"/>
      <c r="K886" s="1754"/>
      <c r="L886" s="1846"/>
      <c r="M886" s="1803"/>
      <c r="N886" s="1737"/>
      <c r="O886" s="808"/>
      <c r="P886" s="1737"/>
      <c r="Q886" s="808"/>
      <c r="R886" s="1737"/>
      <c r="S886" s="808"/>
      <c r="T886" s="1737"/>
      <c r="U886" s="808"/>
      <c r="V886" s="1737"/>
      <c r="W886" s="808"/>
      <c r="X886" s="1737"/>
      <c r="Y886" s="808"/>
      <c r="Z886" s="1737"/>
      <c r="AA886" s="808"/>
      <c r="AB886" s="1737"/>
      <c r="AC886" s="808"/>
      <c r="AD886" s="1737"/>
      <c r="AE886" s="808"/>
      <c r="AF886" s="1737"/>
      <c r="AG886" s="808"/>
      <c r="AH886" s="1737"/>
      <c r="AI886" s="808"/>
      <c r="AJ886" s="1737"/>
      <c r="AK886" s="808"/>
      <c r="AL886" s="1737"/>
      <c r="AM886" s="808"/>
      <c r="AN886" s="1737"/>
      <c r="AO886" s="808"/>
      <c r="AP886" s="1737"/>
      <c r="AQ886" s="808"/>
      <c r="AR886" s="1737"/>
      <c r="AS886" s="808"/>
      <c r="AT886" s="1737"/>
      <c r="AU886" s="808"/>
      <c r="AV886" s="1737"/>
      <c r="AW886" s="808"/>
      <c r="AX886" s="1737"/>
      <c r="AY886" s="808"/>
      <c r="AZ886" s="1737"/>
      <c r="BA886" s="808"/>
      <c r="BB886" s="1737"/>
      <c r="BC886" s="808"/>
      <c r="BD886" s="1737"/>
      <c r="BE886" s="808"/>
      <c r="BF886" s="1737"/>
      <c r="BG886" s="808"/>
      <c r="BH886" s="1737"/>
      <c r="BI886" s="808"/>
      <c r="BJ886" s="1737"/>
      <c r="BK886" s="808"/>
      <c r="BL886" s="1737"/>
      <c r="BM886" s="808"/>
      <c r="BN886" s="1737"/>
      <c r="BO886" s="808"/>
      <c r="BP886" s="1737"/>
      <c r="BQ886" s="808"/>
      <c r="BR886" s="1737"/>
      <c r="BS886" s="808"/>
      <c r="BT886" s="1737"/>
      <c r="BU886" s="808"/>
      <c r="BV886" s="1737"/>
      <c r="BW886" s="808"/>
      <c r="BX886" s="1737"/>
      <c r="BY886" s="808"/>
      <c r="BZ886" s="1737"/>
      <c r="CA886" s="808"/>
      <c r="CB886" s="1737"/>
      <c r="CC886" s="808"/>
      <c r="CD886" s="1737"/>
      <c r="CE886" s="808"/>
      <c r="CF886" s="1737"/>
      <c r="CG886" s="808"/>
      <c r="CH886" s="1737"/>
      <c r="CI886" s="808"/>
      <c r="CJ886" s="1737"/>
      <c r="CK886" s="808"/>
      <c r="CL886" s="1737"/>
      <c r="CM886" s="808"/>
      <c r="CN886" s="1737"/>
      <c r="CO886" s="808"/>
      <c r="CP886" s="1737"/>
      <c r="CQ886" s="808"/>
      <c r="CR886" s="1737"/>
      <c r="CS886" s="808"/>
      <c r="CT886" s="1737"/>
      <c r="CU886" s="808"/>
      <c r="CV886" s="1737"/>
      <c r="CW886" s="808"/>
      <c r="CX886" s="1737"/>
      <c r="CY886" s="808"/>
      <c r="CZ886" s="1737"/>
      <c r="DA886" s="808"/>
      <c r="DB886" s="1737"/>
      <c r="DC886" s="808"/>
      <c r="DD886" s="1737"/>
      <c r="DE886" s="808"/>
      <c r="DF886" s="1737"/>
      <c r="DG886" s="808"/>
      <c r="DH886" s="1737"/>
      <c r="DI886" s="808"/>
      <c r="DJ886" s="1737"/>
      <c r="DK886" s="808"/>
      <c r="DL886" s="1737"/>
      <c r="DM886" s="808"/>
      <c r="DN886" s="1737"/>
      <c r="DO886" s="808"/>
      <c r="DP886" s="1737"/>
      <c r="DQ886" s="808"/>
      <c r="DR886" s="1737"/>
      <c r="DS886" s="808"/>
      <c r="DT886" s="1737"/>
      <c r="DU886" s="808"/>
      <c r="DV886" s="1737"/>
      <c r="DW886" s="808"/>
      <c r="DX886" s="1737"/>
      <c r="DY886" s="808"/>
      <c r="DZ886" s="1737"/>
      <c r="EA886" s="808"/>
      <c r="EB886" s="1737"/>
      <c r="EC886" s="808"/>
      <c r="ED886" s="1737"/>
      <c r="EE886" s="808"/>
      <c r="EF886" s="1737"/>
      <c r="EG886" s="808"/>
      <c r="EH886" s="1737"/>
      <c r="EI886" s="808"/>
      <c r="EJ886" s="1737"/>
      <c r="EK886" s="808"/>
      <c r="EL886" s="1737"/>
      <c r="EM886" s="808"/>
      <c r="EN886" s="1737"/>
      <c r="EO886" s="808"/>
      <c r="EP886" s="1737"/>
      <c r="EQ886" s="808"/>
      <c r="ER886" s="1737"/>
      <c r="ES886" s="808"/>
      <c r="ET886" s="1737"/>
      <c r="EU886" s="808"/>
      <c r="EV886" s="1737"/>
      <c r="EW886" s="808"/>
      <c r="EX886" s="1737"/>
      <c r="EY886" s="808"/>
      <c r="EZ886" s="1737"/>
      <c r="FA886" s="808"/>
      <c r="FB886" s="1737"/>
      <c r="FC886" s="808"/>
      <c r="FD886" s="1737"/>
      <c r="FE886" s="808"/>
      <c r="FF886" s="1737"/>
      <c r="FG886" s="808"/>
      <c r="FH886" s="1737"/>
      <c r="FI886" s="808"/>
      <c r="FJ886" s="1737"/>
      <c r="FK886" s="808"/>
      <c r="FL886" s="1737"/>
      <c r="FM886" s="808"/>
      <c r="FN886" s="1737"/>
      <c r="FO886" s="808"/>
      <c r="FP886" s="1737"/>
      <c r="FQ886" s="808"/>
      <c r="FR886" s="1737"/>
      <c r="FS886" s="808"/>
      <c r="FT886" s="1737"/>
      <c r="FU886" s="808"/>
      <c r="FV886" s="1737"/>
      <c r="FW886" s="808"/>
      <c r="FX886" s="1737"/>
      <c r="FY886" s="808"/>
      <c r="FZ886" s="1737"/>
      <c r="GA886" s="808"/>
      <c r="GB886" s="1737"/>
      <c r="GC886" s="808"/>
      <c r="GD886" s="1737"/>
      <c r="GE886" s="808"/>
      <c r="GF886" s="1737"/>
      <c r="GG886" s="808"/>
      <c r="GH886" s="1737"/>
      <c r="GI886" s="808"/>
      <c r="GJ886" s="1737"/>
      <c r="GK886" s="808"/>
      <c r="GL886" s="1737"/>
      <c r="GM886" s="808"/>
      <c r="GN886" s="1737"/>
      <c r="GO886" s="808"/>
      <c r="GP886" s="1737"/>
      <c r="GQ886" s="808"/>
      <c r="GR886" s="1737"/>
      <c r="GS886" s="808"/>
      <c r="GT886" s="1737"/>
      <c r="GU886" s="808"/>
      <c r="GV886" s="1737"/>
      <c r="GW886" s="808"/>
      <c r="GX886" s="1737"/>
      <c r="GY886" s="808"/>
      <c r="GZ886" s="1737"/>
      <c r="HA886" s="808"/>
      <c r="HB886" s="1737"/>
      <c r="HC886" s="808"/>
      <c r="HD886" s="1737"/>
      <c r="HE886" s="808"/>
      <c r="HF886" s="1737"/>
      <c r="HG886" s="808"/>
      <c r="HH886" s="1737"/>
      <c r="HI886" s="808"/>
      <c r="HJ886" s="1737"/>
      <c r="HK886" s="808"/>
      <c r="HL886" s="1737"/>
      <c r="HM886" s="808"/>
      <c r="HN886" s="1737"/>
      <c r="HO886" s="808"/>
      <c r="HP886" s="1737"/>
      <c r="HQ886" s="808"/>
      <c r="HR886" s="1737"/>
      <c r="HS886" s="808"/>
      <c r="HT886" s="1737"/>
      <c r="HU886" s="808"/>
      <c r="HV886" s="1737"/>
      <c r="HW886" s="808"/>
      <c r="HX886" s="1737"/>
      <c r="HY886" s="808"/>
      <c r="HZ886" s="1737"/>
      <c r="IA886" s="808"/>
      <c r="IB886" s="1737"/>
      <c r="IC886" s="808"/>
      <c r="ID886" s="1737"/>
      <c r="IE886" s="808"/>
      <c r="IF886" s="1737"/>
      <c r="IG886" s="808"/>
      <c r="IH886" s="1737"/>
      <c r="II886" s="808"/>
      <c r="IJ886" s="1737"/>
      <c r="IK886" s="808"/>
      <c r="IL886" s="1737"/>
      <c r="IM886" s="808"/>
      <c r="IN886" s="1737"/>
      <c r="IO886" s="808"/>
      <c r="IP886" s="1737"/>
      <c r="IQ886" s="808"/>
      <c r="IR886" s="1737"/>
      <c r="IS886" s="808"/>
      <c r="IT886" s="1737"/>
      <c r="IU886" s="808"/>
      <c r="IV886" s="1737"/>
    </row>
    <row r="887" spans="1:256">
      <c r="A887" s="1860">
        <v>1.1000000000000001</v>
      </c>
      <c r="B887" s="425" t="s">
        <v>1204</v>
      </c>
      <c r="C887" s="31">
        <v>24.42</v>
      </c>
      <c r="D887" s="713" t="s">
        <v>2</v>
      </c>
      <c r="E887" s="1755">
        <v>85</v>
      </c>
      <c r="F887" s="1864">
        <f>C887*E887</f>
        <v>2075.6999999999998</v>
      </c>
      <c r="G887" s="1741"/>
    </row>
    <row r="888" spans="1:256">
      <c r="A888" s="1860">
        <v>1.2</v>
      </c>
      <c r="B888" s="425" t="s">
        <v>4</v>
      </c>
      <c r="C888" s="31">
        <v>2.2000000000000002</v>
      </c>
      <c r="D888" s="713" t="s">
        <v>2</v>
      </c>
      <c r="E888" s="1755">
        <v>1108.8900000000001</v>
      </c>
      <c r="F888" s="1864">
        <f>C888*E888</f>
        <v>2439.56</v>
      </c>
      <c r="G888" s="1741"/>
    </row>
    <row r="889" spans="1:256">
      <c r="A889" s="1860">
        <v>1.3</v>
      </c>
      <c r="B889" s="425" t="s">
        <v>1205</v>
      </c>
      <c r="C889" s="31">
        <v>0</v>
      </c>
      <c r="D889" s="713" t="s">
        <v>2</v>
      </c>
      <c r="E889" s="1755">
        <v>37</v>
      </c>
      <c r="F889" s="1864">
        <f>C889*E889</f>
        <v>0</v>
      </c>
      <c r="G889" s="1741"/>
    </row>
    <row r="890" spans="1:256">
      <c r="A890" s="1860"/>
      <c r="B890" s="425"/>
      <c r="C890" s="31"/>
      <c r="D890" s="713"/>
      <c r="E890" s="1755"/>
      <c r="F890" s="1864"/>
      <c r="G890" s="1741"/>
    </row>
    <row r="891" spans="1:256">
      <c r="A891" s="1867">
        <v>2</v>
      </c>
      <c r="B891" s="1804" t="s">
        <v>748</v>
      </c>
      <c r="C891" s="808"/>
      <c r="D891" s="1804"/>
      <c r="E891" s="1755"/>
      <c r="F891"/>
      <c r="G891" s="1754"/>
      <c r="H891" s="1846"/>
      <c r="I891" s="1754"/>
      <c r="J891" s="1846"/>
      <c r="K891" s="1754"/>
      <c r="L891" s="1846"/>
      <c r="M891" s="1803"/>
      <c r="N891" s="1737"/>
      <c r="O891" s="808"/>
      <c r="P891" s="1737"/>
      <c r="Q891" s="808"/>
      <c r="R891" s="1737"/>
      <c r="S891" s="808"/>
      <c r="T891" s="1737"/>
      <c r="U891" s="808"/>
      <c r="V891" s="1737"/>
      <c r="W891" s="808"/>
      <c r="X891" s="1737"/>
      <c r="Y891" s="808"/>
      <c r="Z891" s="1737"/>
      <c r="AA891" s="808"/>
      <c r="AB891" s="1737"/>
      <c r="AC891" s="808"/>
      <c r="AD891" s="1737"/>
      <c r="AE891" s="808"/>
      <c r="AF891" s="1737"/>
      <c r="AG891" s="808"/>
      <c r="AH891" s="1737"/>
      <c r="AI891" s="808"/>
      <c r="AJ891" s="1737"/>
      <c r="AK891" s="808"/>
      <c r="AL891" s="1737"/>
      <c r="AM891" s="808"/>
      <c r="AN891" s="1737"/>
      <c r="AO891" s="808"/>
      <c r="AP891" s="1737"/>
      <c r="AQ891" s="808"/>
      <c r="AR891" s="1737"/>
      <c r="AS891" s="808"/>
      <c r="AT891" s="1737"/>
      <c r="AU891" s="808"/>
      <c r="AV891" s="1737"/>
      <c r="AW891" s="808"/>
      <c r="AX891" s="1737"/>
      <c r="AY891" s="808"/>
      <c r="AZ891" s="1737"/>
      <c r="BA891" s="808"/>
      <c r="BB891" s="1737"/>
      <c r="BC891" s="808"/>
      <c r="BD891" s="1737"/>
      <c r="BE891" s="808"/>
      <c r="BF891" s="1737"/>
      <c r="BG891" s="808"/>
      <c r="BH891" s="1737"/>
      <c r="BI891" s="808"/>
      <c r="BJ891" s="1737"/>
      <c r="BK891" s="808"/>
      <c r="BL891" s="1737"/>
      <c r="BM891" s="808"/>
      <c r="BN891" s="1737"/>
      <c r="BO891" s="808"/>
      <c r="BP891" s="1737"/>
      <c r="BQ891" s="808"/>
      <c r="BR891" s="1737"/>
      <c r="BS891" s="808"/>
      <c r="BT891" s="1737"/>
      <c r="BU891" s="808"/>
      <c r="BV891" s="1737"/>
      <c r="BW891" s="808"/>
      <c r="BX891" s="1737"/>
      <c r="BY891" s="808"/>
      <c r="BZ891" s="1737"/>
      <c r="CA891" s="808"/>
      <c r="CB891" s="1737"/>
      <c r="CC891" s="808"/>
      <c r="CD891" s="1737"/>
      <c r="CE891" s="808"/>
      <c r="CF891" s="1737"/>
      <c r="CG891" s="808"/>
      <c r="CH891" s="1737"/>
      <c r="CI891" s="808"/>
      <c r="CJ891" s="1737"/>
      <c r="CK891" s="808"/>
      <c r="CL891" s="1737"/>
      <c r="CM891" s="808"/>
      <c r="CN891" s="1737"/>
      <c r="CO891" s="808"/>
      <c r="CP891" s="1737"/>
      <c r="CQ891" s="808"/>
      <c r="CR891" s="1737"/>
      <c r="CS891" s="808"/>
      <c r="CT891" s="1737"/>
      <c r="CU891" s="808"/>
      <c r="CV891" s="1737"/>
      <c r="CW891" s="808"/>
      <c r="CX891" s="1737"/>
      <c r="CY891" s="808"/>
      <c r="CZ891" s="1737"/>
      <c r="DA891" s="808"/>
      <c r="DB891" s="1737"/>
      <c r="DC891" s="808"/>
      <c r="DD891" s="1737"/>
      <c r="DE891" s="808"/>
      <c r="DF891" s="1737"/>
      <c r="DG891" s="808"/>
      <c r="DH891" s="1737"/>
      <c r="DI891" s="808"/>
      <c r="DJ891" s="1737"/>
      <c r="DK891" s="808"/>
      <c r="DL891" s="1737"/>
      <c r="DM891" s="808"/>
      <c r="DN891" s="1737"/>
      <c r="DO891" s="808"/>
      <c r="DP891" s="1737"/>
      <c r="DQ891" s="808"/>
      <c r="DR891" s="1737"/>
      <c r="DS891" s="808"/>
      <c r="DT891" s="1737"/>
      <c r="DU891" s="808"/>
      <c r="DV891" s="1737"/>
      <c r="DW891" s="808"/>
      <c r="DX891" s="1737"/>
      <c r="DY891" s="808"/>
      <c r="DZ891" s="1737"/>
      <c r="EA891" s="808"/>
      <c r="EB891" s="1737"/>
      <c r="EC891" s="808"/>
      <c r="ED891" s="1737"/>
      <c r="EE891" s="808"/>
      <c r="EF891" s="1737"/>
      <c r="EG891" s="808"/>
      <c r="EH891" s="1737"/>
      <c r="EI891" s="808"/>
      <c r="EJ891" s="1737"/>
      <c r="EK891" s="808"/>
      <c r="EL891" s="1737"/>
      <c r="EM891" s="808"/>
      <c r="EN891" s="1737"/>
      <c r="EO891" s="808"/>
      <c r="EP891" s="1737"/>
      <c r="EQ891" s="808"/>
      <c r="ER891" s="1737"/>
      <c r="ES891" s="808"/>
      <c r="ET891" s="1737"/>
      <c r="EU891" s="808"/>
      <c r="EV891" s="1737"/>
      <c r="EW891" s="808"/>
      <c r="EX891" s="1737"/>
      <c r="EY891" s="808"/>
      <c r="EZ891" s="1737"/>
      <c r="FA891" s="808"/>
      <c r="FB891" s="1737"/>
      <c r="FC891" s="808"/>
      <c r="FD891" s="1737"/>
      <c r="FE891" s="808"/>
      <c r="FF891" s="1737"/>
      <c r="FG891" s="808"/>
      <c r="FH891" s="1737"/>
      <c r="FI891" s="808"/>
      <c r="FJ891" s="1737"/>
      <c r="FK891" s="808"/>
      <c r="FL891" s="1737"/>
      <c r="FM891" s="808"/>
      <c r="FN891" s="1737"/>
      <c r="FO891" s="808"/>
      <c r="FP891" s="1737"/>
      <c r="FQ891" s="808"/>
      <c r="FR891" s="1737"/>
      <c r="FS891" s="808"/>
      <c r="FT891" s="1737"/>
      <c r="FU891" s="808"/>
      <c r="FV891" s="1737"/>
      <c r="FW891" s="808"/>
      <c r="FX891" s="1737"/>
      <c r="FY891" s="808"/>
      <c r="FZ891" s="1737"/>
      <c r="GA891" s="808"/>
      <c r="GB891" s="1737"/>
      <c r="GC891" s="808"/>
      <c r="GD891" s="1737"/>
      <c r="GE891" s="808"/>
      <c r="GF891" s="1737"/>
      <c r="GG891" s="808"/>
      <c r="GH891" s="1737"/>
      <c r="GI891" s="808"/>
      <c r="GJ891" s="1737"/>
      <c r="GK891" s="808"/>
      <c r="GL891" s="1737"/>
      <c r="GM891" s="808"/>
      <c r="GN891" s="1737"/>
      <c r="GO891" s="808"/>
      <c r="GP891" s="1737"/>
      <c r="GQ891" s="808"/>
      <c r="GR891" s="1737"/>
      <c r="GS891" s="808"/>
      <c r="GT891" s="1737"/>
      <c r="GU891" s="808"/>
      <c r="GV891" s="1737"/>
      <c r="GW891" s="808"/>
      <c r="GX891" s="1737"/>
      <c r="GY891" s="808"/>
      <c r="GZ891" s="1737"/>
      <c r="HA891" s="808"/>
      <c r="HB891" s="1737"/>
      <c r="HC891" s="808"/>
      <c r="HD891" s="1737"/>
      <c r="HE891" s="808"/>
      <c r="HF891" s="1737"/>
      <c r="HG891" s="808"/>
      <c r="HH891" s="1737"/>
      <c r="HI891" s="808"/>
      <c r="HJ891" s="1737"/>
      <c r="HK891" s="808"/>
      <c r="HL891" s="1737"/>
      <c r="HM891" s="808"/>
      <c r="HN891" s="1737"/>
      <c r="HO891" s="808"/>
      <c r="HP891" s="1737"/>
      <c r="HQ891" s="808"/>
      <c r="HR891" s="1737"/>
      <c r="HS891" s="808"/>
      <c r="HT891" s="1737"/>
      <c r="HU891" s="808"/>
      <c r="HV891" s="1737"/>
      <c r="HW891" s="808"/>
      <c r="HX891" s="1737"/>
      <c r="HY891" s="808"/>
      <c r="HZ891" s="1737"/>
      <c r="IA891" s="808"/>
      <c r="IB891" s="1737"/>
      <c r="IC891" s="808"/>
      <c r="ID891" s="1737"/>
      <c r="IE891" s="808"/>
      <c r="IF891" s="1737"/>
      <c r="IG891" s="808"/>
      <c r="IH891" s="1737"/>
      <c r="II891" s="808"/>
      <c r="IJ891" s="1737"/>
      <c r="IK891" s="808"/>
      <c r="IL891" s="1737"/>
      <c r="IM891" s="808"/>
      <c r="IN891" s="1737"/>
      <c r="IO891" s="808"/>
      <c r="IP891" s="1737"/>
      <c r="IQ891" s="808"/>
      <c r="IR891" s="1737"/>
      <c r="IS891" s="808"/>
      <c r="IT891" s="1737"/>
      <c r="IU891" s="808"/>
      <c r="IV891" s="1737"/>
    </row>
    <row r="892" spans="1:256" s="1739" customFormat="1">
      <c r="A892" s="1860">
        <v>2.1</v>
      </c>
      <c r="B892" s="1794" t="s">
        <v>1017</v>
      </c>
      <c r="C892" s="31">
        <v>1</v>
      </c>
      <c r="D892" s="713" t="s">
        <v>3</v>
      </c>
      <c r="E892" s="1755">
        <v>9500</v>
      </c>
      <c r="F892" s="1864">
        <f>ROUND((C892*E892),2)</f>
        <v>9500</v>
      </c>
      <c r="G892" s="1741"/>
      <c r="H892" s="842"/>
      <c r="I892" s="842"/>
      <c r="J892" s="842"/>
      <c r="K892" s="842"/>
      <c r="L892" s="842"/>
    </row>
    <row r="893" spans="1:256">
      <c r="A893" s="1860">
        <v>2.2000000000000002</v>
      </c>
      <c r="B893" s="1794" t="s">
        <v>1018</v>
      </c>
      <c r="C893" s="31">
        <v>1</v>
      </c>
      <c r="D893" s="713" t="s">
        <v>3</v>
      </c>
      <c r="E893" s="1755">
        <v>8500</v>
      </c>
      <c r="F893" s="1864">
        <f>ROUND((C893*E893),2)</f>
        <v>8500</v>
      </c>
      <c r="G893" s="1741"/>
    </row>
    <row r="894" spans="1:256">
      <c r="A894" s="1860">
        <v>2.2999999999999998</v>
      </c>
      <c r="B894" s="1794" t="s">
        <v>1019</v>
      </c>
      <c r="C894" s="31">
        <v>1</v>
      </c>
      <c r="D894" s="713" t="s">
        <v>3</v>
      </c>
      <c r="E894" s="1755">
        <v>8000</v>
      </c>
      <c r="F894" s="1864">
        <f>ROUND((C894*E894),2)</f>
        <v>8000</v>
      </c>
      <c r="G894" s="1741"/>
    </row>
    <row r="895" spans="1:256">
      <c r="A895" s="1860"/>
      <c r="B895" s="1794"/>
      <c r="C895" s="31"/>
      <c r="D895" s="713"/>
      <c r="E895" s="1755"/>
      <c r="F895" s="1864"/>
      <c r="G895" s="1741"/>
    </row>
    <row r="896" spans="1:256">
      <c r="A896" s="1860">
        <v>3</v>
      </c>
      <c r="B896" s="1794" t="s">
        <v>1021</v>
      </c>
      <c r="C896" s="31">
        <v>138.79</v>
      </c>
      <c r="D896" s="713" t="s">
        <v>11</v>
      </c>
      <c r="E896" s="1755">
        <v>115</v>
      </c>
      <c r="F896" s="1864">
        <f>ROUND((C896*E896),2)</f>
        <v>15960.85</v>
      </c>
      <c r="G896" s="1741"/>
    </row>
    <row r="897" spans="1:256" ht="7.5" customHeight="1">
      <c r="A897" s="1860"/>
      <c r="B897" s="1794"/>
      <c r="C897" s="31"/>
      <c r="D897" s="713"/>
      <c r="E897" s="1755"/>
      <c r="F897" s="1864"/>
      <c r="G897" s="1741"/>
    </row>
    <row r="898" spans="1:256">
      <c r="A898" s="1867">
        <v>4</v>
      </c>
      <c r="B898" s="1804" t="s">
        <v>2284</v>
      </c>
      <c r="C898" s="808"/>
      <c r="D898" s="1804"/>
      <c r="E898" s="1755"/>
      <c r="F898"/>
      <c r="G898" s="1754"/>
      <c r="H898" s="1846"/>
      <c r="I898" s="1754"/>
      <c r="J898" s="1846"/>
      <c r="K898" s="1754"/>
      <c r="L898" s="1846"/>
      <c r="M898" s="1803"/>
      <c r="N898" s="1737"/>
      <c r="O898" s="808"/>
      <c r="P898" s="1737"/>
      <c r="Q898" s="808"/>
      <c r="R898" s="1737"/>
      <c r="S898" s="808"/>
      <c r="T898" s="1737"/>
      <c r="U898" s="808"/>
      <c r="V898" s="1737"/>
      <c r="W898" s="808"/>
      <c r="X898" s="1737"/>
      <c r="Y898" s="808"/>
      <c r="Z898" s="1737"/>
      <c r="AA898" s="808"/>
      <c r="AB898" s="1737"/>
      <c r="AC898" s="808"/>
      <c r="AD898" s="1737"/>
      <c r="AE898" s="808"/>
      <c r="AF898" s="1737"/>
      <c r="AG898" s="808"/>
      <c r="AH898" s="1737"/>
      <c r="AI898" s="808"/>
      <c r="AJ898" s="1737"/>
      <c r="AK898" s="808"/>
      <c r="AL898" s="1737"/>
      <c r="AM898" s="808"/>
      <c r="AN898" s="1737"/>
      <c r="AO898" s="808"/>
      <c r="AP898" s="1737"/>
      <c r="AQ898" s="808"/>
      <c r="AR898" s="1737"/>
      <c r="AS898" s="808"/>
      <c r="AT898" s="1737"/>
      <c r="AU898" s="808"/>
      <c r="AV898" s="1737"/>
      <c r="AW898" s="808"/>
      <c r="AX898" s="1737"/>
      <c r="AY898" s="808"/>
      <c r="AZ898" s="1737"/>
      <c r="BA898" s="808"/>
      <c r="BB898" s="1737"/>
      <c r="BC898" s="808"/>
      <c r="BD898" s="1737"/>
      <c r="BE898" s="808"/>
      <c r="BF898" s="1737"/>
      <c r="BG898" s="808"/>
      <c r="BH898" s="1737"/>
      <c r="BI898" s="808"/>
      <c r="BJ898" s="1737"/>
      <c r="BK898" s="808"/>
      <c r="BL898" s="1737"/>
      <c r="BM898" s="808"/>
      <c r="BN898" s="1737"/>
      <c r="BO898" s="808"/>
      <c r="BP898" s="1737"/>
      <c r="BQ898" s="808"/>
      <c r="BR898" s="1737"/>
      <c r="BS898" s="808"/>
      <c r="BT898" s="1737"/>
      <c r="BU898" s="808"/>
      <c r="BV898" s="1737"/>
      <c r="BW898" s="808"/>
      <c r="BX898" s="1737"/>
      <c r="BY898" s="808"/>
      <c r="BZ898" s="1737"/>
      <c r="CA898" s="808"/>
      <c r="CB898" s="1737"/>
      <c r="CC898" s="808"/>
      <c r="CD898" s="1737"/>
      <c r="CE898" s="808"/>
      <c r="CF898" s="1737"/>
      <c r="CG898" s="808"/>
      <c r="CH898" s="1737"/>
      <c r="CI898" s="808"/>
      <c r="CJ898" s="1737"/>
      <c r="CK898" s="808"/>
      <c r="CL898" s="1737"/>
      <c r="CM898" s="808"/>
      <c r="CN898" s="1737"/>
      <c r="CO898" s="808"/>
      <c r="CP898" s="1737"/>
      <c r="CQ898" s="808"/>
      <c r="CR898" s="1737"/>
      <c r="CS898" s="808"/>
      <c r="CT898" s="1737"/>
      <c r="CU898" s="808"/>
      <c r="CV898" s="1737"/>
      <c r="CW898" s="808"/>
      <c r="CX898" s="1737"/>
      <c r="CY898" s="808"/>
      <c r="CZ898" s="1737"/>
      <c r="DA898" s="808"/>
      <c r="DB898" s="1737"/>
      <c r="DC898" s="808"/>
      <c r="DD898" s="1737"/>
      <c r="DE898" s="808"/>
      <c r="DF898" s="1737"/>
      <c r="DG898" s="808"/>
      <c r="DH898" s="1737"/>
      <c r="DI898" s="808"/>
      <c r="DJ898" s="1737"/>
      <c r="DK898" s="808"/>
      <c r="DL898" s="1737"/>
      <c r="DM898" s="808"/>
      <c r="DN898" s="1737"/>
      <c r="DO898" s="808"/>
      <c r="DP898" s="1737"/>
      <c r="DQ898" s="808"/>
      <c r="DR898" s="1737"/>
      <c r="DS898" s="808"/>
      <c r="DT898" s="1737"/>
      <c r="DU898" s="808"/>
      <c r="DV898" s="1737"/>
      <c r="DW898" s="808"/>
      <c r="DX898" s="1737"/>
      <c r="DY898" s="808"/>
      <c r="DZ898" s="1737"/>
      <c r="EA898" s="808"/>
      <c r="EB898" s="1737"/>
      <c r="EC898" s="808"/>
      <c r="ED898" s="1737"/>
      <c r="EE898" s="808"/>
      <c r="EF898" s="1737"/>
      <c r="EG898" s="808"/>
      <c r="EH898" s="1737"/>
      <c r="EI898" s="808"/>
      <c r="EJ898" s="1737"/>
      <c r="EK898" s="808"/>
      <c r="EL898" s="1737"/>
      <c r="EM898" s="808"/>
      <c r="EN898" s="1737"/>
      <c r="EO898" s="808"/>
      <c r="EP898" s="1737"/>
      <c r="EQ898" s="808"/>
      <c r="ER898" s="1737"/>
      <c r="ES898" s="808"/>
      <c r="ET898" s="1737"/>
      <c r="EU898" s="808"/>
      <c r="EV898" s="1737"/>
      <c r="EW898" s="808"/>
      <c r="EX898" s="1737"/>
      <c r="EY898" s="808"/>
      <c r="EZ898" s="1737"/>
      <c r="FA898" s="808"/>
      <c r="FB898" s="1737"/>
      <c r="FC898" s="808"/>
      <c r="FD898" s="1737"/>
      <c r="FE898" s="808"/>
      <c r="FF898" s="1737"/>
      <c r="FG898" s="808"/>
      <c r="FH898" s="1737"/>
      <c r="FI898" s="808"/>
      <c r="FJ898" s="1737"/>
      <c r="FK898" s="808"/>
      <c r="FL898" s="1737"/>
      <c r="FM898" s="808"/>
      <c r="FN898" s="1737"/>
      <c r="FO898" s="808"/>
      <c r="FP898" s="1737"/>
      <c r="FQ898" s="808"/>
      <c r="FR898" s="1737"/>
      <c r="FS898" s="808"/>
      <c r="FT898" s="1737"/>
      <c r="FU898" s="808"/>
      <c r="FV898" s="1737"/>
      <c r="FW898" s="808"/>
      <c r="FX898" s="1737"/>
      <c r="FY898" s="808"/>
      <c r="FZ898" s="1737"/>
      <c r="GA898" s="808"/>
      <c r="GB898" s="1737"/>
      <c r="GC898" s="808"/>
      <c r="GD898" s="1737"/>
      <c r="GE898" s="808"/>
      <c r="GF898" s="1737"/>
      <c r="GG898" s="808"/>
      <c r="GH898" s="1737"/>
      <c r="GI898" s="808"/>
      <c r="GJ898" s="1737"/>
      <c r="GK898" s="808"/>
      <c r="GL898" s="1737"/>
      <c r="GM898" s="808"/>
      <c r="GN898" s="1737"/>
      <c r="GO898" s="808"/>
      <c r="GP898" s="1737"/>
      <c r="GQ898" s="808"/>
      <c r="GR898" s="1737"/>
      <c r="GS898" s="808"/>
      <c r="GT898" s="1737"/>
      <c r="GU898" s="808"/>
      <c r="GV898" s="1737"/>
      <c r="GW898" s="808"/>
      <c r="GX898" s="1737"/>
      <c r="GY898" s="808"/>
      <c r="GZ898" s="1737"/>
      <c r="HA898" s="808"/>
      <c r="HB898" s="1737"/>
      <c r="HC898" s="808"/>
      <c r="HD898" s="1737"/>
      <c r="HE898" s="808"/>
      <c r="HF898" s="1737"/>
      <c r="HG898" s="808"/>
      <c r="HH898" s="1737"/>
      <c r="HI898" s="808"/>
      <c r="HJ898" s="1737"/>
      <c r="HK898" s="808"/>
      <c r="HL898" s="1737"/>
      <c r="HM898" s="808"/>
      <c r="HN898" s="1737"/>
      <c r="HO898" s="808"/>
      <c r="HP898" s="1737"/>
      <c r="HQ898" s="808"/>
      <c r="HR898" s="1737"/>
      <c r="HS898" s="808"/>
      <c r="HT898" s="1737"/>
      <c r="HU898" s="808"/>
      <c r="HV898" s="1737"/>
      <c r="HW898" s="808"/>
      <c r="HX898" s="1737"/>
      <c r="HY898" s="808"/>
      <c r="HZ898" s="1737"/>
      <c r="IA898" s="808"/>
      <c r="IB898" s="1737"/>
      <c r="IC898" s="808"/>
      <c r="ID898" s="1737"/>
      <c r="IE898" s="808"/>
      <c r="IF898" s="1737"/>
      <c r="IG898" s="808"/>
      <c r="IH898" s="1737"/>
      <c r="II898" s="808"/>
      <c r="IJ898" s="1737"/>
      <c r="IK898" s="808"/>
      <c r="IL898" s="1737"/>
      <c r="IM898" s="808"/>
      <c r="IN898" s="1737"/>
      <c r="IO898" s="808"/>
      <c r="IP898" s="1737"/>
      <c r="IQ898" s="808"/>
      <c r="IR898" s="1737"/>
      <c r="IS898" s="808"/>
      <c r="IT898" s="1737"/>
      <c r="IU898" s="808"/>
      <c r="IV898" s="1737"/>
    </row>
    <row r="899" spans="1:256" ht="4.5" customHeight="1">
      <c r="A899" s="1855"/>
      <c r="B899" s="1738"/>
      <c r="C899" s="31"/>
      <c r="D899" s="713"/>
      <c r="E899" s="1755"/>
      <c r="F899" s="1864"/>
      <c r="G899" s="1741"/>
    </row>
    <row r="900" spans="1:256">
      <c r="A900" s="1867">
        <v>4.0999999999999996</v>
      </c>
      <c r="B900" s="1804" t="s">
        <v>2285</v>
      </c>
      <c r="C900" s="808"/>
      <c r="D900" s="1804"/>
      <c r="E900" s="1755"/>
      <c r="F900"/>
      <c r="G900" s="1754"/>
      <c r="H900" s="1846"/>
      <c r="I900" s="1754"/>
      <c r="J900" s="1846"/>
      <c r="K900" s="1754"/>
      <c r="L900" s="1846"/>
      <c r="M900" s="1803"/>
      <c r="N900" s="1737"/>
      <c r="O900" s="808"/>
      <c r="P900" s="1737"/>
      <c r="Q900" s="808"/>
      <c r="R900" s="1737"/>
      <c r="S900" s="808"/>
      <c r="T900" s="1737"/>
      <c r="U900" s="808"/>
      <c r="V900" s="1737"/>
      <c r="W900" s="808"/>
      <c r="X900" s="1737"/>
      <c r="Y900" s="808"/>
      <c r="Z900" s="1737"/>
      <c r="AA900" s="808"/>
      <c r="AB900" s="1737"/>
      <c r="AC900" s="808"/>
      <c r="AD900" s="1737"/>
      <c r="AE900" s="808"/>
      <c r="AF900" s="1737"/>
      <c r="AG900" s="808"/>
      <c r="AH900" s="1737"/>
      <c r="AI900" s="808"/>
      <c r="AJ900" s="1737"/>
      <c r="AK900" s="808"/>
      <c r="AL900" s="1737"/>
      <c r="AM900" s="808"/>
      <c r="AN900" s="1737"/>
      <c r="AO900" s="808"/>
      <c r="AP900" s="1737"/>
      <c r="AQ900" s="808"/>
      <c r="AR900" s="1737"/>
      <c r="AS900" s="808"/>
      <c r="AT900" s="1737"/>
      <c r="AU900" s="808"/>
      <c r="AV900" s="1737"/>
      <c r="AW900" s="808"/>
      <c r="AX900" s="1737"/>
      <c r="AY900" s="808"/>
      <c r="AZ900" s="1737"/>
      <c r="BA900" s="808"/>
      <c r="BB900" s="1737"/>
      <c r="BC900" s="808"/>
      <c r="BD900" s="1737"/>
      <c r="BE900" s="808"/>
      <c r="BF900" s="1737"/>
      <c r="BG900" s="808"/>
      <c r="BH900" s="1737"/>
      <c r="BI900" s="808"/>
      <c r="BJ900" s="1737"/>
      <c r="BK900" s="808"/>
      <c r="BL900" s="1737"/>
      <c r="BM900" s="808"/>
      <c r="BN900" s="1737"/>
      <c r="BO900" s="808"/>
      <c r="BP900" s="1737"/>
      <c r="BQ900" s="808"/>
      <c r="BR900" s="1737"/>
      <c r="BS900" s="808"/>
      <c r="BT900" s="1737"/>
      <c r="BU900" s="808"/>
      <c r="BV900" s="1737"/>
      <c r="BW900" s="808"/>
      <c r="BX900" s="1737"/>
      <c r="BY900" s="808"/>
      <c r="BZ900" s="1737"/>
      <c r="CA900" s="808"/>
      <c r="CB900" s="1737"/>
      <c r="CC900" s="808"/>
      <c r="CD900" s="1737"/>
      <c r="CE900" s="808"/>
      <c r="CF900" s="1737"/>
      <c r="CG900" s="808"/>
      <c r="CH900" s="1737"/>
      <c r="CI900" s="808"/>
      <c r="CJ900" s="1737"/>
      <c r="CK900" s="808"/>
      <c r="CL900" s="1737"/>
      <c r="CM900" s="808"/>
      <c r="CN900" s="1737"/>
      <c r="CO900" s="808"/>
      <c r="CP900" s="1737"/>
      <c r="CQ900" s="808"/>
      <c r="CR900" s="1737"/>
      <c r="CS900" s="808"/>
      <c r="CT900" s="1737"/>
      <c r="CU900" s="808"/>
      <c r="CV900" s="1737"/>
      <c r="CW900" s="808"/>
      <c r="CX900" s="1737"/>
      <c r="CY900" s="808"/>
      <c r="CZ900" s="1737"/>
      <c r="DA900" s="808"/>
      <c r="DB900" s="1737"/>
      <c r="DC900" s="808"/>
      <c r="DD900" s="1737"/>
      <c r="DE900" s="808"/>
      <c r="DF900" s="1737"/>
      <c r="DG900" s="808"/>
      <c r="DH900" s="1737"/>
      <c r="DI900" s="808"/>
      <c r="DJ900" s="1737"/>
      <c r="DK900" s="808"/>
      <c r="DL900" s="1737"/>
      <c r="DM900" s="808"/>
      <c r="DN900" s="1737"/>
      <c r="DO900" s="808"/>
      <c r="DP900" s="1737"/>
      <c r="DQ900" s="808"/>
      <c r="DR900" s="1737"/>
      <c r="DS900" s="808"/>
      <c r="DT900" s="1737"/>
      <c r="DU900" s="808"/>
      <c r="DV900" s="1737"/>
      <c r="DW900" s="808"/>
      <c r="DX900" s="1737"/>
      <c r="DY900" s="808"/>
      <c r="DZ900" s="1737"/>
      <c r="EA900" s="808"/>
      <c r="EB900" s="1737"/>
      <c r="EC900" s="808"/>
      <c r="ED900" s="1737"/>
      <c r="EE900" s="808"/>
      <c r="EF900" s="1737"/>
      <c r="EG900" s="808"/>
      <c r="EH900" s="1737"/>
      <c r="EI900" s="808"/>
      <c r="EJ900" s="1737"/>
      <c r="EK900" s="808"/>
      <c r="EL900" s="1737"/>
      <c r="EM900" s="808"/>
      <c r="EN900" s="1737"/>
      <c r="EO900" s="808"/>
      <c r="EP900" s="1737"/>
      <c r="EQ900" s="808"/>
      <c r="ER900" s="1737"/>
      <c r="ES900" s="808"/>
      <c r="ET900" s="1737"/>
      <c r="EU900" s="808"/>
      <c r="EV900" s="1737"/>
      <c r="EW900" s="808"/>
      <c r="EX900" s="1737"/>
      <c r="EY900" s="808"/>
      <c r="EZ900" s="1737"/>
      <c r="FA900" s="808"/>
      <c r="FB900" s="1737"/>
      <c r="FC900" s="808"/>
      <c r="FD900" s="1737"/>
      <c r="FE900" s="808"/>
      <c r="FF900" s="1737"/>
      <c r="FG900" s="808"/>
      <c r="FH900" s="1737"/>
      <c r="FI900" s="808"/>
      <c r="FJ900" s="1737"/>
      <c r="FK900" s="808"/>
      <c r="FL900" s="1737"/>
      <c r="FM900" s="808"/>
      <c r="FN900" s="1737"/>
      <c r="FO900" s="808"/>
      <c r="FP900" s="1737"/>
      <c r="FQ900" s="808"/>
      <c r="FR900" s="1737"/>
      <c r="FS900" s="808"/>
      <c r="FT900" s="1737"/>
      <c r="FU900" s="808"/>
      <c r="FV900" s="1737"/>
      <c r="FW900" s="808"/>
      <c r="FX900" s="1737"/>
      <c r="FY900" s="808"/>
      <c r="FZ900" s="1737"/>
      <c r="GA900" s="808"/>
      <c r="GB900" s="1737"/>
      <c r="GC900" s="808"/>
      <c r="GD900" s="1737"/>
      <c r="GE900" s="808"/>
      <c r="GF900" s="1737"/>
      <c r="GG900" s="808"/>
      <c r="GH900" s="1737"/>
      <c r="GI900" s="808"/>
      <c r="GJ900" s="1737"/>
      <c r="GK900" s="808"/>
      <c r="GL900" s="1737"/>
      <c r="GM900" s="808"/>
      <c r="GN900" s="1737"/>
      <c r="GO900" s="808"/>
      <c r="GP900" s="1737"/>
      <c r="GQ900" s="808"/>
      <c r="GR900" s="1737"/>
      <c r="GS900" s="808"/>
      <c r="GT900" s="1737"/>
      <c r="GU900" s="808"/>
      <c r="GV900" s="1737"/>
      <c r="GW900" s="808"/>
      <c r="GX900" s="1737"/>
      <c r="GY900" s="808"/>
      <c r="GZ900" s="1737"/>
      <c r="HA900" s="808"/>
      <c r="HB900" s="1737"/>
      <c r="HC900" s="808"/>
      <c r="HD900" s="1737"/>
      <c r="HE900" s="808"/>
      <c r="HF900" s="1737"/>
      <c r="HG900" s="808"/>
      <c r="HH900" s="1737"/>
      <c r="HI900" s="808"/>
      <c r="HJ900" s="1737"/>
      <c r="HK900" s="808"/>
      <c r="HL900" s="1737"/>
      <c r="HM900" s="808"/>
      <c r="HN900" s="1737"/>
      <c r="HO900" s="808"/>
      <c r="HP900" s="1737"/>
      <c r="HQ900" s="808"/>
      <c r="HR900" s="1737"/>
      <c r="HS900" s="808"/>
      <c r="HT900" s="1737"/>
      <c r="HU900" s="808"/>
      <c r="HV900" s="1737"/>
      <c r="HW900" s="808"/>
      <c r="HX900" s="1737"/>
      <c r="HY900" s="808"/>
      <c r="HZ900" s="1737"/>
      <c r="IA900" s="808"/>
      <c r="IB900" s="1737"/>
      <c r="IC900" s="808"/>
      <c r="ID900" s="1737"/>
      <c r="IE900" s="808"/>
      <c r="IF900" s="1737"/>
      <c r="IG900" s="808"/>
      <c r="IH900" s="1737"/>
      <c r="II900" s="808"/>
      <c r="IJ900" s="1737"/>
      <c r="IK900" s="808"/>
      <c r="IL900" s="1737"/>
      <c r="IM900" s="808"/>
      <c r="IN900" s="1737"/>
      <c r="IO900" s="808"/>
      <c r="IP900" s="1737"/>
      <c r="IQ900" s="808"/>
      <c r="IR900" s="1737"/>
      <c r="IS900" s="808"/>
      <c r="IT900" s="1737"/>
      <c r="IU900" s="808"/>
      <c r="IV900" s="1737"/>
    </row>
    <row r="901" spans="1:256">
      <c r="A901" s="1896" t="s">
        <v>592</v>
      </c>
      <c r="B901" s="1736" t="s">
        <v>2328</v>
      </c>
      <c r="C901" s="31">
        <v>252.28</v>
      </c>
      <c r="D901" s="713" t="s">
        <v>2</v>
      </c>
      <c r="E901" s="1755">
        <v>154.52000000000001</v>
      </c>
      <c r="F901" s="1864">
        <f t="shared" ref="F901:F913" si="39">ROUND(C901*E901,2)</f>
        <v>38982.31</v>
      </c>
      <c r="G901" s="1741"/>
    </row>
    <row r="902" spans="1:256">
      <c r="A902" s="1896" t="s">
        <v>594</v>
      </c>
      <c r="B902" s="1736" t="s">
        <v>2286</v>
      </c>
      <c r="C902" s="31">
        <v>315.36</v>
      </c>
      <c r="D902" s="713" t="s">
        <v>2</v>
      </c>
      <c r="E902" s="1755">
        <v>210</v>
      </c>
      <c r="F902" s="1864">
        <f t="shared" si="39"/>
        <v>66225.600000000006</v>
      </c>
      <c r="G902" s="1741"/>
    </row>
    <row r="903" spans="1:256">
      <c r="A903" s="1896" t="s">
        <v>596</v>
      </c>
      <c r="B903" s="1736" t="s">
        <v>2287</v>
      </c>
      <c r="C903" s="31">
        <v>315.36</v>
      </c>
      <c r="D903" s="713" t="s">
        <v>2</v>
      </c>
      <c r="E903" s="1755">
        <v>950</v>
      </c>
      <c r="F903" s="1864">
        <f t="shared" si="39"/>
        <v>299592</v>
      </c>
      <c r="G903" s="1741"/>
    </row>
    <row r="904" spans="1:256" ht="25.5">
      <c r="A904" s="1896" t="s">
        <v>598</v>
      </c>
      <c r="B904" s="1736" t="s">
        <v>2288</v>
      </c>
      <c r="C904" s="31">
        <v>299.58999999999997</v>
      </c>
      <c r="D904" s="713" t="s">
        <v>2</v>
      </c>
      <c r="E904" s="1755">
        <v>183.5</v>
      </c>
      <c r="F904" s="1864">
        <f t="shared" si="39"/>
        <v>54974.77</v>
      </c>
      <c r="G904" s="1741"/>
    </row>
    <row r="905" spans="1:256">
      <c r="A905" s="1896" t="s">
        <v>2299</v>
      </c>
      <c r="B905" s="1736" t="s">
        <v>2289</v>
      </c>
      <c r="C905" s="31">
        <v>1261.42</v>
      </c>
      <c r="D905" s="713" t="s">
        <v>11</v>
      </c>
      <c r="E905" s="1755">
        <v>116.79</v>
      </c>
      <c r="F905" s="1864">
        <f t="shared" si="39"/>
        <v>147321.24</v>
      </c>
      <c r="G905" s="1741"/>
    </row>
    <row r="906" spans="1:256">
      <c r="A906" s="1896" t="s">
        <v>2300</v>
      </c>
      <c r="B906" s="1736" t="s">
        <v>2290</v>
      </c>
      <c r="C906" s="31">
        <v>1261.42</v>
      </c>
      <c r="D906" s="713" t="s">
        <v>11</v>
      </c>
      <c r="E906" s="1755">
        <v>33.5</v>
      </c>
      <c r="F906" s="1864">
        <f t="shared" si="39"/>
        <v>42257.57</v>
      </c>
      <c r="G906" s="1741"/>
    </row>
    <row r="907" spans="1:256">
      <c r="A907" s="1896" t="s">
        <v>2301</v>
      </c>
      <c r="B907" s="1736" t="s">
        <v>2291</v>
      </c>
      <c r="C907" s="31">
        <v>78.84</v>
      </c>
      <c r="D907" s="713" t="s">
        <v>2</v>
      </c>
      <c r="E907" s="1755">
        <v>8200</v>
      </c>
      <c r="F907" s="1864">
        <f t="shared" si="39"/>
        <v>646488</v>
      </c>
      <c r="G907" s="1741"/>
    </row>
    <row r="908" spans="1:256">
      <c r="A908" s="1896" t="s">
        <v>2302</v>
      </c>
      <c r="B908" s="1736" t="s">
        <v>2292</v>
      </c>
      <c r="C908" s="31">
        <v>63.07</v>
      </c>
      <c r="D908" s="713" t="s">
        <v>2293</v>
      </c>
      <c r="E908" s="1755">
        <v>825</v>
      </c>
      <c r="F908" s="1864">
        <f t="shared" si="39"/>
        <v>52032.75</v>
      </c>
      <c r="G908" s="1741"/>
    </row>
    <row r="909" spans="1:256">
      <c r="A909" s="1896" t="s">
        <v>2303</v>
      </c>
      <c r="B909" s="1736" t="s">
        <v>2294</v>
      </c>
      <c r="C909" s="31">
        <v>4730.33</v>
      </c>
      <c r="D909" s="713" t="s">
        <v>2295</v>
      </c>
      <c r="E909" s="1755">
        <v>22.5</v>
      </c>
      <c r="F909" s="1864">
        <f t="shared" si="39"/>
        <v>106432.43</v>
      </c>
      <c r="G909" s="1741"/>
    </row>
    <row r="910" spans="1:256">
      <c r="A910" s="1855"/>
      <c r="B910" s="829"/>
      <c r="C910" s="31"/>
      <c r="D910" s="713"/>
      <c r="E910" s="1755"/>
      <c r="F910" s="1864"/>
      <c r="G910" s="1741"/>
    </row>
    <row r="911" spans="1:256">
      <c r="A911">
        <v>5</v>
      </c>
      <c r="B911" s="1736" t="s">
        <v>2296</v>
      </c>
      <c r="C911" s="31">
        <v>35.71</v>
      </c>
      <c r="D911" s="713" t="s">
        <v>11</v>
      </c>
      <c r="E911" s="1755">
        <v>777.08</v>
      </c>
      <c r="F911" s="1864">
        <f t="shared" si="39"/>
        <v>27749.53</v>
      </c>
      <c r="G911" s="1741"/>
    </row>
    <row r="912" spans="1:256">
      <c r="A912">
        <v>6</v>
      </c>
      <c r="B912" s="1736" t="s">
        <v>2298</v>
      </c>
      <c r="C912" s="31">
        <v>341.07</v>
      </c>
      <c r="D912" s="713" t="s">
        <v>11</v>
      </c>
      <c r="E912" s="1755">
        <v>785.55</v>
      </c>
      <c r="F912" s="1864">
        <f t="shared" si="39"/>
        <v>267927.53999999998</v>
      </c>
      <c r="G912" s="1741"/>
    </row>
    <row r="913" spans="1:256">
      <c r="A913">
        <v>7</v>
      </c>
      <c r="B913" s="1736" t="s">
        <v>2297</v>
      </c>
      <c r="C913" s="31">
        <v>394.52</v>
      </c>
      <c r="D913" s="713" t="s">
        <v>1</v>
      </c>
      <c r="E913" s="1755">
        <v>745.5</v>
      </c>
      <c r="F913" s="1864">
        <f t="shared" si="39"/>
        <v>294114.65999999997</v>
      </c>
      <c r="G913" s="1741"/>
    </row>
    <row r="914" spans="1:256">
      <c r="A914" s="1860"/>
      <c r="B914" s="1794"/>
      <c r="C914" s="31"/>
      <c r="D914" s="713"/>
      <c r="E914" s="1755"/>
      <c r="F914" s="1864"/>
      <c r="G914" s="1741"/>
    </row>
    <row r="915" spans="1:256">
      <c r="A915" s="1860">
        <v>8</v>
      </c>
      <c r="B915" s="1794" t="s">
        <v>979</v>
      </c>
      <c r="C915" s="31">
        <v>1</v>
      </c>
      <c r="D915" s="713" t="s">
        <v>3</v>
      </c>
      <c r="E915" s="1755">
        <v>17500</v>
      </c>
      <c r="F915" s="1864">
        <f>ROUND((C915*E915),2)</f>
        <v>17500</v>
      </c>
      <c r="G915" s="1741"/>
    </row>
    <row r="916" spans="1:256">
      <c r="A916" s="1860">
        <v>9</v>
      </c>
      <c r="B916" s="1794" t="s">
        <v>1022</v>
      </c>
      <c r="C916" s="31">
        <v>11</v>
      </c>
      <c r="D916" s="713" t="s">
        <v>42</v>
      </c>
      <c r="E916" s="1755">
        <v>55000</v>
      </c>
      <c r="F916" s="1864">
        <f>ROUND((C916*E916),2)</f>
        <v>605000</v>
      </c>
      <c r="G916" s="1741"/>
    </row>
    <row r="917" spans="1:256">
      <c r="A917" s="1860">
        <v>10</v>
      </c>
      <c r="B917" s="1794" t="s">
        <v>1023</v>
      </c>
      <c r="C917" s="31">
        <v>1</v>
      </c>
      <c r="D917" s="713" t="s">
        <v>42</v>
      </c>
      <c r="E917" s="1755">
        <v>12000</v>
      </c>
      <c r="F917" s="1864">
        <f>ROUND((C917*E917),2)</f>
        <v>12000</v>
      </c>
      <c r="G917" s="1741"/>
    </row>
    <row r="918" spans="1:256">
      <c r="A918" s="1860">
        <v>11</v>
      </c>
      <c r="B918" s="1794" t="s">
        <v>1024</v>
      </c>
      <c r="C918" s="31">
        <v>1</v>
      </c>
      <c r="D918" s="713" t="s">
        <v>3</v>
      </c>
      <c r="E918" s="1755">
        <v>15075</v>
      </c>
      <c r="F918" s="1864">
        <f>ROUND(C918*E918,2)</f>
        <v>15075</v>
      </c>
      <c r="G918" s="1741"/>
    </row>
    <row r="919" spans="1:256" s="1539" customFormat="1" ht="16.5" customHeight="1">
      <c r="A919"/>
      <c r="B919" s="1835" t="s">
        <v>2329</v>
      </c>
      <c r="C919" s="1835"/>
      <c r="D919" s="1835"/>
      <c r="E919" s="1836"/>
      <c r="F919">
        <f>SUM(F886:F918)</f>
        <v>2740149.51</v>
      </c>
      <c r="G919" s="1741"/>
    </row>
    <row r="920" spans="1:256">
      <c r="A920" s="1860"/>
      <c r="B920" s="28"/>
      <c r="C920" s="31"/>
      <c r="D920" s="713"/>
      <c r="E920" s="1794"/>
      <c r="F920" s="1864"/>
      <c r="G920" s="510"/>
    </row>
    <row r="921" spans="1:256" ht="38.25">
      <c r="A921" t="s">
        <v>546</v>
      </c>
      <c r="B921" s="1807" t="s">
        <v>2267</v>
      </c>
      <c r="C921" s="808"/>
      <c r="D921" s="1804"/>
      <c r="E921" s="1755"/>
      <c r="F921"/>
      <c r="G921" s="1754"/>
      <c r="H921" s="1846"/>
      <c r="I921" s="1754"/>
      <c r="J921" s="1846"/>
      <c r="K921" s="1754"/>
      <c r="L921" s="1846"/>
      <c r="M921" s="1803"/>
      <c r="N921" s="1737"/>
      <c r="O921" s="808"/>
      <c r="P921" s="1737"/>
      <c r="Q921" s="808"/>
      <c r="R921" s="1737"/>
      <c r="S921" s="808"/>
      <c r="T921" s="1737"/>
      <c r="U921" s="808"/>
      <c r="V921" s="1737"/>
      <c r="W921" s="808"/>
      <c r="X921" s="1737"/>
      <c r="Y921" s="808"/>
      <c r="Z921" s="1737"/>
      <c r="AA921" s="808"/>
      <c r="AB921" s="1737"/>
      <c r="AC921" s="808"/>
      <c r="AD921" s="1737"/>
      <c r="AE921" s="808"/>
      <c r="AF921" s="1737"/>
      <c r="AG921" s="808"/>
      <c r="AH921" s="1737"/>
      <c r="AI921" s="808"/>
      <c r="AJ921" s="1737"/>
      <c r="AK921" s="808"/>
      <c r="AL921" s="1737"/>
      <c r="AM921" s="808"/>
      <c r="AN921" s="1737"/>
      <c r="AO921" s="808"/>
      <c r="AP921" s="1737"/>
      <c r="AQ921" s="808"/>
      <c r="AR921" s="1737"/>
      <c r="AS921" s="808"/>
      <c r="AT921" s="1737"/>
      <c r="AU921" s="808"/>
      <c r="AV921" s="1737"/>
      <c r="AW921" s="808"/>
      <c r="AX921" s="1737"/>
      <c r="AY921" s="808"/>
      <c r="AZ921" s="1737"/>
      <c r="BA921" s="808"/>
      <c r="BB921" s="1737"/>
      <c r="BC921" s="808"/>
      <c r="BD921" s="1737"/>
      <c r="BE921" s="808"/>
      <c r="BF921" s="1737"/>
      <c r="BG921" s="808"/>
      <c r="BH921" s="1737"/>
      <c r="BI921" s="808"/>
      <c r="BJ921" s="1737"/>
      <c r="BK921" s="808"/>
      <c r="BL921" s="1737"/>
      <c r="BM921" s="808"/>
      <c r="BN921" s="1737"/>
      <c r="BO921" s="808"/>
      <c r="BP921" s="1737"/>
      <c r="BQ921" s="808"/>
      <c r="BR921" s="1737"/>
      <c r="BS921" s="808"/>
      <c r="BT921" s="1737"/>
      <c r="BU921" s="808"/>
      <c r="BV921" s="1737"/>
      <c r="BW921" s="808"/>
      <c r="BX921" s="1737"/>
      <c r="BY921" s="808"/>
      <c r="BZ921" s="1737"/>
      <c r="CA921" s="808"/>
      <c r="CB921" s="1737"/>
      <c r="CC921" s="808"/>
      <c r="CD921" s="1737"/>
      <c r="CE921" s="808"/>
      <c r="CF921" s="1737"/>
      <c r="CG921" s="808"/>
      <c r="CH921" s="1737"/>
      <c r="CI921" s="808"/>
      <c r="CJ921" s="1737"/>
      <c r="CK921" s="808"/>
      <c r="CL921" s="1737"/>
      <c r="CM921" s="808"/>
      <c r="CN921" s="1737"/>
      <c r="CO921" s="808"/>
      <c r="CP921" s="1737"/>
      <c r="CQ921" s="808"/>
      <c r="CR921" s="1737"/>
      <c r="CS921" s="808"/>
      <c r="CT921" s="1737"/>
      <c r="CU921" s="808"/>
      <c r="CV921" s="1737"/>
      <c r="CW921" s="808"/>
      <c r="CX921" s="1737"/>
      <c r="CY921" s="808"/>
      <c r="CZ921" s="1737"/>
      <c r="DA921" s="808"/>
      <c r="DB921" s="1737"/>
      <c r="DC921" s="808"/>
      <c r="DD921" s="1737"/>
      <c r="DE921" s="808"/>
      <c r="DF921" s="1737"/>
      <c r="DG921" s="808"/>
      <c r="DH921" s="1737"/>
      <c r="DI921" s="808"/>
      <c r="DJ921" s="1737"/>
      <c r="DK921" s="808"/>
      <c r="DL921" s="1737"/>
      <c r="DM921" s="808"/>
      <c r="DN921" s="1737"/>
      <c r="DO921" s="808"/>
      <c r="DP921" s="1737"/>
      <c r="DQ921" s="808"/>
      <c r="DR921" s="1737"/>
      <c r="DS921" s="808"/>
      <c r="DT921" s="1737"/>
      <c r="DU921" s="808"/>
      <c r="DV921" s="1737"/>
      <c r="DW921" s="808"/>
      <c r="DX921" s="1737"/>
      <c r="DY921" s="808"/>
      <c r="DZ921" s="1737"/>
      <c r="EA921" s="808"/>
      <c r="EB921" s="1737"/>
      <c r="EC921" s="808"/>
      <c r="ED921" s="1737"/>
      <c r="EE921" s="808"/>
      <c r="EF921" s="1737"/>
      <c r="EG921" s="808"/>
      <c r="EH921" s="1737"/>
      <c r="EI921" s="808"/>
      <c r="EJ921" s="1737"/>
      <c r="EK921" s="808"/>
      <c r="EL921" s="1737"/>
      <c r="EM921" s="808"/>
      <c r="EN921" s="1737"/>
      <c r="EO921" s="808"/>
      <c r="EP921" s="1737"/>
      <c r="EQ921" s="808"/>
      <c r="ER921" s="1737"/>
      <c r="ES921" s="808"/>
      <c r="ET921" s="1737"/>
      <c r="EU921" s="808"/>
      <c r="EV921" s="1737"/>
      <c r="EW921" s="808"/>
      <c r="EX921" s="1737"/>
      <c r="EY921" s="808"/>
      <c r="EZ921" s="1737"/>
      <c r="FA921" s="808"/>
      <c r="FB921" s="1737"/>
      <c r="FC921" s="808"/>
      <c r="FD921" s="1737"/>
      <c r="FE921" s="808"/>
      <c r="FF921" s="1737"/>
      <c r="FG921" s="808"/>
      <c r="FH921" s="1737"/>
      <c r="FI921" s="808"/>
      <c r="FJ921" s="1737"/>
      <c r="FK921" s="808"/>
      <c r="FL921" s="1737"/>
      <c r="FM921" s="808"/>
      <c r="FN921" s="1737"/>
      <c r="FO921" s="808"/>
      <c r="FP921" s="1737"/>
      <c r="FQ921" s="808"/>
      <c r="FR921" s="1737"/>
      <c r="FS921" s="808"/>
      <c r="FT921" s="1737"/>
      <c r="FU921" s="808"/>
      <c r="FV921" s="1737"/>
      <c r="FW921" s="808"/>
      <c r="FX921" s="1737"/>
      <c r="FY921" s="808"/>
      <c r="FZ921" s="1737"/>
      <c r="GA921" s="808"/>
      <c r="GB921" s="1737"/>
      <c r="GC921" s="808"/>
      <c r="GD921" s="1737"/>
      <c r="GE921" s="808"/>
      <c r="GF921" s="1737"/>
      <c r="GG921" s="808"/>
      <c r="GH921" s="1737"/>
      <c r="GI921" s="808"/>
      <c r="GJ921" s="1737"/>
      <c r="GK921" s="808"/>
      <c r="GL921" s="1737"/>
      <c r="GM921" s="808"/>
      <c r="GN921" s="1737"/>
      <c r="GO921" s="808"/>
      <c r="GP921" s="1737"/>
      <c r="GQ921" s="808"/>
      <c r="GR921" s="1737"/>
      <c r="GS921" s="808"/>
      <c r="GT921" s="1737"/>
      <c r="GU921" s="808"/>
      <c r="GV921" s="1737"/>
      <c r="GW921" s="808"/>
      <c r="GX921" s="1737"/>
      <c r="GY921" s="808"/>
      <c r="GZ921" s="1737"/>
      <c r="HA921" s="808"/>
      <c r="HB921" s="1737"/>
      <c r="HC921" s="808"/>
      <c r="HD921" s="1737"/>
      <c r="HE921" s="808"/>
      <c r="HF921" s="1737"/>
      <c r="HG921" s="808"/>
      <c r="HH921" s="1737"/>
      <c r="HI921" s="808"/>
      <c r="HJ921" s="1737"/>
      <c r="HK921" s="808"/>
      <c r="HL921" s="1737"/>
      <c r="HM921" s="808"/>
      <c r="HN921" s="1737"/>
      <c r="HO921" s="808"/>
      <c r="HP921" s="1737"/>
      <c r="HQ921" s="808"/>
      <c r="HR921" s="1737"/>
      <c r="HS921" s="808"/>
      <c r="HT921" s="1737"/>
      <c r="HU921" s="808"/>
      <c r="HV921" s="1737"/>
      <c r="HW921" s="808"/>
      <c r="HX921" s="1737"/>
      <c r="HY921" s="808"/>
      <c r="HZ921" s="1737"/>
      <c r="IA921" s="808"/>
      <c r="IB921" s="1737"/>
      <c r="IC921" s="808"/>
      <c r="ID921" s="1737"/>
      <c r="IE921" s="808"/>
      <c r="IF921" s="1737"/>
      <c r="IG921" s="808"/>
      <c r="IH921" s="1737"/>
      <c r="II921" s="808"/>
      <c r="IJ921" s="1737"/>
      <c r="IK921" s="808"/>
      <c r="IL921" s="1737"/>
      <c r="IM921" s="808"/>
      <c r="IN921" s="1737"/>
      <c r="IO921" s="808"/>
      <c r="IP921" s="1737"/>
      <c r="IQ921" s="808"/>
      <c r="IR921" s="1737"/>
      <c r="IS921" s="808"/>
      <c r="IT921" s="1737"/>
      <c r="IU921" s="808"/>
      <c r="IV921" s="1737"/>
    </row>
    <row r="922" spans="1:256">
      <c r="A922" s="1859"/>
      <c r="B922" s="51"/>
      <c r="C922" s="31"/>
      <c r="D922" s="713"/>
      <c r="E922" s="31"/>
      <c r="F922" s="1864"/>
      <c r="G922" s="510"/>
    </row>
    <row r="923" spans="1:256">
      <c r="A923" s="1860">
        <v>1</v>
      </c>
      <c r="B923" s="28" t="s">
        <v>37</v>
      </c>
      <c r="C923" s="31">
        <v>6092.32</v>
      </c>
      <c r="D923" s="713" t="s">
        <v>1</v>
      </c>
      <c r="E923" s="31">
        <v>14</v>
      </c>
      <c r="F923" s="1864">
        <f>+ROUND(C923*E923,2)</f>
        <v>85292.479999999996</v>
      </c>
      <c r="G923" s="1741"/>
    </row>
    <row r="924" spans="1:256">
      <c r="A924" s="1860"/>
      <c r="B924" s="28"/>
      <c r="C924" s="31"/>
      <c r="D924" s="713"/>
      <c r="E924" s="31"/>
      <c r="F924" s="1864"/>
      <c r="G924" s="1741"/>
    </row>
    <row r="925" spans="1:256">
      <c r="A925" s="1867">
        <v>2</v>
      </c>
      <c r="B925" s="1804" t="s">
        <v>14</v>
      </c>
      <c r="C925" s="808"/>
      <c r="D925" s="1804"/>
      <c r="E925" s="1755"/>
      <c r="F925">
        <f t="shared" ref="F925:F941" si="40">+ROUND(C925*E925,2)</f>
        <v>0</v>
      </c>
      <c r="G925" s="1754"/>
      <c r="H925" s="1846"/>
      <c r="I925" s="1754"/>
      <c r="J925" s="1846"/>
      <c r="K925" s="1754"/>
      <c r="L925" s="1846"/>
      <c r="M925" s="1803"/>
      <c r="N925" s="1737"/>
      <c r="O925" s="808"/>
      <c r="P925" s="1737"/>
      <c r="Q925" s="808"/>
      <c r="R925" s="1737"/>
      <c r="S925" s="808"/>
      <c r="T925" s="1737"/>
      <c r="U925" s="808"/>
      <c r="V925" s="1737"/>
      <c r="W925" s="808"/>
      <c r="X925" s="1737"/>
      <c r="Y925" s="808"/>
      <c r="Z925" s="1737"/>
      <c r="AA925" s="808"/>
      <c r="AB925" s="1737"/>
      <c r="AC925" s="808"/>
      <c r="AD925" s="1737"/>
      <c r="AE925" s="808"/>
      <c r="AF925" s="1737"/>
      <c r="AG925" s="808"/>
      <c r="AH925" s="1737"/>
      <c r="AI925" s="808"/>
      <c r="AJ925" s="1737"/>
      <c r="AK925" s="808"/>
      <c r="AL925" s="1737"/>
      <c r="AM925" s="808"/>
      <c r="AN925" s="1737"/>
      <c r="AO925" s="808"/>
      <c r="AP925" s="1737"/>
      <c r="AQ925" s="808"/>
      <c r="AR925" s="1737"/>
      <c r="AS925" s="808"/>
      <c r="AT925" s="1737"/>
      <c r="AU925" s="808"/>
      <c r="AV925" s="1737"/>
      <c r="AW925" s="808"/>
      <c r="AX925" s="1737"/>
      <c r="AY925" s="808"/>
      <c r="AZ925" s="1737"/>
      <c r="BA925" s="808"/>
      <c r="BB925" s="1737"/>
      <c r="BC925" s="808"/>
      <c r="BD925" s="1737"/>
      <c r="BE925" s="808"/>
      <c r="BF925" s="1737"/>
      <c r="BG925" s="808"/>
      <c r="BH925" s="1737"/>
      <c r="BI925" s="808"/>
      <c r="BJ925" s="1737"/>
      <c r="BK925" s="808"/>
      <c r="BL925" s="1737"/>
      <c r="BM925" s="808"/>
      <c r="BN925" s="1737"/>
      <c r="BO925" s="808"/>
      <c r="BP925" s="1737"/>
      <c r="BQ925" s="808"/>
      <c r="BR925" s="1737"/>
      <c r="BS925" s="808"/>
      <c r="BT925" s="1737"/>
      <c r="BU925" s="808"/>
      <c r="BV925" s="1737"/>
      <c r="BW925" s="808"/>
      <c r="BX925" s="1737"/>
      <c r="BY925" s="808"/>
      <c r="BZ925" s="1737"/>
      <c r="CA925" s="808"/>
      <c r="CB925" s="1737"/>
      <c r="CC925" s="808"/>
      <c r="CD925" s="1737"/>
      <c r="CE925" s="808"/>
      <c r="CF925" s="1737"/>
      <c r="CG925" s="808"/>
      <c r="CH925" s="1737"/>
      <c r="CI925" s="808"/>
      <c r="CJ925" s="1737"/>
      <c r="CK925" s="808"/>
      <c r="CL925" s="1737"/>
      <c r="CM925" s="808"/>
      <c r="CN925" s="1737"/>
      <c r="CO925" s="808"/>
      <c r="CP925" s="1737"/>
      <c r="CQ925" s="808"/>
      <c r="CR925" s="1737"/>
      <c r="CS925" s="808"/>
      <c r="CT925" s="1737"/>
      <c r="CU925" s="808"/>
      <c r="CV925" s="1737"/>
      <c r="CW925" s="808"/>
      <c r="CX925" s="1737"/>
      <c r="CY925" s="808"/>
      <c r="CZ925" s="1737"/>
      <c r="DA925" s="808"/>
      <c r="DB925" s="1737"/>
      <c r="DC925" s="808"/>
      <c r="DD925" s="1737"/>
      <c r="DE925" s="808"/>
      <c r="DF925" s="1737"/>
      <c r="DG925" s="808"/>
      <c r="DH925" s="1737"/>
      <c r="DI925" s="808"/>
      <c r="DJ925" s="1737"/>
      <c r="DK925" s="808"/>
      <c r="DL925" s="1737"/>
      <c r="DM925" s="808"/>
      <c r="DN925" s="1737"/>
      <c r="DO925" s="808"/>
      <c r="DP925" s="1737"/>
      <c r="DQ925" s="808"/>
      <c r="DR925" s="1737"/>
      <c r="DS925" s="808"/>
      <c r="DT925" s="1737"/>
      <c r="DU925" s="808"/>
      <c r="DV925" s="1737"/>
      <c r="DW925" s="808"/>
      <c r="DX925" s="1737"/>
      <c r="DY925" s="808"/>
      <c r="DZ925" s="1737"/>
      <c r="EA925" s="808"/>
      <c r="EB925" s="1737"/>
      <c r="EC925" s="808"/>
      <c r="ED925" s="1737"/>
      <c r="EE925" s="808"/>
      <c r="EF925" s="1737"/>
      <c r="EG925" s="808"/>
      <c r="EH925" s="1737"/>
      <c r="EI925" s="808"/>
      <c r="EJ925" s="1737"/>
      <c r="EK925" s="808"/>
      <c r="EL925" s="1737"/>
      <c r="EM925" s="808"/>
      <c r="EN925" s="1737"/>
      <c r="EO925" s="808"/>
      <c r="EP925" s="1737"/>
      <c r="EQ925" s="808"/>
      <c r="ER925" s="1737"/>
      <c r="ES925" s="808"/>
      <c r="ET925" s="1737"/>
      <c r="EU925" s="808"/>
      <c r="EV925" s="1737"/>
      <c r="EW925" s="808"/>
      <c r="EX925" s="1737"/>
      <c r="EY925" s="808"/>
      <c r="EZ925" s="1737"/>
      <c r="FA925" s="808"/>
      <c r="FB925" s="1737"/>
      <c r="FC925" s="808"/>
      <c r="FD925" s="1737"/>
      <c r="FE925" s="808"/>
      <c r="FF925" s="1737"/>
      <c r="FG925" s="808"/>
      <c r="FH925" s="1737"/>
      <c r="FI925" s="808"/>
      <c r="FJ925" s="1737"/>
      <c r="FK925" s="808"/>
      <c r="FL925" s="1737"/>
      <c r="FM925" s="808"/>
      <c r="FN925" s="1737"/>
      <c r="FO925" s="808"/>
      <c r="FP925" s="1737"/>
      <c r="FQ925" s="808"/>
      <c r="FR925" s="1737"/>
      <c r="FS925" s="808"/>
      <c r="FT925" s="1737"/>
      <c r="FU925" s="808"/>
      <c r="FV925" s="1737"/>
      <c r="FW925" s="808"/>
      <c r="FX925" s="1737"/>
      <c r="FY925" s="808"/>
      <c r="FZ925" s="1737"/>
      <c r="GA925" s="808"/>
      <c r="GB925" s="1737"/>
      <c r="GC925" s="808"/>
      <c r="GD925" s="1737"/>
      <c r="GE925" s="808"/>
      <c r="GF925" s="1737"/>
      <c r="GG925" s="808"/>
      <c r="GH925" s="1737"/>
      <c r="GI925" s="808"/>
      <c r="GJ925" s="1737"/>
      <c r="GK925" s="808"/>
      <c r="GL925" s="1737"/>
      <c r="GM925" s="808"/>
      <c r="GN925" s="1737"/>
      <c r="GO925" s="808"/>
      <c r="GP925" s="1737"/>
      <c r="GQ925" s="808"/>
      <c r="GR925" s="1737"/>
      <c r="GS925" s="808"/>
      <c r="GT925" s="1737"/>
      <c r="GU925" s="808"/>
      <c r="GV925" s="1737"/>
      <c r="GW925" s="808"/>
      <c r="GX925" s="1737"/>
      <c r="GY925" s="808"/>
      <c r="GZ925" s="1737"/>
      <c r="HA925" s="808"/>
      <c r="HB925" s="1737"/>
      <c r="HC925" s="808"/>
      <c r="HD925" s="1737"/>
      <c r="HE925" s="808"/>
      <c r="HF925" s="1737"/>
      <c r="HG925" s="808"/>
      <c r="HH925" s="1737"/>
      <c r="HI925" s="808"/>
      <c r="HJ925" s="1737"/>
      <c r="HK925" s="808"/>
      <c r="HL925" s="1737"/>
      <c r="HM925" s="808"/>
      <c r="HN925" s="1737"/>
      <c r="HO925" s="808"/>
      <c r="HP925" s="1737"/>
      <c r="HQ925" s="808"/>
      <c r="HR925" s="1737"/>
      <c r="HS925" s="808"/>
      <c r="HT925" s="1737"/>
      <c r="HU925" s="808"/>
      <c r="HV925" s="1737"/>
      <c r="HW925" s="808"/>
      <c r="HX925" s="1737"/>
      <c r="HY925" s="808"/>
      <c r="HZ925" s="1737"/>
      <c r="IA925" s="808"/>
      <c r="IB925" s="1737"/>
      <c r="IC925" s="808"/>
      <c r="ID925" s="1737"/>
      <c r="IE925" s="808"/>
      <c r="IF925" s="1737"/>
      <c r="IG925" s="808"/>
      <c r="IH925" s="1737"/>
      <c r="II925" s="808"/>
      <c r="IJ925" s="1737"/>
      <c r="IK925" s="808"/>
      <c r="IL925" s="1737"/>
      <c r="IM925" s="808"/>
      <c r="IN925" s="1737"/>
      <c r="IO925" s="808"/>
      <c r="IP925" s="1737"/>
      <c r="IQ925" s="808"/>
      <c r="IR925" s="1737"/>
      <c r="IS925" s="808"/>
      <c r="IT925" s="1737"/>
      <c r="IU925" s="808"/>
      <c r="IV925" s="1737"/>
    </row>
    <row r="926" spans="1:256">
      <c r="A926" s="1863">
        <v>2.1</v>
      </c>
      <c r="B926" s="1201" t="s">
        <v>2328</v>
      </c>
      <c r="C926" s="31">
        <v>4797.7</v>
      </c>
      <c r="D926" s="713" t="s">
        <v>2</v>
      </c>
      <c r="E926" s="714">
        <v>154.53</v>
      </c>
      <c r="F926" s="1864">
        <f t="shared" si="40"/>
        <v>741388.58</v>
      </c>
      <c r="G926" s="1741"/>
    </row>
    <row r="927" spans="1:256" ht="25.5">
      <c r="A927" s="1863">
        <v>2.2000000000000002</v>
      </c>
      <c r="B927" s="1201" t="s">
        <v>2330</v>
      </c>
      <c r="C927" s="31">
        <v>533.08000000000004</v>
      </c>
      <c r="D927" s="713" t="s">
        <v>2</v>
      </c>
      <c r="E927" s="714">
        <v>1125.8</v>
      </c>
      <c r="F927" s="1864">
        <f t="shared" si="40"/>
        <v>600141.46</v>
      </c>
      <c r="G927" s="1741"/>
    </row>
    <row r="928" spans="1:256">
      <c r="A928" s="1863">
        <v>2.2999999999999998</v>
      </c>
      <c r="B928" s="1201" t="s">
        <v>1181</v>
      </c>
      <c r="C928" s="31">
        <v>3655.39</v>
      </c>
      <c r="D928" s="713" t="s">
        <v>11</v>
      </c>
      <c r="E928" s="714">
        <v>28.5</v>
      </c>
      <c r="F928" s="1864">
        <f t="shared" si="40"/>
        <v>104178.62</v>
      </c>
      <c r="G928" s="1741"/>
    </row>
    <row r="929" spans="1:256">
      <c r="A929" s="1865">
        <v>2.4</v>
      </c>
      <c r="B929" s="716" t="s">
        <v>4</v>
      </c>
      <c r="C929" s="31">
        <v>533.08000000000004</v>
      </c>
      <c r="D929" s="713" t="s">
        <v>2</v>
      </c>
      <c r="E929" s="714">
        <v>1108.8900000000001</v>
      </c>
      <c r="F929" s="1864">
        <f t="shared" si="40"/>
        <v>591127.07999999996</v>
      </c>
      <c r="G929" s="1741"/>
    </row>
    <row r="930" spans="1:256" ht="25.5">
      <c r="A930" s="1865">
        <v>2.5</v>
      </c>
      <c r="B930" s="717" t="s">
        <v>2331</v>
      </c>
      <c r="C930" s="31">
        <v>666.35</v>
      </c>
      <c r="D930" s="713" t="s">
        <v>2</v>
      </c>
      <c r="E930" s="714">
        <v>668.95</v>
      </c>
      <c r="F930" s="1864">
        <f t="shared" si="40"/>
        <v>445754.83</v>
      </c>
      <c r="G930" s="1741"/>
    </row>
    <row r="931" spans="1:256" ht="25.5">
      <c r="A931" s="1865">
        <v>2.6</v>
      </c>
      <c r="B931" s="1201" t="s">
        <v>1184</v>
      </c>
      <c r="C931" s="31">
        <v>4517</v>
      </c>
      <c r="D931" s="713" t="s">
        <v>2</v>
      </c>
      <c r="E931" s="714">
        <v>183.5</v>
      </c>
      <c r="F931" s="1864">
        <f t="shared" si="40"/>
        <v>828869.5</v>
      </c>
      <c r="G931" s="1741"/>
    </row>
    <row r="932" spans="1:256" ht="25.5">
      <c r="A932" s="1865">
        <v>2.7</v>
      </c>
      <c r="B932" s="18" t="s">
        <v>1580</v>
      </c>
      <c r="C932" s="31">
        <v>976.2</v>
      </c>
      <c r="D932" s="713" t="s">
        <v>2</v>
      </c>
      <c r="E932" s="714">
        <v>210</v>
      </c>
      <c r="F932" s="1864">
        <f t="shared" si="40"/>
        <v>205002</v>
      </c>
      <c r="G932" s="1741"/>
    </row>
    <row r="933" spans="1:256">
      <c r="A933" s="1860"/>
      <c r="B933" s="28"/>
      <c r="C933" s="31"/>
      <c r="D933" s="713"/>
      <c r="E933" s="31"/>
      <c r="F933" s="1864">
        <f t="shared" si="40"/>
        <v>0</v>
      </c>
      <c r="G933" s="1741"/>
    </row>
    <row r="934" spans="1:256">
      <c r="A934" s="1867">
        <v>3</v>
      </c>
      <c r="B934" s="1804" t="s">
        <v>25</v>
      </c>
      <c r="C934" s="808"/>
      <c r="D934" s="1804"/>
      <c r="E934" s="1755"/>
      <c r="F934">
        <f t="shared" si="40"/>
        <v>0</v>
      </c>
      <c r="G934" s="1754"/>
      <c r="H934" s="1846"/>
      <c r="I934" s="1754"/>
      <c r="J934" s="1846"/>
      <c r="K934" s="1754"/>
      <c r="L934" s="1846"/>
      <c r="M934" s="1803"/>
      <c r="N934" s="1737"/>
      <c r="O934" s="808"/>
      <c r="P934" s="1737"/>
      <c r="Q934" s="808"/>
      <c r="R934" s="1737"/>
      <c r="S934" s="808"/>
      <c r="T934" s="1737"/>
      <c r="U934" s="808"/>
      <c r="V934" s="1737"/>
      <c r="W934" s="808"/>
      <c r="X934" s="1737"/>
      <c r="Y934" s="808"/>
      <c r="Z934" s="1737"/>
      <c r="AA934" s="808"/>
      <c r="AB934" s="1737"/>
      <c r="AC934" s="808"/>
      <c r="AD934" s="1737"/>
      <c r="AE934" s="808"/>
      <c r="AF934" s="1737"/>
      <c r="AG934" s="808"/>
      <c r="AH934" s="1737"/>
      <c r="AI934" s="808"/>
      <c r="AJ934" s="1737"/>
      <c r="AK934" s="808"/>
      <c r="AL934" s="1737"/>
      <c r="AM934" s="808"/>
      <c r="AN934" s="1737"/>
      <c r="AO934" s="808"/>
      <c r="AP934" s="1737"/>
      <c r="AQ934" s="808"/>
      <c r="AR934" s="1737"/>
      <c r="AS934" s="808"/>
      <c r="AT934" s="1737"/>
      <c r="AU934" s="808"/>
      <c r="AV934" s="1737"/>
      <c r="AW934" s="808"/>
      <c r="AX934" s="1737"/>
      <c r="AY934" s="808"/>
      <c r="AZ934" s="1737"/>
      <c r="BA934" s="808"/>
      <c r="BB934" s="1737"/>
      <c r="BC934" s="808"/>
      <c r="BD934" s="1737"/>
      <c r="BE934" s="808"/>
      <c r="BF934" s="1737"/>
      <c r="BG934" s="808"/>
      <c r="BH934" s="1737"/>
      <c r="BI934" s="808"/>
      <c r="BJ934" s="1737"/>
      <c r="BK934" s="808"/>
      <c r="BL934" s="1737"/>
      <c r="BM934" s="808"/>
      <c r="BN934" s="1737"/>
      <c r="BO934" s="808"/>
      <c r="BP934" s="1737"/>
      <c r="BQ934" s="808"/>
      <c r="BR934" s="1737"/>
      <c r="BS934" s="808"/>
      <c r="BT934" s="1737"/>
      <c r="BU934" s="808"/>
      <c r="BV934" s="1737"/>
      <c r="BW934" s="808"/>
      <c r="BX934" s="1737"/>
      <c r="BY934" s="808"/>
      <c r="BZ934" s="1737"/>
      <c r="CA934" s="808"/>
      <c r="CB934" s="1737"/>
      <c r="CC934" s="808"/>
      <c r="CD934" s="1737"/>
      <c r="CE934" s="808"/>
      <c r="CF934" s="1737"/>
      <c r="CG934" s="808"/>
      <c r="CH934" s="1737"/>
      <c r="CI934" s="808"/>
      <c r="CJ934" s="1737"/>
      <c r="CK934" s="808"/>
      <c r="CL934" s="1737"/>
      <c r="CM934" s="808"/>
      <c r="CN934" s="1737"/>
      <c r="CO934" s="808"/>
      <c r="CP934" s="1737"/>
      <c r="CQ934" s="808"/>
      <c r="CR934" s="1737"/>
      <c r="CS934" s="808"/>
      <c r="CT934" s="1737"/>
      <c r="CU934" s="808"/>
      <c r="CV934" s="1737"/>
      <c r="CW934" s="808"/>
      <c r="CX934" s="1737"/>
      <c r="CY934" s="808"/>
      <c r="CZ934" s="1737"/>
      <c r="DA934" s="808"/>
      <c r="DB934" s="1737"/>
      <c r="DC934" s="808"/>
      <c r="DD934" s="1737"/>
      <c r="DE934" s="808"/>
      <c r="DF934" s="1737"/>
      <c r="DG934" s="808"/>
      <c r="DH934" s="1737"/>
      <c r="DI934" s="808"/>
      <c r="DJ934" s="1737"/>
      <c r="DK934" s="808"/>
      <c r="DL934" s="1737"/>
      <c r="DM934" s="808"/>
      <c r="DN934" s="1737"/>
      <c r="DO934" s="808"/>
      <c r="DP934" s="1737"/>
      <c r="DQ934" s="808"/>
      <c r="DR934" s="1737"/>
      <c r="DS934" s="808"/>
      <c r="DT934" s="1737"/>
      <c r="DU934" s="808"/>
      <c r="DV934" s="1737"/>
      <c r="DW934" s="808"/>
      <c r="DX934" s="1737"/>
      <c r="DY934" s="808"/>
      <c r="DZ934" s="1737"/>
      <c r="EA934" s="808"/>
      <c r="EB934" s="1737"/>
      <c r="EC934" s="808"/>
      <c r="ED934" s="1737"/>
      <c r="EE934" s="808"/>
      <c r="EF934" s="1737"/>
      <c r="EG934" s="808"/>
      <c r="EH934" s="1737"/>
      <c r="EI934" s="808"/>
      <c r="EJ934" s="1737"/>
      <c r="EK934" s="808"/>
      <c r="EL934" s="1737"/>
      <c r="EM934" s="808"/>
      <c r="EN934" s="1737"/>
      <c r="EO934" s="808"/>
      <c r="EP934" s="1737"/>
      <c r="EQ934" s="808"/>
      <c r="ER934" s="1737"/>
      <c r="ES934" s="808"/>
      <c r="ET934" s="1737"/>
      <c r="EU934" s="808"/>
      <c r="EV934" s="1737"/>
      <c r="EW934" s="808"/>
      <c r="EX934" s="1737"/>
      <c r="EY934" s="808"/>
      <c r="EZ934" s="1737"/>
      <c r="FA934" s="808"/>
      <c r="FB934" s="1737"/>
      <c r="FC934" s="808"/>
      <c r="FD934" s="1737"/>
      <c r="FE934" s="808"/>
      <c r="FF934" s="1737"/>
      <c r="FG934" s="808"/>
      <c r="FH934" s="1737"/>
      <c r="FI934" s="808"/>
      <c r="FJ934" s="1737"/>
      <c r="FK934" s="808"/>
      <c r="FL934" s="1737"/>
      <c r="FM934" s="808"/>
      <c r="FN934" s="1737"/>
      <c r="FO934" s="808"/>
      <c r="FP934" s="1737"/>
      <c r="FQ934" s="808"/>
      <c r="FR934" s="1737"/>
      <c r="FS934" s="808"/>
      <c r="FT934" s="1737"/>
      <c r="FU934" s="808"/>
      <c r="FV934" s="1737"/>
      <c r="FW934" s="808"/>
      <c r="FX934" s="1737"/>
      <c r="FY934" s="808"/>
      <c r="FZ934" s="1737"/>
      <c r="GA934" s="808"/>
      <c r="GB934" s="1737"/>
      <c r="GC934" s="808"/>
      <c r="GD934" s="1737"/>
      <c r="GE934" s="808"/>
      <c r="GF934" s="1737"/>
      <c r="GG934" s="808"/>
      <c r="GH934" s="1737"/>
      <c r="GI934" s="808"/>
      <c r="GJ934" s="1737"/>
      <c r="GK934" s="808"/>
      <c r="GL934" s="1737"/>
      <c r="GM934" s="808"/>
      <c r="GN934" s="1737"/>
      <c r="GO934" s="808"/>
      <c r="GP934" s="1737"/>
      <c r="GQ934" s="808"/>
      <c r="GR934" s="1737"/>
      <c r="GS934" s="808"/>
      <c r="GT934" s="1737"/>
      <c r="GU934" s="808"/>
      <c r="GV934" s="1737"/>
      <c r="GW934" s="808"/>
      <c r="GX934" s="1737"/>
      <c r="GY934" s="808"/>
      <c r="GZ934" s="1737"/>
      <c r="HA934" s="808"/>
      <c r="HB934" s="1737"/>
      <c r="HC934" s="808"/>
      <c r="HD934" s="1737"/>
      <c r="HE934" s="808"/>
      <c r="HF934" s="1737"/>
      <c r="HG934" s="808"/>
      <c r="HH934" s="1737"/>
      <c r="HI934" s="808"/>
      <c r="HJ934" s="1737"/>
      <c r="HK934" s="808"/>
      <c r="HL934" s="1737"/>
      <c r="HM934" s="808"/>
      <c r="HN934" s="1737"/>
      <c r="HO934" s="808"/>
      <c r="HP934" s="1737"/>
      <c r="HQ934" s="808"/>
      <c r="HR934" s="1737"/>
      <c r="HS934" s="808"/>
      <c r="HT934" s="1737"/>
      <c r="HU934" s="808"/>
      <c r="HV934" s="1737"/>
      <c r="HW934" s="808"/>
      <c r="HX934" s="1737"/>
      <c r="HY934" s="808"/>
      <c r="HZ934" s="1737"/>
      <c r="IA934" s="808"/>
      <c r="IB934" s="1737"/>
      <c r="IC934" s="808"/>
      <c r="ID934" s="1737"/>
      <c r="IE934" s="808"/>
      <c r="IF934" s="1737"/>
      <c r="IG934" s="808"/>
      <c r="IH934" s="1737"/>
      <c r="II934" s="808"/>
      <c r="IJ934" s="1737"/>
      <c r="IK934" s="808"/>
      <c r="IL934" s="1737"/>
      <c r="IM934" s="808"/>
      <c r="IN934" s="1737"/>
      <c r="IO934" s="808"/>
      <c r="IP934" s="1737"/>
      <c r="IQ934" s="808"/>
      <c r="IR934" s="1737"/>
      <c r="IS934" s="808"/>
      <c r="IT934" s="1737"/>
      <c r="IU934" s="808"/>
      <c r="IV934" s="1737"/>
    </row>
    <row r="935" spans="1:256">
      <c r="A935" s="1860">
        <v>3.2</v>
      </c>
      <c r="B935" s="28" t="s">
        <v>1001</v>
      </c>
      <c r="C935" s="31">
        <v>1938.73</v>
      </c>
      <c r="D935" s="713" t="s">
        <v>1</v>
      </c>
      <c r="E935" s="31">
        <v>405.68</v>
      </c>
      <c r="F935" s="1864">
        <f t="shared" si="40"/>
        <v>786503.99</v>
      </c>
      <c r="G935" s="1741"/>
    </row>
    <row r="936" spans="1:256">
      <c r="A936" s="1860">
        <v>3.3</v>
      </c>
      <c r="B936" s="28" t="s">
        <v>407</v>
      </c>
      <c r="C936" s="31">
        <v>4275.43</v>
      </c>
      <c r="D936" s="713" t="s">
        <v>1</v>
      </c>
      <c r="E936" s="31">
        <v>118.41</v>
      </c>
      <c r="F936" s="1864">
        <f t="shared" si="40"/>
        <v>506253.67</v>
      </c>
      <c r="G936" s="1741"/>
    </row>
    <row r="937" spans="1:256">
      <c r="A937" s="1860"/>
      <c r="B937" s="51"/>
      <c r="C937" s="31"/>
      <c r="D937" s="713"/>
      <c r="E937" s="31"/>
      <c r="F937" s="1864">
        <f t="shared" si="40"/>
        <v>0</v>
      </c>
      <c r="G937" s="1741"/>
    </row>
    <row r="938" spans="1:256">
      <c r="A938" s="1867">
        <v>4</v>
      </c>
      <c r="B938" s="1804" t="s">
        <v>26</v>
      </c>
      <c r="C938" s="808"/>
      <c r="D938" s="1804"/>
      <c r="E938" s="1755"/>
      <c r="F938">
        <f t="shared" si="40"/>
        <v>0</v>
      </c>
      <c r="G938" s="1754"/>
      <c r="H938" s="1846"/>
      <c r="I938" s="1754"/>
      <c r="J938" s="1846"/>
      <c r="K938" s="1754"/>
      <c r="L938" s="1846"/>
      <c r="M938" s="1803"/>
      <c r="N938" s="1737"/>
      <c r="O938" s="808"/>
      <c r="P938" s="1737"/>
      <c r="Q938" s="808"/>
      <c r="R938" s="1737"/>
      <c r="S938" s="808"/>
      <c r="T938" s="1737"/>
      <c r="U938" s="808"/>
      <c r="V938" s="1737"/>
      <c r="W938" s="808"/>
      <c r="X938" s="1737"/>
      <c r="Y938" s="808"/>
      <c r="Z938" s="1737"/>
      <c r="AA938" s="808"/>
      <c r="AB938" s="1737"/>
      <c r="AC938" s="808"/>
      <c r="AD938" s="1737"/>
      <c r="AE938" s="808"/>
      <c r="AF938" s="1737"/>
      <c r="AG938" s="808"/>
      <c r="AH938" s="1737"/>
      <c r="AI938" s="808"/>
      <c r="AJ938" s="1737"/>
      <c r="AK938" s="808"/>
      <c r="AL938" s="1737"/>
      <c r="AM938" s="808"/>
      <c r="AN938" s="1737"/>
      <c r="AO938" s="808"/>
      <c r="AP938" s="1737"/>
      <c r="AQ938" s="808"/>
      <c r="AR938" s="1737"/>
      <c r="AS938" s="808"/>
      <c r="AT938" s="1737"/>
      <c r="AU938" s="808"/>
      <c r="AV938" s="1737"/>
      <c r="AW938" s="808"/>
      <c r="AX938" s="1737"/>
      <c r="AY938" s="808"/>
      <c r="AZ938" s="1737"/>
      <c r="BA938" s="808"/>
      <c r="BB938" s="1737"/>
      <c r="BC938" s="808"/>
      <c r="BD938" s="1737"/>
      <c r="BE938" s="808"/>
      <c r="BF938" s="1737"/>
      <c r="BG938" s="808"/>
      <c r="BH938" s="1737"/>
      <c r="BI938" s="808"/>
      <c r="BJ938" s="1737"/>
      <c r="BK938" s="808"/>
      <c r="BL938" s="1737"/>
      <c r="BM938" s="808"/>
      <c r="BN938" s="1737"/>
      <c r="BO938" s="808"/>
      <c r="BP938" s="1737"/>
      <c r="BQ938" s="808"/>
      <c r="BR938" s="1737"/>
      <c r="BS938" s="808"/>
      <c r="BT938" s="1737"/>
      <c r="BU938" s="808"/>
      <c r="BV938" s="1737"/>
      <c r="BW938" s="808"/>
      <c r="BX938" s="1737"/>
      <c r="BY938" s="808"/>
      <c r="BZ938" s="1737"/>
      <c r="CA938" s="808"/>
      <c r="CB938" s="1737"/>
      <c r="CC938" s="808"/>
      <c r="CD938" s="1737"/>
      <c r="CE938" s="808"/>
      <c r="CF938" s="1737"/>
      <c r="CG938" s="808"/>
      <c r="CH938" s="1737"/>
      <c r="CI938" s="808"/>
      <c r="CJ938" s="1737"/>
      <c r="CK938" s="808"/>
      <c r="CL938" s="1737"/>
      <c r="CM938" s="808"/>
      <c r="CN938" s="1737"/>
      <c r="CO938" s="808"/>
      <c r="CP938" s="1737"/>
      <c r="CQ938" s="808"/>
      <c r="CR938" s="1737"/>
      <c r="CS938" s="808"/>
      <c r="CT938" s="1737"/>
      <c r="CU938" s="808"/>
      <c r="CV938" s="1737"/>
      <c r="CW938" s="808"/>
      <c r="CX938" s="1737"/>
      <c r="CY938" s="808"/>
      <c r="CZ938" s="1737"/>
      <c r="DA938" s="808"/>
      <c r="DB938" s="1737"/>
      <c r="DC938" s="808"/>
      <c r="DD938" s="1737"/>
      <c r="DE938" s="808"/>
      <c r="DF938" s="1737"/>
      <c r="DG938" s="808"/>
      <c r="DH938" s="1737"/>
      <c r="DI938" s="808"/>
      <c r="DJ938" s="1737"/>
      <c r="DK938" s="808"/>
      <c r="DL938" s="1737"/>
      <c r="DM938" s="808"/>
      <c r="DN938" s="1737"/>
      <c r="DO938" s="808"/>
      <c r="DP938" s="1737"/>
      <c r="DQ938" s="808"/>
      <c r="DR938" s="1737"/>
      <c r="DS938" s="808"/>
      <c r="DT938" s="1737"/>
      <c r="DU938" s="808"/>
      <c r="DV938" s="1737"/>
      <c r="DW938" s="808"/>
      <c r="DX938" s="1737"/>
      <c r="DY938" s="808"/>
      <c r="DZ938" s="1737"/>
      <c r="EA938" s="808"/>
      <c r="EB938" s="1737"/>
      <c r="EC938" s="808"/>
      <c r="ED938" s="1737"/>
      <c r="EE938" s="808"/>
      <c r="EF938" s="1737"/>
      <c r="EG938" s="808"/>
      <c r="EH938" s="1737"/>
      <c r="EI938" s="808"/>
      <c r="EJ938" s="1737"/>
      <c r="EK938" s="808"/>
      <c r="EL938" s="1737"/>
      <c r="EM938" s="808"/>
      <c r="EN938" s="1737"/>
      <c r="EO938" s="808"/>
      <c r="EP938" s="1737"/>
      <c r="EQ938" s="808"/>
      <c r="ER938" s="1737"/>
      <c r="ES938" s="808"/>
      <c r="ET938" s="1737"/>
      <c r="EU938" s="808"/>
      <c r="EV938" s="1737"/>
      <c r="EW938" s="808"/>
      <c r="EX938" s="1737"/>
      <c r="EY938" s="808"/>
      <c r="EZ938" s="1737"/>
      <c r="FA938" s="808"/>
      <c r="FB938" s="1737"/>
      <c r="FC938" s="808"/>
      <c r="FD938" s="1737"/>
      <c r="FE938" s="808"/>
      <c r="FF938" s="1737"/>
      <c r="FG938" s="808"/>
      <c r="FH938" s="1737"/>
      <c r="FI938" s="808"/>
      <c r="FJ938" s="1737"/>
      <c r="FK938" s="808"/>
      <c r="FL938" s="1737"/>
      <c r="FM938" s="808"/>
      <c r="FN938" s="1737"/>
      <c r="FO938" s="808"/>
      <c r="FP938" s="1737"/>
      <c r="FQ938" s="808"/>
      <c r="FR938" s="1737"/>
      <c r="FS938" s="808"/>
      <c r="FT938" s="1737"/>
      <c r="FU938" s="808"/>
      <c r="FV938" s="1737"/>
      <c r="FW938" s="808"/>
      <c r="FX938" s="1737"/>
      <c r="FY938" s="808"/>
      <c r="FZ938" s="1737"/>
      <c r="GA938" s="808"/>
      <c r="GB938" s="1737"/>
      <c r="GC938" s="808"/>
      <c r="GD938" s="1737"/>
      <c r="GE938" s="808"/>
      <c r="GF938" s="1737"/>
      <c r="GG938" s="808"/>
      <c r="GH938" s="1737"/>
      <c r="GI938" s="808"/>
      <c r="GJ938" s="1737"/>
      <c r="GK938" s="808"/>
      <c r="GL938" s="1737"/>
      <c r="GM938" s="808"/>
      <c r="GN938" s="1737"/>
      <c r="GO938" s="808"/>
      <c r="GP938" s="1737"/>
      <c r="GQ938" s="808"/>
      <c r="GR938" s="1737"/>
      <c r="GS938" s="808"/>
      <c r="GT938" s="1737"/>
      <c r="GU938" s="808"/>
      <c r="GV938" s="1737"/>
      <c r="GW938" s="808"/>
      <c r="GX938" s="1737"/>
      <c r="GY938" s="808"/>
      <c r="GZ938" s="1737"/>
      <c r="HA938" s="808"/>
      <c r="HB938" s="1737"/>
      <c r="HC938" s="808"/>
      <c r="HD938" s="1737"/>
      <c r="HE938" s="808"/>
      <c r="HF938" s="1737"/>
      <c r="HG938" s="808"/>
      <c r="HH938" s="1737"/>
      <c r="HI938" s="808"/>
      <c r="HJ938" s="1737"/>
      <c r="HK938" s="808"/>
      <c r="HL938" s="1737"/>
      <c r="HM938" s="808"/>
      <c r="HN938" s="1737"/>
      <c r="HO938" s="808"/>
      <c r="HP938" s="1737"/>
      <c r="HQ938" s="808"/>
      <c r="HR938" s="1737"/>
      <c r="HS938" s="808"/>
      <c r="HT938" s="1737"/>
      <c r="HU938" s="808"/>
      <c r="HV938" s="1737"/>
      <c r="HW938" s="808"/>
      <c r="HX938" s="1737"/>
      <c r="HY938" s="808"/>
      <c r="HZ938" s="1737"/>
      <c r="IA938" s="808"/>
      <c r="IB938" s="1737"/>
      <c r="IC938" s="808"/>
      <c r="ID938" s="1737"/>
      <c r="IE938" s="808"/>
      <c r="IF938" s="1737"/>
      <c r="IG938" s="808"/>
      <c r="IH938" s="1737"/>
      <c r="II938" s="808"/>
      <c r="IJ938" s="1737"/>
      <c r="IK938" s="808"/>
      <c r="IL938" s="1737"/>
      <c r="IM938" s="808"/>
      <c r="IN938" s="1737"/>
      <c r="IO938" s="808"/>
      <c r="IP938" s="1737"/>
      <c r="IQ938" s="808"/>
      <c r="IR938" s="1737"/>
      <c r="IS938" s="808"/>
      <c r="IT938" s="1737"/>
      <c r="IU938" s="808"/>
      <c r="IV938" s="1737"/>
    </row>
    <row r="939" spans="1:256">
      <c r="A939" s="1860">
        <v>4.2</v>
      </c>
      <c r="B939" s="28" t="s">
        <v>1001</v>
      </c>
      <c r="C939" s="31">
        <v>1900.72</v>
      </c>
      <c r="D939" s="713" t="s">
        <v>1</v>
      </c>
      <c r="E939" s="31">
        <v>18.399999999999999</v>
      </c>
      <c r="F939" s="1864">
        <f t="shared" si="40"/>
        <v>34973.25</v>
      </c>
      <c r="G939" s="1741"/>
    </row>
    <row r="940" spans="1:256">
      <c r="A940" s="1860">
        <v>4.3</v>
      </c>
      <c r="B940" s="28" t="s">
        <v>407</v>
      </c>
      <c r="C940" s="31">
        <v>4191.6000000000004</v>
      </c>
      <c r="D940" s="713" t="s">
        <v>1</v>
      </c>
      <c r="E940" s="31">
        <v>17.46</v>
      </c>
      <c r="F940" s="1864">
        <f t="shared" si="40"/>
        <v>73185.34</v>
      </c>
      <c r="G940" s="1741"/>
    </row>
    <row r="941" spans="1:256">
      <c r="A941" s="1860"/>
      <c r="B941" s="28"/>
      <c r="C941" s="31"/>
      <c r="D941" s="713"/>
      <c r="E941" s="31"/>
      <c r="F941" s="1864">
        <f t="shared" si="40"/>
        <v>0</v>
      </c>
      <c r="G941" s="1741"/>
    </row>
    <row r="942" spans="1:256">
      <c r="A942" s="1867">
        <v>5</v>
      </c>
      <c r="B942" s="1804" t="s">
        <v>486</v>
      </c>
      <c r="C942" s="808"/>
      <c r="D942" s="1804"/>
      <c r="E942" s="1755"/>
      <c r="F942"/>
      <c r="G942" s="1754"/>
      <c r="H942" s="1846"/>
      <c r="I942" s="1754"/>
      <c r="J942" s="1846"/>
      <c r="K942" s="1754"/>
      <c r="L942" s="1846"/>
      <c r="M942" s="1803"/>
      <c r="N942" s="1737"/>
      <c r="O942" s="808"/>
      <c r="P942" s="1737"/>
      <c r="Q942" s="808"/>
      <c r="R942" s="1737"/>
      <c r="S942" s="808"/>
      <c r="T942" s="1737"/>
      <c r="U942" s="808"/>
      <c r="V942" s="1737"/>
      <c r="W942" s="808"/>
      <c r="X942" s="1737"/>
      <c r="Y942" s="808"/>
      <c r="Z942" s="1737"/>
      <c r="AA942" s="808"/>
      <c r="AB942" s="1737"/>
      <c r="AC942" s="808"/>
      <c r="AD942" s="1737"/>
      <c r="AE942" s="808"/>
      <c r="AF942" s="1737"/>
      <c r="AG942" s="808"/>
      <c r="AH942" s="1737"/>
      <c r="AI942" s="808"/>
      <c r="AJ942" s="1737"/>
      <c r="AK942" s="808"/>
      <c r="AL942" s="1737"/>
      <c r="AM942" s="808"/>
      <c r="AN942" s="1737"/>
      <c r="AO942" s="808"/>
      <c r="AP942" s="1737"/>
      <c r="AQ942" s="808"/>
      <c r="AR942" s="1737"/>
      <c r="AS942" s="808"/>
      <c r="AT942" s="1737"/>
      <c r="AU942" s="808"/>
      <c r="AV942" s="1737"/>
      <c r="AW942" s="808"/>
      <c r="AX942" s="1737"/>
      <c r="AY942" s="808"/>
      <c r="AZ942" s="1737"/>
      <c r="BA942" s="808"/>
      <c r="BB942" s="1737"/>
      <c r="BC942" s="808"/>
      <c r="BD942" s="1737"/>
      <c r="BE942" s="808"/>
      <c r="BF942" s="1737"/>
      <c r="BG942" s="808"/>
      <c r="BH942" s="1737"/>
      <c r="BI942" s="808"/>
      <c r="BJ942" s="1737"/>
      <c r="BK942" s="808"/>
      <c r="BL942" s="1737"/>
      <c r="BM942" s="808"/>
      <c r="BN942" s="1737"/>
      <c r="BO942" s="808"/>
      <c r="BP942" s="1737"/>
      <c r="BQ942" s="808"/>
      <c r="BR942" s="1737"/>
      <c r="BS942" s="808"/>
      <c r="BT942" s="1737"/>
      <c r="BU942" s="808"/>
      <c r="BV942" s="1737"/>
      <c r="BW942" s="808"/>
      <c r="BX942" s="1737"/>
      <c r="BY942" s="808"/>
      <c r="BZ942" s="1737"/>
      <c r="CA942" s="808"/>
      <c r="CB942" s="1737"/>
      <c r="CC942" s="808"/>
      <c r="CD942" s="1737"/>
      <c r="CE942" s="808"/>
      <c r="CF942" s="1737"/>
      <c r="CG942" s="808"/>
      <c r="CH942" s="1737"/>
      <c r="CI942" s="808"/>
      <c r="CJ942" s="1737"/>
      <c r="CK942" s="808"/>
      <c r="CL942" s="1737"/>
      <c r="CM942" s="808"/>
      <c r="CN942" s="1737"/>
      <c r="CO942" s="808"/>
      <c r="CP942" s="1737"/>
      <c r="CQ942" s="808"/>
      <c r="CR942" s="1737"/>
      <c r="CS942" s="808"/>
      <c r="CT942" s="1737"/>
      <c r="CU942" s="808"/>
      <c r="CV942" s="1737"/>
      <c r="CW942" s="808"/>
      <c r="CX942" s="1737"/>
      <c r="CY942" s="808"/>
      <c r="CZ942" s="1737"/>
      <c r="DA942" s="808"/>
      <c r="DB942" s="1737"/>
      <c r="DC942" s="808"/>
      <c r="DD942" s="1737"/>
      <c r="DE942" s="808"/>
      <c r="DF942" s="1737"/>
      <c r="DG942" s="808"/>
      <c r="DH942" s="1737"/>
      <c r="DI942" s="808"/>
      <c r="DJ942" s="1737"/>
      <c r="DK942" s="808"/>
      <c r="DL942" s="1737"/>
      <c r="DM942" s="808"/>
      <c r="DN942" s="1737"/>
      <c r="DO942" s="808"/>
      <c r="DP942" s="1737"/>
      <c r="DQ942" s="808"/>
      <c r="DR942" s="1737"/>
      <c r="DS942" s="808"/>
      <c r="DT942" s="1737"/>
      <c r="DU942" s="808"/>
      <c r="DV942" s="1737"/>
      <c r="DW942" s="808"/>
      <c r="DX942" s="1737"/>
      <c r="DY942" s="808"/>
      <c r="DZ942" s="1737"/>
      <c r="EA942" s="808"/>
      <c r="EB942" s="1737"/>
      <c r="EC942" s="808"/>
      <c r="ED942" s="1737"/>
      <c r="EE942" s="808"/>
      <c r="EF942" s="1737"/>
      <c r="EG942" s="808"/>
      <c r="EH942" s="1737"/>
      <c r="EI942" s="808"/>
      <c r="EJ942" s="1737"/>
      <c r="EK942" s="808"/>
      <c r="EL942" s="1737"/>
      <c r="EM942" s="808"/>
      <c r="EN942" s="1737"/>
      <c r="EO942" s="808"/>
      <c r="EP942" s="1737"/>
      <c r="EQ942" s="808"/>
      <c r="ER942" s="1737"/>
      <c r="ES942" s="808"/>
      <c r="ET942" s="1737"/>
      <c r="EU942" s="808"/>
      <c r="EV942" s="1737"/>
      <c r="EW942" s="808"/>
      <c r="EX942" s="1737"/>
      <c r="EY942" s="808"/>
      <c r="EZ942" s="1737"/>
      <c r="FA942" s="808"/>
      <c r="FB942" s="1737"/>
      <c r="FC942" s="808"/>
      <c r="FD942" s="1737"/>
      <c r="FE942" s="808"/>
      <c r="FF942" s="1737"/>
      <c r="FG942" s="808"/>
      <c r="FH942" s="1737"/>
      <c r="FI942" s="808"/>
      <c r="FJ942" s="1737"/>
      <c r="FK942" s="808"/>
      <c r="FL942" s="1737"/>
      <c r="FM942" s="808"/>
      <c r="FN942" s="1737"/>
      <c r="FO942" s="808"/>
      <c r="FP942" s="1737"/>
      <c r="FQ942" s="808"/>
      <c r="FR942" s="1737"/>
      <c r="FS942" s="808"/>
      <c r="FT942" s="1737"/>
      <c r="FU942" s="808"/>
      <c r="FV942" s="1737"/>
      <c r="FW942" s="808"/>
      <c r="FX942" s="1737"/>
      <c r="FY942" s="808"/>
      <c r="FZ942" s="1737"/>
      <c r="GA942" s="808"/>
      <c r="GB942" s="1737"/>
      <c r="GC942" s="808"/>
      <c r="GD942" s="1737"/>
      <c r="GE942" s="808"/>
      <c r="GF942" s="1737"/>
      <c r="GG942" s="808"/>
      <c r="GH942" s="1737"/>
      <c r="GI942" s="808"/>
      <c r="GJ942" s="1737"/>
      <c r="GK942" s="808"/>
      <c r="GL942" s="1737"/>
      <c r="GM942" s="808"/>
      <c r="GN942" s="1737"/>
      <c r="GO942" s="808"/>
      <c r="GP942" s="1737"/>
      <c r="GQ942" s="808"/>
      <c r="GR942" s="1737"/>
      <c r="GS942" s="808"/>
      <c r="GT942" s="1737"/>
      <c r="GU942" s="808"/>
      <c r="GV942" s="1737"/>
      <c r="GW942" s="808"/>
      <c r="GX942" s="1737"/>
      <c r="GY942" s="808"/>
      <c r="GZ942" s="1737"/>
      <c r="HA942" s="808"/>
      <c r="HB942" s="1737"/>
      <c r="HC942" s="808"/>
      <c r="HD942" s="1737"/>
      <c r="HE942" s="808"/>
      <c r="HF942" s="1737"/>
      <c r="HG942" s="808"/>
      <c r="HH942" s="1737"/>
      <c r="HI942" s="808"/>
      <c r="HJ942" s="1737"/>
      <c r="HK942" s="808"/>
      <c r="HL942" s="1737"/>
      <c r="HM942" s="808"/>
      <c r="HN942" s="1737"/>
      <c r="HO942" s="808"/>
      <c r="HP942" s="1737"/>
      <c r="HQ942" s="808"/>
      <c r="HR942" s="1737"/>
      <c r="HS942" s="808"/>
      <c r="HT942" s="1737"/>
      <c r="HU942" s="808"/>
      <c r="HV942" s="1737"/>
      <c r="HW942" s="808"/>
      <c r="HX942" s="1737"/>
      <c r="HY942" s="808"/>
      <c r="HZ942" s="1737"/>
      <c r="IA942" s="808"/>
      <c r="IB942" s="1737"/>
      <c r="IC942" s="808"/>
      <c r="ID942" s="1737"/>
      <c r="IE942" s="808"/>
      <c r="IF942" s="1737"/>
      <c r="IG942" s="808"/>
      <c r="IH942" s="1737"/>
      <c r="II942" s="808"/>
      <c r="IJ942" s="1737"/>
      <c r="IK942" s="808"/>
      <c r="IL942" s="1737"/>
      <c r="IM942" s="808"/>
      <c r="IN942" s="1737"/>
      <c r="IO942" s="808"/>
      <c r="IP942" s="1737"/>
      <c r="IQ942" s="808"/>
      <c r="IR942" s="1737"/>
      <c r="IS942" s="808"/>
      <c r="IT942" s="1737"/>
      <c r="IU942" s="808"/>
      <c r="IV942" s="1737"/>
    </row>
    <row r="943" spans="1:256" s="1739" customFormat="1" ht="25.5">
      <c r="A943" s="1860">
        <v>5.0999999999999996</v>
      </c>
      <c r="B943" s="1053" t="s">
        <v>1506</v>
      </c>
      <c r="C943" s="31">
        <v>3</v>
      </c>
      <c r="D943" s="713" t="s">
        <v>3</v>
      </c>
      <c r="E943" s="32">
        <v>3779.15</v>
      </c>
      <c r="F943" s="1864">
        <f t="shared" ref="F943:F954" si="41">ROUND(C943*E943,2)</f>
        <v>11337.45</v>
      </c>
      <c r="G943" s="510"/>
      <c r="H943" s="842"/>
      <c r="I943" s="842"/>
      <c r="J943" s="842"/>
      <c r="K943" s="842"/>
      <c r="L943" s="842"/>
    </row>
    <row r="944" spans="1:256" s="1739" customFormat="1" ht="25.5">
      <c r="A944" s="1860">
        <v>5.2</v>
      </c>
      <c r="B944" s="1053" t="s">
        <v>1507</v>
      </c>
      <c r="C944" s="31">
        <v>1</v>
      </c>
      <c r="D944" s="713" t="s">
        <v>3</v>
      </c>
      <c r="E944" s="32">
        <v>3584.45</v>
      </c>
      <c r="F944" s="1864">
        <f t="shared" si="41"/>
        <v>3584.45</v>
      </c>
      <c r="G944" s="510"/>
      <c r="H944" s="842"/>
      <c r="I944" s="842"/>
      <c r="J944" s="842"/>
      <c r="K944" s="842"/>
      <c r="L944" s="842"/>
    </row>
    <row r="945" spans="1:256" s="1739" customFormat="1" ht="25.5">
      <c r="A945" s="1860">
        <v>5.3</v>
      </c>
      <c r="B945" s="1053" t="s">
        <v>1508</v>
      </c>
      <c r="C945" s="31">
        <v>3</v>
      </c>
      <c r="D945" s="713" t="s">
        <v>3</v>
      </c>
      <c r="E945" s="32">
        <v>2944.74</v>
      </c>
      <c r="F945" s="1864">
        <f t="shared" si="41"/>
        <v>8834.2199999999993</v>
      </c>
      <c r="G945" s="510"/>
      <c r="H945" s="842"/>
      <c r="I945" s="842"/>
      <c r="J945" s="842"/>
      <c r="K945" s="842"/>
      <c r="L945" s="842"/>
    </row>
    <row r="946" spans="1:256" s="1739" customFormat="1" ht="25.5">
      <c r="A946" s="1860">
        <v>5.4</v>
      </c>
      <c r="B946" s="1053" t="s">
        <v>1200</v>
      </c>
      <c r="C946" s="31">
        <v>3</v>
      </c>
      <c r="D946" s="713" t="s">
        <v>3</v>
      </c>
      <c r="E946" s="32">
        <v>2443.85</v>
      </c>
      <c r="F946" s="1864">
        <f t="shared" si="41"/>
        <v>7331.55</v>
      </c>
      <c r="G946" s="510"/>
      <c r="H946" s="842"/>
      <c r="I946" s="842"/>
      <c r="J946" s="842"/>
      <c r="K946" s="842"/>
      <c r="L946" s="842"/>
    </row>
    <row r="947" spans="1:256" s="1739" customFormat="1" ht="25.5">
      <c r="A947" s="1860">
        <v>5.5</v>
      </c>
      <c r="B947" s="1583" t="s">
        <v>1199</v>
      </c>
      <c r="C947" s="31">
        <v>8</v>
      </c>
      <c r="D947" s="713" t="s">
        <v>3</v>
      </c>
      <c r="E947" s="32">
        <v>2119.35</v>
      </c>
      <c r="F947" s="1864">
        <f t="shared" si="41"/>
        <v>16954.8</v>
      </c>
      <c r="G947" s="510"/>
      <c r="H947" s="842"/>
      <c r="I947" s="842"/>
      <c r="J947" s="842"/>
      <c r="K947" s="842"/>
      <c r="L947" s="842"/>
    </row>
    <row r="948" spans="1:256" s="1739" customFormat="1" ht="25.5">
      <c r="A948" s="1860">
        <v>5.6</v>
      </c>
      <c r="B948" s="1053" t="s">
        <v>1509</v>
      </c>
      <c r="C948" s="31">
        <v>30</v>
      </c>
      <c r="D948" s="713" t="s">
        <v>3</v>
      </c>
      <c r="E948" s="32">
        <v>2750.04</v>
      </c>
      <c r="F948" s="1864">
        <f t="shared" si="41"/>
        <v>82501.2</v>
      </c>
      <c r="G948" s="510"/>
      <c r="H948" s="842"/>
      <c r="I948" s="842"/>
      <c r="J948" s="842"/>
      <c r="K948" s="842"/>
      <c r="L948" s="842"/>
    </row>
    <row r="949" spans="1:256" s="1739" customFormat="1" ht="25.5">
      <c r="A949" s="1860">
        <v>5.7</v>
      </c>
      <c r="B949" s="1053" t="s">
        <v>1510</v>
      </c>
      <c r="C949" s="31">
        <v>3</v>
      </c>
      <c r="D949" s="713" t="s">
        <v>3</v>
      </c>
      <c r="E949" s="32">
        <v>1644.54</v>
      </c>
      <c r="F949" s="1864">
        <f t="shared" si="41"/>
        <v>4933.62</v>
      </c>
      <c r="G949" s="510"/>
      <c r="H949" s="842"/>
      <c r="I949" s="842"/>
      <c r="J949" s="842"/>
      <c r="K949" s="842"/>
      <c r="L949" s="842"/>
    </row>
    <row r="950" spans="1:256" s="1739" customFormat="1">
      <c r="A950" s="1860">
        <v>5.8</v>
      </c>
      <c r="B950" s="1053" t="s">
        <v>1511</v>
      </c>
      <c r="C950" s="31">
        <v>8</v>
      </c>
      <c r="D950" s="713" t="s">
        <v>3</v>
      </c>
      <c r="E950" s="32">
        <v>1449.38</v>
      </c>
      <c r="F950" s="1864">
        <f t="shared" si="41"/>
        <v>11595.04</v>
      </c>
      <c r="G950" s="510"/>
      <c r="H950" s="842"/>
      <c r="I950" s="842"/>
      <c r="J950" s="842"/>
      <c r="K950" s="842"/>
      <c r="L950" s="842"/>
    </row>
    <row r="951" spans="1:256" s="1739" customFormat="1">
      <c r="A951" s="1860">
        <v>5.9</v>
      </c>
      <c r="B951" s="1583" t="s">
        <v>1512</v>
      </c>
      <c r="C951" s="31">
        <v>74</v>
      </c>
      <c r="D951" s="713" t="s">
        <v>3</v>
      </c>
      <c r="E951" s="32">
        <v>1384.48</v>
      </c>
      <c r="F951" s="1864">
        <f t="shared" si="41"/>
        <v>102451.52</v>
      </c>
      <c r="G951" s="510"/>
      <c r="H951" s="842"/>
      <c r="I951" s="842"/>
      <c r="J951" s="842"/>
      <c r="K951" s="842"/>
      <c r="L951" s="842"/>
    </row>
    <row r="952" spans="1:256" s="1739" customFormat="1">
      <c r="A952">
        <v>5.0999999999999996</v>
      </c>
      <c r="B952" s="1800" t="s">
        <v>1201</v>
      </c>
      <c r="C952" s="1800">
        <v>32</v>
      </c>
      <c r="D952" s="1800" t="s">
        <v>3</v>
      </c>
      <c r="E952" s="1800">
        <v>1566.25</v>
      </c>
      <c r="F952">
        <f t="shared" si="41"/>
        <v>50120</v>
      </c>
      <c r="G952" s="510"/>
      <c r="H952" s="842"/>
      <c r="I952" s="842"/>
      <c r="J952" s="842"/>
      <c r="K952" s="842"/>
      <c r="L952" s="842"/>
    </row>
    <row r="953" spans="1:256" s="1739" customFormat="1" ht="25.5">
      <c r="A953" s="1865">
        <v>5.1100000000000003</v>
      </c>
      <c r="B953" s="1053" t="s">
        <v>1513</v>
      </c>
      <c r="C953" s="31">
        <v>1</v>
      </c>
      <c r="D953" s="713" t="s">
        <v>3</v>
      </c>
      <c r="E953" s="32">
        <v>1405.45</v>
      </c>
      <c r="F953" s="1864">
        <f t="shared" si="41"/>
        <v>1405.45</v>
      </c>
      <c r="G953" s="510"/>
      <c r="H953" s="842"/>
      <c r="I953" s="842"/>
      <c r="J953" s="842"/>
      <c r="K953" s="842"/>
      <c r="L953" s="842"/>
    </row>
    <row r="954" spans="1:256" s="1739" customFormat="1">
      <c r="A954" s="1865">
        <v>5.12</v>
      </c>
      <c r="B954" s="1053" t="s">
        <v>487</v>
      </c>
      <c r="C954" s="31">
        <v>51</v>
      </c>
      <c r="D954" s="713" t="s">
        <v>3</v>
      </c>
      <c r="E954" s="1582">
        <v>650</v>
      </c>
      <c r="F954" s="1864">
        <f t="shared" si="41"/>
        <v>33150</v>
      </c>
      <c r="G954" s="510"/>
      <c r="H954" s="842"/>
      <c r="I954" s="842"/>
      <c r="J954" s="842"/>
      <c r="K954" s="842"/>
      <c r="L954" s="842"/>
    </row>
    <row r="955" spans="1:256">
      <c r="A955" s="1860"/>
      <c r="B955" s="28"/>
      <c r="C955" s="31"/>
      <c r="D955" s="713"/>
      <c r="E955" s="31"/>
      <c r="F955" s="1864"/>
      <c r="G955" s="510"/>
    </row>
    <row r="956" spans="1:256">
      <c r="A956" s="1867">
        <v>6</v>
      </c>
      <c r="B956" s="1804" t="s">
        <v>39</v>
      </c>
      <c r="C956" s="808"/>
      <c r="D956" s="1804"/>
      <c r="E956" s="1755"/>
      <c r="F956">
        <f>+ROUND(C956*E956,2)</f>
        <v>0</v>
      </c>
      <c r="G956" s="1754"/>
      <c r="H956" s="1846"/>
      <c r="I956" s="1754"/>
      <c r="J956" s="1846"/>
      <c r="K956" s="1754"/>
      <c r="L956" s="1846"/>
      <c r="M956" s="1803"/>
      <c r="N956" s="1737"/>
      <c r="O956" s="808"/>
      <c r="P956" s="1737"/>
      <c r="Q956" s="808"/>
      <c r="R956" s="1737"/>
      <c r="S956" s="808"/>
      <c r="T956" s="1737"/>
      <c r="U956" s="808"/>
      <c r="V956" s="1737"/>
      <c r="W956" s="808"/>
      <c r="X956" s="1737"/>
      <c r="Y956" s="808"/>
      <c r="Z956" s="1737"/>
      <c r="AA956" s="808"/>
      <c r="AB956" s="1737"/>
      <c r="AC956" s="808"/>
      <c r="AD956" s="1737"/>
      <c r="AE956" s="808"/>
      <c r="AF956" s="1737"/>
      <c r="AG956" s="808"/>
      <c r="AH956" s="1737"/>
      <c r="AI956" s="808"/>
      <c r="AJ956" s="1737"/>
      <c r="AK956" s="808"/>
      <c r="AL956" s="1737"/>
      <c r="AM956" s="808"/>
      <c r="AN956" s="1737"/>
      <c r="AO956" s="808"/>
      <c r="AP956" s="1737"/>
      <c r="AQ956" s="808"/>
      <c r="AR956" s="1737"/>
      <c r="AS956" s="808"/>
      <c r="AT956" s="1737"/>
      <c r="AU956" s="808"/>
      <c r="AV956" s="1737"/>
      <c r="AW956" s="808"/>
      <c r="AX956" s="1737"/>
      <c r="AY956" s="808"/>
      <c r="AZ956" s="1737"/>
      <c r="BA956" s="808"/>
      <c r="BB956" s="1737"/>
      <c r="BC956" s="808"/>
      <c r="BD956" s="1737"/>
      <c r="BE956" s="808"/>
      <c r="BF956" s="1737"/>
      <c r="BG956" s="808"/>
      <c r="BH956" s="1737"/>
      <c r="BI956" s="808"/>
      <c r="BJ956" s="1737"/>
      <c r="BK956" s="808"/>
      <c r="BL956" s="1737"/>
      <c r="BM956" s="808"/>
      <c r="BN956" s="1737"/>
      <c r="BO956" s="808"/>
      <c r="BP956" s="1737"/>
      <c r="BQ956" s="808"/>
      <c r="BR956" s="1737"/>
      <c r="BS956" s="808"/>
      <c r="BT956" s="1737"/>
      <c r="BU956" s="808"/>
      <c r="BV956" s="1737"/>
      <c r="BW956" s="808"/>
      <c r="BX956" s="1737"/>
      <c r="BY956" s="808"/>
      <c r="BZ956" s="1737"/>
      <c r="CA956" s="808"/>
      <c r="CB956" s="1737"/>
      <c r="CC956" s="808"/>
      <c r="CD956" s="1737"/>
      <c r="CE956" s="808"/>
      <c r="CF956" s="1737"/>
      <c r="CG956" s="808"/>
      <c r="CH956" s="1737"/>
      <c r="CI956" s="808"/>
      <c r="CJ956" s="1737"/>
      <c r="CK956" s="808"/>
      <c r="CL956" s="1737"/>
      <c r="CM956" s="808"/>
      <c r="CN956" s="1737"/>
      <c r="CO956" s="808"/>
      <c r="CP956" s="1737"/>
      <c r="CQ956" s="808"/>
      <c r="CR956" s="1737"/>
      <c r="CS956" s="808"/>
      <c r="CT956" s="1737"/>
      <c r="CU956" s="808"/>
      <c r="CV956" s="1737"/>
      <c r="CW956" s="808"/>
      <c r="CX956" s="1737"/>
      <c r="CY956" s="808"/>
      <c r="CZ956" s="1737"/>
      <c r="DA956" s="808"/>
      <c r="DB956" s="1737"/>
      <c r="DC956" s="808"/>
      <c r="DD956" s="1737"/>
      <c r="DE956" s="808"/>
      <c r="DF956" s="1737"/>
      <c r="DG956" s="808"/>
      <c r="DH956" s="1737"/>
      <c r="DI956" s="808"/>
      <c r="DJ956" s="1737"/>
      <c r="DK956" s="808"/>
      <c r="DL956" s="1737"/>
      <c r="DM956" s="808"/>
      <c r="DN956" s="1737"/>
      <c r="DO956" s="808"/>
      <c r="DP956" s="1737"/>
      <c r="DQ956" s="808"/>
      <c r="DR956" s="1737"/>
      <c r="DS956" s="808"/>
      <c r="DT956" s="1737"/>
      <c r="DU956" s="808"/>
      <c r="DV956" s="1737"/>
      <c r="DW956" s="808"/>
      <c r="DX956" s="1737"/>
      <c r="DY956" s="808"/>
      <c r="DZ956" s="1737"/>
      <c r="EA956" s="808"/>
      <c r="EB956" s="1737"/>
      <c r="EC956" s="808"/>
      <c r="ED956" s="1737"/>
      <c r="EE956" s="808"/>
      <c r="EF956" s="1737"/>
      <c r="EG956" s="808"/>
      <c r="EH956" s="1737"/>
      <c r="EI956" s="808"/>
      <c r="EJ956" s="1737"/>
      <c r="EK956" s="808"/>
      <c r="EL956" s="1737"/>
      <c r="EM956" s="808"/>
      <c r="EN956" s="1737"/>
      <c r="EO956" s="808"/>
      <c r="EP956" s="1737"/>
      <c r="EQ956" s="808"/>
      <c r="ER956" s="1737"/>
      <c r="ES956" s="808"/>
      <c r="ET956" s="1737"/>
      <c r="EU956" s="808"/>
      <c r="EV956" s="1737"/>
      <c r="EW956" s="808"/>
      <c r="EX956" s="1737"/>
      <c r="EY956" s="808"/>
      <c r="EZ956" s="1737"/>
      <c r="FA956" s="808"/>
      <c r="FB956" s="1737"/>
      <c r="FC956" s="808"/>
      <c r="FD956" s="1737"/>
      <c r="FE956" s="808"/>
      <c r="FF956" s="1737"/>
      <c r="FG956" s="808"/>
      <c r="FH956" s="1737"/>
      <c r="FI956" s="808"/>
      <c r="FJ956" s="1737"/>
      <c r="FK956" s="808"/>
      <c r="FL956" s="1737"/>
      <c r="FM956" s="808"/>
      <c r="FN956" s="1737"/>
      <c r="FO956" s="808"/>
      <c r="FP956" s="1737"/>
      <c r="FQ956" s="808"/>
      <c r="FR956" s="1737"/>
      <c r="FS956" s="808"/>
      <c r="FT956" s="1737"/>
      <c r="FU956" s="808"/>
      <c r="FV956" s="1737"/>
      <c r="FW956" s="808"/>
      <c r="FX956" s="1737"/>
      <c r="FY956" s="808"/>
      <c r="FZ956" s="1737"/>
      <c r="GA956" s="808"/>
      <c r="GB956" s="1737"/>
      <c r="GC956" s="808"/>
      <c r="GD956" s="1737"/>
      <c r="GE956" s="808"/>
      <c r="GF956" s="1737"/>
      <c r="GG956" s="808"/>
      <c r="GH956" s="1737"/>
      <c r="GI956" s="808"/>
      <c r="GJ956" s="1737"/>
      <c r="GK956" s="808"/>
      <c r="GL956" s="1737"/>
      <c r="GM956" s="808"/>
      <c r="GN956" s="1737"/>
      <c r="GO956" s="808"/>
      <c r="GP956" s="1737"/>
      <c r="GQ956" s="808"/>
      <c r="GR956" s="1737"/>
      <c r="GS956" s="808"/>
      <c r="GT956" s="1737"/>
      <c r="GU956" s="808"/>
      <c r="GV956" s="1737"/>
      <c r="GW956" s="808"/>
      <c r="GX956" s="1737"/>
      <c r="GY956" s="808"/>
      <c r="GZ956" s="1737"/>
      <c r="HA956" s="808"/>
      <c r="HB956" s="1737"/>
      <c r="HC956" s="808"/>
      <c r="HD956" s="1737"/>
      <c r="HE956" s="808"/>
      <c r="HF956" s="1737"/>
      <c r="HG956" s="808"/>
      <c r="HH956" s="1737"/>
      <c r="HI956" s="808"/>
      <c r="HJ956" s="1737"/>
      <c r="HK956" s="808"/>
      <c r="HL956" s="1737"/>
      <c r="HM956" s="808"/>
      <c r="HN956" s="1737"/>
      <c r="HO956" s="808"/>
      <c r="HP956" s="1737"/>
      <c r="HQ956" s="808"/>
      <c r="HR956" s="1737"/>
      <c r="HS956" s="808"/>
      <c r="HT956" s="1737"/>
      <c r="HU956" s="808"/>
      <c r="HV956" s="1737"/>
      <c r="HW956" s="808"/>
      <c r="HX956" s="1737"/>
      <c r="HY956" s="808"/>
      <c r="HZ956" s="1737"/>
      <c r="IA956" s="808"/>
      <c r="IB956" s="1737"/>
      <c r="IC956" s="808"/>
      <c r="ID956" s="1737"/>
      <c r="IE956" s="808"/>
      <c r="IF956" s="1737"/>
      <c r="IG956" s="808"/>
      <c r="IH956" s="1737"/>
      <c r="II956" s="808"/>
      <c r="IJ956" s="1737"/>
      <c r="IK956" s="808"/>
      <c r="IL956" s="1737"/>
      <c r="IM956" s="808"/>
      <c r="IN956" s="1737"/>
      <c r="IO956" s="808"/>
      <c r="IP956" s="1737"/>
      <c r="IQ956" s="808"/>
      <c r="IR956" s="1737"/>
      <c r="IS956" s="808"/>
      <c r="IT956" s="1737"/>
      <c r="IU956" s="808"/>
      <c r="IV956" s="1737"/>
    </row>
    <row r="957" spans="1:256">
      <c r="A957" s="1860">
        <v>6.1</v>
      </c>
      <c r="B957" s="18" t="s">
        <v>2268</v>
      </c>
      <c r="C957" s="31">
        <v>1</v>
      </c>
      <c r="D957" s="713" t="s">
        <v>3</v>
      </c>
      <c r="E957" s="714">
        <v>34444.57</v>
      </c>
      <c r="F957" s="1864">
        <f>+ROUND(C957*E957,2)</f>
        <v>34444.57</v>
      </c>
      <c r="G957" s="510"/>
    </row>
    <row r="958" spans="1:256">
      <c r="A958" s="1860">
        <v>6.2</v>
      </c>
      <c r="B958" s="18" t="s">
        <v>2269</v>
      </c>
      <c r="C958" s="31">
        <v>9</v>
      </c>
      <c r="D958" s="713" t="s">
        <v>3</v>
      </c>
      <c r="E958" s="714">
        <v>27844.6</v>
      </c>
      <c r="F958" s="1864">
        <f>+ROUND(C958*E958,2)</f>
        <v>250601.4</v>
      </c>
      <c r="G958" s="510"/>
    </row>
    <row r="959" spans="1:256">
      <c r="A959" s="1860">
        <v>6.3</v>
      </c>
      <c r="B959" s="18" t="s">
        <v>414</v>
      </c>
      <c r="C959" s="31">
        <v>8</v>
      </c>
      <c r="D959" s="713" t="s">
        <v>3</v>
      </c>
      <c r="E959" s="714">
        <v>3500</v>
      </c>
      <c r="F959" s="1864">
        <f>+ROUND(C959*E959,2)</f>
        <v>28000</v>
      </c>
      <c r="G959" s="510"/>
    </row>
    <row r="960" spans="1:256" ht="7.5" customHeight="1">
      <c r="A960" s="1860"/>
      <c r="B960" s="28"/>
      <c r="C960" s="31"/>
      <c r="D960" s="713"/>
      <c r="E960" s="31"/>
      <c r="F960" s="1864"/>
      <c r="G960" s="510"/>
    </row>
    <row r="961" spans="1:256">
      <c r="A961" s="1867">
        <v>7</v>
      </c>
      <c r="B961" s="1804" t="s">
        <v>2270</v>
      </c>
      <c r="C961" s="808"/>
      <c r="D961" s="1804"/>
      <c r="E961" s="1755"/>
      <c r="F961">
        <f>+ROUND(C961*E961,2)</f>
        <v>0</v>
      </c>
      <c r="G961" s="1754"/>
      <c r="H961" s="1846"/>
      <c r="I961" s="1754"/>
      <c r="J961" s="1846"/>
      <c r="K961" s="1754"/>
      <c r="L961" s="1846"/>
      <c r="M961" s="1803"/>
      <c r="N961" s="1737"/>
      <c r="O961" s="808"/>
      <c r="P961" s="1737"/>
      <c r="Q961" s="808"/>
      <c r="R961" s="1737"/>
      <c r="S961" s="808"/>
      <c r="T961" s="1737"/>
      <c r="U961" s="808"/>
      <c r="V961" s="1737"/>
      <c r="W961" s="808"/>
      <c r="X961" s="1737"/>
      <c r="Y961" s="808"/>
      <c r="Z961" s="1737"/>
      <c r="AA961" s="808"/>
      <c r="AB961" s="1737"/>
      <c r="AC961" s="808"/>
      <c r="AD961" s="1737"/>
      <c r="AE961" s="808"/>
      <c r="AF961" s="1737"/>
      <c r="AG961" s="808"/>
      <c r="AH961" s="1737"/>
      <c r="AI961" s="808"/>
      <c r="AJ961" s="1737"/>
      <c r="AK961" s="808"/>
      <c r="AL961" s="1737"/>
      <c r="AM961" s="808"/>
      <c r="AN961" s="1737"/>
      <c r="AO961" s="808"/>
      <c r="AP961" s="1737"/>
      <c r="AQ961" s="808"/>
      <c r="AR961" s="1737"/>
      <c r="AS961" s="808"/>
      <c r="AT961" s="1737"/>
      <c r="AU961" s="808"/>
      <c r="AV961" s="1737"/>
      <c r="AW961" s="808"/>
      <c r="AX961" s="1737"/>
      <c r="AY961" s="808"/>
      <c r="AZ961" s="1737"/>
      <c r="BA961" s="808"/>
      <c r="BB961" s="1737"/>
      <c r="BC961" s="808"/>
      <c r="BD961" s="1737"/>
      <c r="BE961" s="808"/>
      <c r="BF961" s="1737"/>
      <c r="BG961" s="808"/>
      <c r="BH961" s="1737"/>
      <c r="BI961" s="808"/>
      <c r="BJ961" s="1737"/>
      <c r="BK961" s="808"/>
      <c r="BL961" s="1737"/>
      <c r="BM961" s="808"/>
      <c r="BN961" s="1737"/>
      <c r="BO961" s="808"/>
      <c r="BP961" s="1737"/>
      <c r="BQ961" s="808"/>
      <c r="BR961" s="1737"/>
      <c r="BS961" s="808"/>
      <c r="BT961" s="1737"/>
      <c r="BU961" s="808"/>
      <c r="BV961" s="1737"/>
      <c r="BW961" s="808"/>
      <c r="BX961" s="1737"/>
      <c r="BY961" s="808"/>
      <c r="BZ961" s="1737"/>
      <c r="CA961" s="808"/>
      <c r="CB961" s="1737"/>
      <c r="CC961" s="808"/>
      <c r="CD961" s="1737"/>
      <c r="CE961" s="808"/>
      <c r="CF961" s="1737"/>
      <c r="CG961" s="808"/>
      <c r="CH961" s="1737"/>
      <c r="CI961" s="808"/>
      <c r="CJ961" s="1737"/>
      <c r="CK961" s="808"/>
      <c r="CL961" s="1737"/>
      <c r="CM961" s="808"/>
      <c r="CN961" s="1737"/>
      <c r="CO961" s="808"/>
      <c r="CP961" s="1737"/>
      <c r="CQ961" s="808"/>
      <c r="CR961" s="1737"/>
      <c r="CS961" s="808"/>
      <c r="CT961" s="1737"/>
      <c r="CU961" s="808"/>
      <c r="CV961" s="1737"/>
      <c r="CW961" s="808"/>
      <c r="CX961" s="1737"/>
      <c r="CY961" s="808"/>
      <c r="CZ961" s="1737"/>
      <c r="DA961" s="808"/>
      <c r="DB961" s="1737"/>
      <c r="DC961" s="808"/>
      <c r="DD961" s="1737"/>
      <c r="DE961" s="808"/>
      <c r="DF961" s="1737"/>
      <c r="DG961" s="808"/>
      <c r="DH961" s="1737"/>
      <c r="DI961" s="808"/>
      <c r="DJ961" s="1737"/>
      <c r="DK961" s="808"/>
      <c r="DL961" s="1737"/>
      <c r="DM961" s="808"/>
      <c r="DN961" s="1737"/>
      <c r="DO961" s="808"/>
      <c r="DP961" s="1737"/>
      <c r="DQ961" s="808"/>
      <c r="DR961" s="1737"/>
      <c r="DS961" s="808"/>
      <c r="DT961" s="1737"/>
      <c r="DU961" s="808"/>
      <c r="DV961" s="1737"/>
      <c r="DW961" s="808"/>
      <c r="DX961" s="1737"/>
      <c r="DY961" s="808"/>
      <c r="DZ961" s="1737"/>
      <c r="EA961" s="808"/>
      <c r="EB961" s="1737"/>
      <c r="EC961" s="808"/>
      <c r="ED961" s="1737"/>
      <c r="EE961" s="808"/>
      <c r="EF961" s="1737"/>
      <c r="EG961" s="808"/>
      <c r="EH961" s="1737"/>
      <c r="EI961" s="808"/>
      <c r="EJ961" s="1737"/>
      <c r="EK961" s="808"/>
      <c r="EL961" s="1737"/>
      <c r="EM961" s="808"/>
      <c r="EN961" s="1737"/>
      <c r="EO961" s="808"/>
      <c r="EP961" s="1737"/>
      <c r="EQ961" s="808"/>
      <c r="ER961" s="1737"/>
      <c r="ES961" s="808"/>
      <c r="ET961" s="1737"/>
      <c r="EU961" s="808"/>
      <c r="EV961" s="1737"/>
      <c r="EW961" s="808"/>
      <c r="EX961" s="1737"/>
      <c r="EY961" s="808"/>
      <c r="EZ961" s="1737"/>
      <c r="FA961" s="808"/>
      <c r="FB961" s="1737"/>
      <c r="FC961" s="808"/>
      <c r="FD961" s="1737"/>
      <c r="FE961" s="808"/>
      <c r="FF961" s="1737"/>
      <c r="FG961" s="808"/>
      <c r="FH961" s="1737"/>
      <c r="FI961" s="808"/>
      <c r="FJ961" s="1737"/>
      <c r="FK961" s="808"/>
      <c r="FL961" s="1737"/>
      <c r="FM961" s="808"/>
      <c r="FN961" s="1737"/>
      <c r="FO961" s="808"/>
      <c r="FP961" s="1737"/>
      <c r="FQ961" s="808"/>
      <c r="FR961" s="1737"/>
      <c r="FS961" s="808"/>
      <c r="FT961" s="1737"/>
      <c r="FU961" s="808"/>
      <c r="FV961" s="1737"/>
      <c r="FW961" s="808"/>
      <c r="FX961" s="1737"/>
      <c r="FY961" s="808"/>
      <c r="FZ961" s="1737"/>
      <c r="GA961" s="808"/>
      <c r="GB961" s="1737"/>
      <c r="GC961" s="808"/>
      <c r="GD961" s="1737"/>
      <c r="GE961" s="808"/>
      <c r="GF961" s="1737"/>
      <c r="GG961" s="808"/>
      <c r="GH961" s="1737"/>
      <c r="GI961" s="808"/>
      <c r="GJ961" s="1737"/>
      <c r="GK961" s="808"/>
      <c r="GL961" s="1737"/>
      <c r="GM961" s="808"/>
      <c r="GN961" s="1737"/>
      <c r="GO961" s="808"/>
      <c r="GP961" s="1737"/>
      <c r="GQ961" s="808"/>
      <c r="GR961" s="1737"/>
      <c r="GS961" s="808"/>
      <c r="GT961" s="1737"/>
      <c r="GU961" s="808"/>
      <c r="GV961" s="1737"/>
      <c r="GW961" s="808"/>
      <c r="GX961" s="1737"/>
      <c r="GY961" s="808"/>
      <c r="GZ961" s="1737"/>
      <c r="HA961" s="808"/>
      <c r="HB961" s="1737"/>
      <c r="HC961" s="808"/>
      <c r="HD961" s="1737"/>
      <c r="HE961" s="808"/>
      <c r="HF961" s="1737"/>
      <c r="HG961" s="808"/>
      <c r="HH961" s="1737"/>
      <c r="HI961" s="808"/>
      <c r="HJ961" s="1737"/>
      <c r="HK961" s="808"/>
      <c r="HL961" s="1737"/>
      <c r="HM961" s="808"/>
      <c r="HN961" s="1737"/>
      <c r="HO961" s="808"/>
      <c r="HP961" s="1737"/>
      <c r="HQ961" s="808"/>
      <c r="HR961" s="1737"/>
      <c r="HS961" s="808"/>
      <c r="HT961" s="1737"/>
      <c r="HU961" s="808"/>
      <c r="HV961" s="1737"/>
      <c r="HW961" s="808"/>
      <c r="HX961" s="1737"/>
      <c r="HY961" s="808"/>
      <c r="HZ961" s="1737"/>
      <c r="IA961" s="808"/>
      <c r="IB961" s="1737"/>
      <c r="IC961" s="808"/>
      <c r="ID961" s="1737"/>
      <c r="IE961" s="808"/>
      <c r="IF961" s="1737"/>
      <c r="IG961" s="808"/>
      <c r="IH961" s="1737"/>
      <c r="II961" s="808"/>
      <c r="IJ961" s="1737"/>
      <c r="IK961" s="808"/>
      <c r="IL961" s="1737"/>
      <c r="IM961" s="808"/>
      <c r="IN961" s="1737"/>
      <c r="IO961" s="808"/>
      <c r="IP961" s="1737"/>
      <c r="IQ961" s="808"/>
      <c r="IR961" s="1737"/>
      <c r="IS961" s="808"/>
      <c r="IT961" s="1737"/>
      <c r="IU961" s="808"/>
      <c r="IV961" s="1737"/>
    </row>
    <row r="962" spans="1:256">
      <c r="A962" s="1860">
        <v>7.1</v>
      </c>
      <c r="B962" s="28" t="s">
        <v>2271</v>
      </c>
      <c r="C962" s="31">
        <v>2</v>
      </c>
      <c r="D962" s="713" t="s">
        <v>2272</v>
      </c>
      <c r="E962" s="31">
        <v>149286.32999999999</v>
      </c>
      <c r="F962" s="1864">
        <f>+ROUND(C962*E962,2)</f>
        <v>298572.65999999997</v>
      </c>
      <c r="G962" s="510"/>
    </row>
    <row r="963" spans="1:256" ht="6.75" customHeight="1">
      <c r="A963" s="1860"/>
      <c r="B963" s="28"/>
      <c r="C963" s="31"/>
      <c r="D963" s="713"/>
      <c r="E963" s="31"/>
      <c r="F963" s="1864"/>
      <c r="G963" s="510"/>
    </row>
    <row r="964" spans="1:256">
      <c r="A964" s="1867">
        <v>8</v>
      </c>
      <c r="B964" s="1804" t="s">
        <v>481</v>
      </c>
      <c r="C964" s="808"/>
      <c r="D964" s="1804"/>
      <c r="E964" s="1755"/>
      <c r="F964"/>
      <c r="G964" s="1754"/>
      <c r="H964" s="1846"/>
      <c r="I964" s="1754"/>
      <c r="J964" s="1846"/>
      <c r="K964" s="1754"/>
      <c r="L964" s="1846"/>
      <c r="M964" s="1803"/>
      <c r="N964" s="1737"/>
      <c r="O964" s="808"/>
      <c r="P964" s="1737"/>
      <c r="Q964" s="808"/>
      <c r="R964" s="1737"/>
      <c r="S964" s="808"/>
      <c r="T964" s="1737"/>
      <c r="U964" s="808"/>
      <c r="V964" s="1737"/>
      <c r="W964" s="808"/>
      <c r="X964" s="1737"/>
      <c r="Y964" s="808"/>
      <c r="Z964" s="1737"/>
      <c r="AA964" s="808"/>
      <c r="AB964" s="1737"/>
      <c r="AC964" s="808"/>
      <c r="AD964" s="1737"/>
      <c r="AE964" s="808"/>
      <c r="AF964" s="1737"/>
      <c r="AG964" s="808"/>
      <c r="AH964" s="1737"/>
      <c r="AI964" s="808"/>
      <c r="AJ964" s="1737"/>
      <c r="AK964" s="808"/>
      <c r="AL964" s="1737"/>
      <c r="AM964" s="808"/>
      <c r="AN964" s="1737"/>
      <c r="AO964" s="808"/>
      <c r="AP964" s="1737"/>
      <c r="AQ964" s="808"/>
      <c r="AR964" s="1737"/>
      <c r="AS964" s="808"/>
      <c r="AT964" s="1737"/>
      <c r="AU964" s="808"/>
      <c r="AV964" s="1737"/>
      <c r="AW964" s="808"/>
      <c r="AX964" s="1737"/>
      <c r="AY964" s="808"/>
      <c r="AZ964" s="1737"/>
      <c r="BA964" s="808"/>
      <c r="BB964" s="1737"/>
      <c r="BC964" s="808"/>
      <c r="BD964" s="1737"/>
      <c r="BE964" s="808"/>
      <c r="BF964" s="1737"/>
      <c r="BG964" s="808"/>
      <c r="BH964" s="1737"/>
      <c r="BI964" s="808"/>
      <c r="BJ964" s="1737"/>
      <c r="BK964" s="808"/>
      <c r="BL964" s="1737"/>
      <c r="BM964" s="808"/>
      <c r="BN964" s="1737"/>
      <c r="BO964" s="808"/>
      <c r="BP964" s="1737"/>
      <c r="BQ964" s="808"/>
      <c r="BR964" s="1737"/>
      <c r="BS964" s="808"/>
      <c r="BT964" s="1737"/>
      <c r="BU964" s="808"/>
      <c r="BV964" s="1737"/>
      <c r="BW964" s="808"/>
      <c r="BX964" s="1737"/>
      <c r="BY964" s="808"/>
      <c r="BZ964" s="1737"/>
      <c r="CA964" s="808"/>
      <c r="CB964" s="1737"/>
      <c r="CC964" s="808"/>
      <c r="CD964" s="1737"/>
      <c r="CE964" s="808"/>
      <c r="CF964" s="1737"/>
      <c r="CG964" s="808"/>
      <c r="CH964" s="1737"/>
      <c r="CI964" s="808"/>
      <c r="CJ964" s="1737"/>
      <c r="CK964" s="808"/>
      <c r="CL964" s="1737"/>
      <c r="CM964" s="808"/>
      <c r="CN964" s="1737"/>
      <c r="CO964" s="808"/>
      <c r="CP964" s="1737"/>
      <c r="CQ964" s="808"/>
      <c r="CR964" s="1737"/>
      <c r="CS964" s="808"/>
      <c r="CT964" s="1737"/>
      <c r="CU964" s="808"/>
      <c r="CV964" s="1737"/>
      <c r="CW964" s="808"/>
      <c r="CX964" s="1737"/>
      <c r="CY964" s="808"/>
      <c r="CZ964" s="1737"/>
      <c r="DA964" s="808"/>
      <c r="DB964" s="1737"/>
      <c r="DC964" s="808"/>
      <c r="DD964" s="1737"/>
      <c r="DE964" s="808"/>
      <c r="DF964" s="1737"/>
      <c r="DG964" s="808"/>
      <c r="DH964" s="1737"/>
      <c r="DI964" s="808"/>
      <c r="DJ964" s="1737"/>
      <c r="DK964" s="808"/>
      <c r="DL964" s="1737"/>
      <c r="DM964" s="808"/>
      <c r="DN964" s="1737"/>
      <c r="DO964" s="808"/>
      <c r="DP964" s="1737"/>
      <c r="DQ964" s="808"/>
      <c r="DR964" s="1737"/>
      <c r="DS964" s="808"/>
      <c r="DT964" s="1737"/>
      <c r="DU964" s="808"/>
      <c r="DV964" s="1737"/>
      <c r="DW964" s="808"/>
      <c r="DX964" s="1737"/>
      <c r="DY964" s="808"/>
      <c r="DZ964" s="1737"/>
      <c r="EA964" s="808"/>
      <c r="EB964" s="1737"/>
      <c r="EC964" s="808"/>
      <c r="ED964" s="1737"/>
      <c r="EE964" s="808"/>
      <c r="EF964" s="1737"/>
      <c r="EG964" s="808"/>
      <c r="EH964" s="1737"/>
      <c r="EI964" s="808"/>
      <c r="EJ964" s="1737"/>
      <c r="EK964" s="808"/>
      <c r="EL964" s="1737"/>
      <c r="EM964" s="808"/>
      <c r="EN964" s="1737"/>
      <c r="EO964" s="808"/>
      <c r="EP964" s="1737"/>
      <c r="EQ964" s="808"/>
      <c r="ER964" s="1737"/>
      <c r="ES964" s="808"/>
      <c r="ET964" s="1737"/>
      <c r="EU964" s="808"/>
      <c r="EV964" s="1737"/>
      <c r="EW964" s="808"/>
      <c r="EX964" s="1737"/>
      <c r="EY964" s="808"/>
      <c r="EZ964" s="1737"/>
      <c r="FA964" s="808"/>
      <c r="FB964" s="1737"/>
      <c r="FC964" s="808"/>
      <c r="FD964" s="1737"/>
      <c r="FE964" s="808"/>
      <c r="FF964" s="1737"/>
      <c r="FG964" s="808"/>
      <c r="FH964" s="1737"/>
      <c r="FI964" s="808"/>
      <c r="FJ964" s="1737"/>
      <c r="FK964" s="808"/>
      <c r="FL964" s="1737"/>
      <c r="FM964" s="808"/>
      <c r="FN964" s="1737"/>
      <c r="FO964" s="808"/>
      <c r="FP964" s="1737"/>
      <c r="FQ964" s="808"/>
      <c r="FR964" s="1737"/>
      <c r="FS964" s="808"/>
      <c r="FT964" s="1737"/>
      <c r="FU964" s="808"/>
      <c r="FV964" s="1737"/>
      <c r="FW964" s="808"/>
      <c r="FX964" s="1737"/>
      <c r="FY964" s="808"/>
      <c r="FZ964" s="1737"/>
      <c r="GA964" s="808"/>
      <c r="GB964" s="1737"/>
      <c r="GC964" s="808"/>
      <c r="GD964" s="1737"/>
      <c r="GE964" s="808"/>
      <c r="GF964" s="1737"/>
      <c r="GG964" s="808"/>
      <c r="GH964" s="1737"/>
      <c r="GI964" s="808"/>
      <c r="GJ964" s="1737"/>
      <c r="GK964" s="808"/>
      <c r="GL964" s="1737"/>
      <c r="GM964" s="808"/>
      <c r="GN964" s="1737"/>
      <c r="GO964" s="808"/>
      <c r="GP964" s="1737"/>
      <c r="GQ964" s="808"/>
      <c r="GR964" s="1737"/>
      <c r="GS964" s="808"/>
      <c r="GT964" s="1737"/>
      <c r="GU964" s="808"/>
      <c r="GV964" s="1737"/>
      <c r="GW964" s="808"/>
      <c r="GX964" s="1737"/>
      <c r="GY964" s="808"/>
      <c r="GZ964" s="1737"/>
      <c r="HA964" s="808"/>
      <c r="HB964" s="1737"/>
      <c r="HC964" s="808"/>
      <c r="HD964" s="1737"/>
      <c r="HE964" s="808"/>
      <c r="HF964" s="1737"/>
      <c r="HG964" s="808"/>
      <c r="HH964" s="1737"/>
      <c r="HI964" s="808"/>
      <c r="HJ964" s="1737"/>
      <c r="HK964" s="808"/>
      <c r="HL964" s="1737"/>
      <c r="HM964" s="808"/>
      <c r="HN964" s="1737"/>
      <c r="HO964" s="808"/>
      <c r="HP964" s="1737"/>
      <c r="HQ964" s="808"/>
      <c r="HR964" s="1737"/>
      <c r="HS964" s="808"/>
      <c r="HT964" s="1737"/>
      <c r="HU964" s="808"/>
      <c r="HV964" s="1737"/>
      <c r="HW964" s="808"/>
      <c r="HX964" s="1737"/>
      <c r="HY964" s="808"/>
      <c r="HZ964" s="1737"/>
      <c r="IA964" s="808"/>
      <c r="IB964" s="1737"/>
      <c r="IC964" s="808"/>
      <c r="ID964" s="1737"/>
      <c r="IE964" s="808"/>
      <c r="IF964" s="1737"/>
      <c r="IG964" s="808"/>
      <c r="IH964" s="1737"/>
      <c r="II964" s="808"/>
      <c r="IJ964" s="1737"/>
      <c r="IK964" s="808"/>
      <c r="IL964" s="1737"/>
      <c r="IM964" s="808"/>
      <c r="IN964" s="1737"/>
      <c r="IO964" s="808"/>
      <c r="IP964" s="1737"/>
      <c r="IQ964" s="808"/>
      <c r="IR964" s="1737"/>
      <c r="IS964" s="808"/>
      <c r="IT964" s="1737"/>
      <c r="IU964" s="808"/>
      <c r="IV964" s="1737"/>
    </row>
    <row r="965" spans="1:256" ht="6.75" customHeight="1">
      <c r="A965" s="1860"/>
      <c r="B965" s="1794"/>
      <c r="C965" s="31"/>
      <c r="D965" s="713"/>
      <c r="E965" s="1582"/>
      <c r="F965" s="1864"/>
      <c r="G965" s="510"/>
    </row>
    <row r="966" spans="1:256">
      <c r="A966" s="1860"/>
      <c r="B966" s="654" t="s">
        <v>1866</v>
      </c>
      <c r="C966" s="31"/>
      <c r="D966" s="713"/>
      <c r="E966" s="1582"/>
      <c r="F966" s="1864"/>
      <c r="G966" s="510"/>
    </row>
    <row r="967" spans="1:256" ht="8.25" customHeight="1">
      <c r="A967" s="1860"/>
      <c r="B967" s="1794"/>
      <c r="C967" s="31"/>
      <c r="D967" s="713"/>
      <c r="E967" s="1582"/>
      <c r="F967" s="1864"/>
      <c r="G967" s="510"/>
    </row>
    <row r="968" spans="1:256">
      <c r="A968" s="1867">
        <v>8.1</v>
      </c>
      <c r="B968" s="1804" t="s">
        <v>1867</v>
      </c>
      <c r="C968" s="808"/>
      <c r="D968" s="1804"/>
      <c r="E968" s="1755"/>
      <c r="F968"/>
      <c r="G968" s="1754"/>
      <c r="H968" s="1846"/>
      <c r="I968" s="1754"/>
      <c r="J968" s="1846"/>
      <c r="K968" s="1754"/>
      <c r="L968" s="1846"/>
      <c r="M968" s="1803"/>
      <c r="N968" s="1737"/>
      <c r="O968" s="808"/>
      <c r="P968" s="1737"/>
      <c r="Q968" s="808"/>
      <c r="R968" s="1737"/>
      <c r="S968" s="808"/>
      <c r="T968" s="1737"/>
      <c r="U968" s="808"/>
      <c r="V968" s="1737"/>
      <c r="W968" s="808"/>
      <c r="X968" s="1737"/>
      <c r="Y968" s="808"/>
      <c r="Z968" s="1737"/>
      <c r="AA968" s="808"/>
      <c r="AB968" s="1737"/>
      <c r="AC968" s="808"/>
      <c r="AD968" s="1737"/>
      <c r="AE968" s="808"/>
      <c r="AF968" s="1737"/>
      <c r="AG968" s="808"/>
      <c r="AH968" s="1737"/>
      <c r="AI968" s="808"/>
      <c r="AJ968" s="1737"/>
      <c r="AK968" s="808"/>
      <c r="AL968" s="1737"/>
      <c r="AM968" s="808"/>
      <c r="AN968" s="1737"/>
      <c r="AO968" s="808"/>
      <c r="AP968" s="1737"/>
      <c r="AQ968" s="808"/>
      <c r="AR968" s="1737"/>
      <c r="AS968" s="808"/>
      <c r="AT968" s="1737"/>
      <c r="AU968" s="808"/>
      <c r="AV968" s="1737"/>
      <c r="AW968" s="808"/>
      <c r="AX968" s="1737"/>
      <c r="AY968" s="808"/>
      <c r="AZ968" s="1737"/>
      <c r="BA968" s="808"/>
      <c r="BB968" s="1737"/>
      <c r="BC968" s="808"/>
      <c r="BD968" s="1737"/>
      <c r="BE968" s="808"/>
      <c r="BF968" s="1737"/>
      <c r="BG968" s="808"/>
      <c r="BH968" s="1737"/>
      <c r="BI968" s="808"/>
      <c r="BJ968" s="1737"/>
      <c r="BK968" s="808"/>
      <c r="BL968" s="1737"/>
      <c r="BM968" s="808"/>
      <c r="BN968" s="1737"/>
      <c r="BO968" s="808"/>
      <c r="BP968" s="1737"/>
      <c r="BQ968" s="808"/>
      <c r="BR968" s="1737"/>
      <c r="BS968" s="808"/>
      <c r="BT968" s="1737"/>
      <c r="BU968" s="808"/>
      <c r="BV968" s="1737"/>
      <c r="BW968" s="808"/>
      <c r="BX968" s="1737"/>
      <c r="BY968" s="808"/>
      <c r="BZ968" s="1737"/>
      <c r="CA968" s="808"/>
      <c r="CB968" s="1737"/>
      <c r="CC968" s="808"/>
      <c r="CD968" s="1737"/>
      <c r="CE968" s="808"/>
      <c r="CF968" s="1737"/>
      <c r="CG968" s="808"/>
      <c r="CH968" s="1737"/>
      <c r="CI968" s="808"/>
      <c r="CJ968" s="1737"/>
      <c r="CK968" s="808"/>
      <c r="CL968" s="1737"/>
      <c r="CM968" s="808"/>
      <c r="CN968" s="1737"/>
      <c r="CO968" s="808"/>
      <c r="CP968" s="1737"/>
      <c r="CQ968" s="808"/>
      <c r="CR968" s="1737"/>
      <c r="CS968" s="808"/>
      <c r="CT968" s="1737"/>
      <c r="CU968" s="808"/>
      <c r="CV968" s="1737"/>
      <c r="CW968" s="808"/>
      <c r="CX968" s="1737"/>
      <c r="CY968" s="808"/>
      <c r="CZ968" s="1737"/>
      <c r="DA968" s="808"/>
      <c r="DB968" s="1737"/>
      <c r="DC968" s="808"/>
      <c r="DD968" s="1737"/>
      <c r="DE968" s="808"/>
      <c r="DF968" s="1737"/>
      <c r="DG968" s="808"/>
      <c r="DH968" s="1737"/>
      <c r="DI968" s="808"/>
      <c r="DJ968" s="1737"/>
      <c r="DK968" s="808"/>
      <c r="DL968" s="1737"/>
      <c r="DM968" s="808"/>
      <c r="DN968" s="1737"/>
      <c r="DO968" s="808"/>
      <c r="DP968" s="1737"/>
      <c r="DQ968" s="808"/>
      <c r="DR968" s="1737"/>
      <c r="DS968" s="808"/>
      <c r="DT968" s="1737"/>
      <c r="DU968" s="808"/>
      <c r="DV968" s="1737"/>
      <c r="DW968" s="808"/>
      <c r="DX968" s="1737"/>
      <c r="DY968" s="808"/>
      <c r="DZ968" s="1737"/>
      <c r="EA968" s="808"/>
      <c r="EB968" s="1737"/>
      <c r="EC968" s="808"/>
      <c r="ED968" s="1737"/>
      <c r="EE968" s="808"/>
      <c r="EF968" s="1737"/>
      <c r="EG968" s="808"/>
      <c r="EH968" s="1737"/>
      <c r="EI968" s="808"/>
      <c r="EJ968" s="1737"/>
      <c r="EK968" s="808"/>
      <c r="EL968" s="1737"/>
      <c r="EM968" s="808"/>
      <c r="EN968" s="1737"/>
      <c r="EO968" s="808"/>
      <c r="EP968" s="1737"/>
      <c r="EQ968" s="808"/>
      <c r="ER968" s="1737"/>
      <c r="ES968" s="808"/>
      <c r="ET968" s="1737"/>
      <c r="EU968" s="808"/>
      <c r="EV968" s="1737"/>
      <c r="EW968" s="808"/>
      <c r="EX968" s="1737"/>
      <c r="EY968" s="808"/>
      <c r="EZ968" s="1737"/>
      <c r="FA968" s="808"/>
      <c r="FB968" s="1737"/>
      <c r="FC968" s="808"/>
      <c r="FD968" s="1737"/>
      <c r="FE968" s="808"/>
      <c r="FF968" s="1737"/>
      <c r="FG968" s="808"/>
      <c r="FH968" s="1737"/>
      <c r="FI968" s="808"/>
      <c r="FJ968" s="1737"/>
      <c r="FK968" s="808"/>
      <c r="FL968" s="1737"/>
      <c r="FM968" s="808"/>
      <c r="FN968" s="1737"/>
      <c r="FO968" s="808"/>
      <c r="FP968" s="1737"/>
      <c r="FQ968" s="808"/>
      <c r="FR968" s="1737"/>
      <c r="FS968" s="808"/>
      <c r="FT968" s="1737"/>
      <c r="FU968" s="808"/>
      <c r="FV968" s="1737"/>
      <c r="FW968" s="808"/>
      <c r="FX968" s="1737"/>
      <c r="FY968" s="808"/>
      <c r="FZ968" s="1737"/>
      <c r="GA968" s="808"/>
      <c r="GB968" s="1737"/>
      <c r="GC968" s="808"/>
      <c r="GD968" s="1737"/>
      <c r="GE968" s="808"/>
      <c r="GF968" s="1737"/>
      <c r="GG968" s="808"/>
      <c r="GH968" s="1737"/>
      <c r="GI968" s="808"/>
      <c r="GJ968" s="1737"/>
      <c r="GK968" s="808"/>
      <c r="GL968" s="1737"/>
      <c r="GM968" s="808"/>
      <c r="GN968" s="1737"/>
      <c r="GO968" s="808"/>
      <c r="GP968" s="1737"/>
      <c r="GQ968" s="808"/>
      <c r="GR968" s="1737"/>
      <c r="GS968" s="808"/>
      <c r="GT968" s="1737"/>
      <c r="GU968" s="808"/>
      <c r="GV968" s="1737"/>
      <c r="GW968" s="808"/>
      <c r="GX968" s="1737"/>
      <c r="GY968" s="808"/>
      <c r="GZ968" s="1737"/>
      <c r="HA968" s="808"/>
      <c r="HB968" s="1737"/>
      <c r="HC968" s="808"/>
      <c r="HD968" s="1737"/>
      <c r="HE968" s="808"/>
      <c r="HF968" s="1737"/>
      <c r="HG968" s="808"/>
      <c r="HH968" s="1737"/>
      <c r="HI968" s="808"/>
      <c r="HJ968" s="1737"/>
      <c r="HK968" s="808"/>
      <c r="HL968" s="1737"/>
      <c r="HM968" s="808"/>
      <c r="HN968" s="1737"/>
      <c r="HO968" s="808"/>
      <c r="HP968" s="1737"/>
      <c r="HQ968" s="808"/>
      <c r="HR968" s="1737"/>
      <c r="HS968" s="808"/>
      <c r="HT968" s="1737"/>
      <c r="HU968" s="808"/>
      <c r="HV968" s="1737"/>
      <c r="HW968" s="808"/>
      <c r="HX968" s="1737"/>
      <c r="HY968" s="808"/>
      <c r="HZ968" s="1737"/>
      <c r="IA968" s="808"/>
      <c r="IB968" s="1737"/>
      <c r="IC968" s="808"/>
      <c r="ID968" s="1737"/>
      <c r="IE968" s="808"/>
      <c r="IF968" s="1737"/>
      <c r="IG968" s="808"/>
      <c r="IH968" s="1737"/>
      <c r="II968" s="808"/>
      <c r="IJ968" s="1737"/>
      <c r="IK968" s="808"/>
      <c r="IL968" s="1737"/>
      <c r="IM968" s="808"/>
      <c r="IN968" s="1737"/>
      <c r="IO968" s="808"/>
      <c r="IP968" s="1737"/>
      <c r="IQ968" s="808"/>
      <c r="IR968" s="1737"/>
      <c r="IS968" s="808"/>
      <c r="IT968" s="1737"/>
      <c r="IU968" s="808"/>
      <c r="IV968" s="1737"/>
    </row>
    <row r="969" spans="1:256">
      <c r="A969" s="1896" t="s">
        <v>493</v>
      </c>
      <c r="B969" s="522" t="s">
        <v>48</v>
      </c>
      <c r="C969" s="31">
        <v>32</v>
      </c>
      <c r="D969" s="713" t="s">
        <v>3</v>
      </c>
      <c r="E969" s="1582">
        <v>230.1</v>
      </c>
      <c r="F969" s="1864">
        <f t="shared" ref="F969:F982" si="42">ROUND(C969*E969,2)</f>
        <v>7363.2</v>
      </c>
      <c r="G969" s="510"/>
    </row>
    <row r="970" spans="1:256" ht="25.5">
      <c r="A970" t="s">
        <v>494</v>
      </c>
      <c r="B970" s="745" t="s">
        <v>53</v>
      </c>
      <c r="C970" s="31">
        <v>192</v>
      </c>
      <c r="D970" s="713" t="s">
        <v>1</v>
      </c>
      <c r="E970" s="1582">
        <v>28.32</v>
      </c>
      <c r="F970" s="1864">
        <f t="shared" si="42"/>
        <v>5437.44</v>
      </c>
      <c r="G970" s="510"/>
    </row>
    <row r="971" spans="1:256">
      <c r="A971" s="1896" t="s">
        <v>495</v>
      </c>
      <c r="B971" s="522" t="s">
        <v>49</v>
      </c>
      <c r="C971" s="31">
        <v>32</v>
      </c>
      <c r="D971" s="713" t="s">
        <v>3</v>
      </c>
      <c r="E971" s="1582">
        <v>53.1</v>
      </c>
      <c r="F971" s="1864">
        <f t="shared" si="42"/>
        <v>1699.2</v>
      </c>
      <c r="G971" s="510"/>
    </row>
    <row r="972" spans="1:256">
      <c r="A972" s="1896" t="s">
        <v>496</v>
      </c>
      <c r="B972" s="522" t="s">
        <v>474</v>
      </c>
      <c r="C972" s="31">
        <v>32</v>
      </c>
      <c r="D972" s="713" t="s">
        <v>3</v>
      </c>
      <c r="E972" s="1582">
        <v>23.6</v>
      </c>
      <c r="F972" s="1864">
        <f t="shared" si="42"/>
        <v>755.2</v>
      </c>
      <c r="G972" s="510"/>
    </row>
    <row r="973" spans="1:256">
      <c r="A973" s="1896" t="s">
        <v>497</v>
      </c>
      <c r="B973" s="522" t="s">
        <v>55</v>
      </c>
      <c r="C973" s="31">
        <v>32</v>
      </c>
      <c r="D973" s="713" t="s">
        <v>3</v>
      </c>
      <c r="E973" s="1582">
        <v>84.53</v>
      </c>
      <c r="F973" s="1864">
        <f t="shared" si="42"/>
        <v>2704.96</v>
      </c>
      <c r="G973" s="510"/>
    </row>
    <row r="974" spans="1:256">
      <c r="A974" s="1896" t="s">
        <v>498</v>
      </c>
      <c r="B974" s="522" t="s">
        <v>475</v>
      </c>
      <c r="C974" s="31">
        <v>32</v>
      </c>
      <c r="D974" s="713" t="s">
        <v>3</v>
      </c>
      <c r="E974" s="1582">
        <v>265.5</v>
      </c>
      <c r="F974" s="1864">
        <f t="shared" si="42"/>
        <v>8496</v>
      </c>
      <c r="G974" s="510"/>
    </row>
    <row r="975" spans="1:256">
      <c r="A975" s="1896" t="s">
        <v>499</v>
      </c>
      <c r="B975" s="522" t="s">
        <v>476</v>
      </c>
      <c r="C975" s="31">
        <v>32</v>
      </c>
      <c r="D975" s="713" t="s">
        <v>3</v>
      </c>
      <c r="E975" s="1582">
        <v>35.4</v>
      </c>
      <c r="F975" s="1864">
        <f t="shared" si="42"/>
        <v>1132.8</v>
      </c>
      <c r="G975" s="510"/>
    </row>
    <row r="976" spans="1:256">
      <c r="A976" s="1896" t="s">
        <v>500</v>
      </c>
      <c r="B976" s="522" t="s">
        <v>477</v>
      </c>
      <c r="C976" s="31">
        <v>32</v>
      </c>
      <c r="D976" s="713" t="s">
        <v>3</v>
      </c>
      <c r="E976" s="1582">
        <v>17.7</v>
      </c>
      <c r="F976" s="1864">
        <f t="shared" si="42"/>
        <v>566.4</v>
      </c>
      <c r="G976" s="510"/>
    </row>
    <row r="977" spans="1:256">
      <c r="A977" s="1896" t="s">
        <v>501</v>
      </c>
      <c r="B977" s="522" t="s">
        <v>478</v>
      </c>
      <c r="C977" s="31">
        <v>32</v>
      </c>
      <c r="D977" s="713" t="s">
        <v>3</v>
      </c>
      <c r="E977" s="1582">
        <v>239.92</v>
      </c>
      <c r="F977" s="1864">
        <f t="shared" si="42"/>
        <v>7677.44</v>
      </c>
      <c r="G977" s="510"/>
    </row>
    <row r="978" spans="1:256">
      <c r="A978" s="1896" t="s">
        <v>502</v>
      </c>
      <c r="B978" s="522" t="s">
        <v>479</v>
      </c>
      <c r="C978" s="31">
        <v>32</v>
      </c>
      <c r="D978" s="713" t="s">
        <v>3</v>
      </c>
      <c r="E978" s="1582">
        <v>200</v>
      </c>
      <c r="F978" s="1864">
        <f t="shared" si="42"/>
        <v>6400</v>
      </c>
      <c r="G978" s="510"/>
    </row>
    <row r="979" spans="1:256">
      <c r="A979" s="1896" t="s">
        <v>503</v>
      </c>
      <c r="B979" s="522" t="s">
        <v>50</v>
      </c>
      <c r="C979" s="31">
        <v>32</v>
      </c>
      <c r="D979" s="713" t="s">
        <v>3</v>
      </c>
      <c r="E979" s="1582">
        <v>15</v>
      </c>
      <c r="F979" s="1864">
        <f t="shared" si="42"/>
        <v>480</v>
      </c>
      <c r="G979" s="510"/>
    </row>
    <row r="980" spans="1:256">
      <c r="A980" s="1896" t="s">
        <v>504</v>
      </c>
      <c r="B980" s="522" t="s">
        <v>51</v>
      </c>
      <c r="C980" s="31">
        <v>63.36</v>
      </c>
      <c r="D980" s="713" t="s">
        <v>2</v>
      </c>
      <c r="E980" s="1582">
        <v>406.79</v>
      </c>
      <c r="F980" s="1864">
        <f t="shared" si="42"/>
        <v>25774.21</v>
      </c>
      <c r="G980" s="510"/>
    </row>
    <row r="981" spans="1:256">
      <c r="A981" s="1896" t="s">
        <v>505</v>
      </c>
      <c r="B981" s="522" t="s">
        <v>457</v>
      </c>
      <c r="C981" s="31">
        <v>32</v>
      </c>
      <c r="D981" s="713" t="s">
        <v>3</v>
      </c>
      <c r="E981" s="1755">
        <v>280</v>
      </c>
      <c r="F981" s="1864">
        <f t="shared" si="42"/>
        <v>8960</v>
      </c>
      <c r="G981" s="510"/>
    </row>
    <row r="982" spans="1:256">
      <c r="A982" s="1896" t="s">
        <v>1872</v>
      </c>
      <c r="B982" s="522" t="s">
        <v>52</v>
      </c>
      <c r="C982" s="31">
        <v>32</v>
      </c>
      <c r="D982" s="713" t="s">
        <v>3</v>
      </c>
      <c r="E982" s="1582">
        <v>200</v>
      </c>
      <c r="F982" s="1864">
        <f t="shared" si="42"/>
        <v>6400</v>
      </c>
      <c r="G982" s="510"/>
    </row>
    <row r="983" spans="1:256">
      <c r="A983" s="1855"/>
      <c r="B983" s="522"/>
      <c r="C983" s="31"/>
      <c r="D983" s="713"/>
      <c r="E983" s="1582"/>
      <c r="F983" s="1864"/>
      <c r="G983" s="510"/>
    </row>
    <row r="984" spans="1:256">
      <c r="A984" s="1867">
        <v>8.1999999999999993</v>
      </c>
      <c r="B984" s="1804" t="s">
        <v>1870</v>
      </c>
      <c r="C984" s="808"/>
      <c r="D984" s="1804"/>
      <c r="E984" s="1755"/>
      <c r="F984"/>
      <c r="G984" s="1754"/>
      <c r="H984" s="1846"/>
      <c r="I984" s="1754"/>
      <c r="J984" s="1846"/>
      <c r="K984" s="1754"/>
      <c r="L984" s="1846"/>
      <c r="M984" s="1803"/>
      <c r="N984" s="1737"/>
      <c r="O984" s="808"/>
      <c r="P984" s="1737"/>
      <c r="Q984" s="808"/>
      <c r="R984" s="1737"/>
      <c r="S984" s="808"/>
      <c r="T984" s="1737"/>
      <c r="U984" s="808"/>
      <c r="V984" s="1737"/>
      <c r="W984" s="808"/>
      <c r="X984" s="1737"/>
      <c r="Y984" s="808"/>
      <c r="Z984" s="1737"/>
      <c r="AA984" s="808"/>
      <c r="AB984" s="1737"/>
      <c r="AC984" s="808"/>
      <c r="AD984" s="1737"/>
      <c r="AE984" s="808"/>
      <c r="AF984" s="1737"/>
      <c r="AG984" s="808"/>
      <c r="AH984" s="1737"/>
      <c r="AI984" s="808"/>
      <c r="AJ984" s="1737"/>
      <c r="AK984" s="808"/>
      <c r="AL984" s="1737"/>
      <c r="AM984" s="808"/>
      <c r="AN984" s="1737"/>
      <c r="AO984" s="808"/>
      <c r="AP984" s="1737"/>
      <c r="AQ984" s="808"/>
      <c r="AR984" s="1737"/>
      <c r="AS984" s="808"/>
      <c r="AT984" s="1737"/>
      <c r="AU984" s="808"/>
      <c r="AV984" s="1737"/>
      <c r="AW984" s="808"/>
      <c r="AX984" s="1737"/>
      <c r="AY984" s="808"/>
      <c r="AZ984" s="1737"/>
      <c r="BA984" s="808"/>
      <c r="BB984" s="1737"/>
      <c r="BC984" s="808"/>
      <c r="BD984" s="1737"/>
      <c r="BE984" s="808"/>
      <c r="BF984" s="1737"/>
      <c r="BG984" s="808"/>
      <c r="BH984" s="1737"/>
      <c r="BI984" s="808"/>
      <c r="BJ984" s="1737"/>
      <c r="BK984" s="808"/>
      <c r="BL984" s="1737"/>
      <c r="BM984" s="808"/>
      <c r="BN984" s="1737"/>
      <c r="BO984" s="808"/>
      <c r="BP984" s="1737"/>
      <c r="BQ984" s="808"/>
      <c r="BR984" s="1737"/>
      <c r="BS984" s="808"/>
      <c r="BT984" s="1737"/>
      <c r="BU984" s="808"/>
      <c r="BV984" s="1737"/>
      <c r="BW984" s="808"/>
      <c r="BX984" s="1737"/>
      <c r="BY984" s="808"/>
      <c r="BZ984" s="1737"/>
      <c r="CA984" s="808"/>
      <c r="CB984" s="1737"/>
      <c r="CC984" s="808"/>
      <c r="CD984" s="1737"/>
      <c r="CE984" s="808"/>
      <c r="CF984" s="1737"/>
      <c r="CG984" s="808"/>
      <c r="CH984" s="1737"/>
      <c r="CI984" s="808"/>
      <c r="CJ984" s="1737"/>
      <c r="CK984" s="808"/>
      <c r="CL984" s="1737"/>
      <c r="CM984" s="808"/>
      <c r="CN984" s="1737"/>
      <c r="CO984" s="808"/>
      <c r="CP984" s="1737"/>
      <c r="CQ984" s="808"/>
      <c r="CR984" s="1737"/>
      <c r="CS984" s="808"/>
      <c r="CT984" s="1737"/>
      <c r="CU984" s="808"/>
      <c r="CV984" s="1737"/>
      <c r="CW984" s="808"/>
      <c r="CX984" s="1737"/>
      <c r="CY984" s="808"/>
      <c r="CZ984" s="1737"/>
      <c r="DA984" s="808"/>
      <c r="DB984" s="1737"/>
      <c r="DC984" s="808"/>
      <c r="DD984" s="1737"/>
      <c r="DE984" s="808"/>
      <c r="DF984" s="1737"/>
      <c r="DG984" s="808"/>
      <c r="DH984" s="1737"/>
      <c r="DI984" s="808"/>
      <c r="DJ984" s="1737"/>
      <c r="DK984" s="808"/>
      <c r="DL984" s="1737"/>
      <c r="DM984" s="808"/>
      <c r="DN984" s="1737"/>
      <c r="DO984" s="808"/>
      <c r="DP984" s="1737"/>
      <c r="DQ984" s="808"/>
      <c r="DR984" s="1737"/>
      <c r="DS984" s="808"/>
      <c r="DT984" s="1737"/>
      <c r="DU984" s="808"/>
      <c r="DV984" s="1737"/>
      <c r="DW984" s="808"/>
      <c r="DX984" s="1737"/>
      <c r="DY984" s="808"/>
      <c r="DZ984" s="1737"/>
      <c r="EA984" s="808"/>
      <c r="EB984" s="1737"/>
      <c r="EC984" s="808"/>
      <c r="ED984" s="1737"/>
      <c r="EE984" s="808"/>
      <c r="EF984" s="1737"/>
      <c r="EG984" s="808"/>
      <c r="EH984" s="1737"/>
      <c r="EI984" s="808"/>
      <c r="EJ984" s="1737"/>
      <c r="EK984" s="808"/>
      <c r="EL984" s="1737"/>
      <c r="EM984" s="808"/>
      <c r="EN984" s="1737"/>
      <c r="EO984" s="808"/>
      <c r="EP984" s="1737"/>
      <c r="EQ984" s="808"/>
      <c r="ER984" s="1737"/>
      <c r="ES984" s="808"/>
      <c r="ET984" s="1737"/>
      <c r="EU984" s="808"/>
      <c r="EV984" s="1737"/>
      <c r="EW984" s="808"/>
      <c r="EX984" s="1737"/>
      <c r="EY984" s="808"/>
      <c r="EZ984" s="1737"/>
      <c r="FA984" s="808"/>
      <c r="FB984" s="1737"/>
      <c r="FC984" s="808"/>
      <c r="FD984" s="1737"/>
      <c r="FE984" s="808"/>
      <c r="FF984" s="1737"/>
      <c r="FG984" s="808"/>
      <c r="FH984" s="1737"/>
      <c r="FI984" s="808"/>
      <c r="FJ984" s="1737"/>
      <c r="FK984" s="808"/>
      <c r="FL984" s="1737"/>
      <c r="FM984" s="808"/>
      <c r="FN984" s="1737"/>
      <c r="FO984" s="808"/>
      <c r="FP984" s="1737"/>
      <c r="FQ984" s="808"/>
      <c r="FR984" s="1737"/>
      <c r="FS984" s="808"/>
      <c r="FT984" s="1737"/>
      <c r="FU984" s="808"/>
      <c r="FV984" s="1737"/>
      <c r="FW984" s="808"/>
      <c r="FX984" s="1737"/>
      <c r="FY984" s="808"/>
      <c r="FZ984" s="1737"/>
      <c r="GA984" s="808"/>
      <c r="GB984" s="1737"/>
      <c r="GC984" s="808"/>
      <c r="GD984" s="1737"/>
      <c r="GE984" s="808"/>
      <c r="GF984" s="1737"/>
      <c r="GG984" s="808"/>
      <c r="GH984" s="1737"/>
      <c r="GI984" s="808"/>
      <c r="GJ984" s="1737"/>
      <c r="GK984" s="808"/>
      <c r="GL984" s="1737"/>
      <c r="GM984" s="808"/>
      <c r="GN984" s="1737"/>
      <c r="GO984" s="808"/>
      <c r="GP984" s="1737"/>
      <c r="GQ984" s="808"/>
      <c r="GR984" s="1737"/>
      <c r="GS984" s="808"/>
      <c r="GT984" s="1737"/>
      <c r="GU984" s="808"/>
      <c r="GV984" s="1737"/>
      <c r="GW984" s="808"/>
      <c r="GX984" s="1737"/>
      <c r="GY984" s="808"/>
      <c r="GZ984" s="1737"/>
      <c r="HA984" s="808"/>
      <c r="HB984" s="1737"/>
      <c r="HC984" s="808"/>
      <c r="HD984" s="1737"/>
      <c r="HE984" s="808"/>
      <c r="HF984" s="1737"/>
      <c r="HG984" s="808"/>
      <c r="HH984" s="1737"/>
      <c r="HI984" s="808"/>
      <c r="HJ984" s="1737"/>
      <c r="HK984" s="808"/>
      <c r="HL984" s="1737"/>
      <c r="HM984" s="808"/>
      <c r="HN984" s="1737"/>
      <c r="HO984" s="808"/>
      <c r="HP984" s="1737"/>
      <c r="HQ984" s="808"/>
      <c r="HR984" s="1737"/>
      <c r="HS984" s="808"/>
      <c r="HT984" s="1737"/>
      <c r="HU984" s="808"/>
      <c r="HV984" s="1737"/>
      <c r="HW984" s="808"/>
      <c r="HX984" s="1737"/>
      <c r="HY984" s="808"/>
      <c r="HZ984" s="1737"/>
      <c r="IA984" s="808"/>
      <c r="IB984" s="1737"/>
      <c r="IC984" s="808"/>
      <c r="ID984" s="1737"/>
      <c r="IE984" s="808"/>
      <c r="IF984" s="1737"/>
      <c r="IG984" s="808"/>
      <c r="IH984" s="1737"/>
      <c r="II984" s="808"/>
      <c r="IJ984" s="1737"/>
      <c r="IK984" s="808"/>
      <c r="IL984" s="1737"/>
      <c r="IM984" s="808"/>
      <c r="IN984" s="1737"/>
      <c r="IO984" s="808"/>
      <c r="IP984" s="1737"/>
      <c r="IQ984" s="808"/>
      <c r="IR984" s="1737"/>
      <c r="IS984" s="808"/>
      <c r="IT984" s="1737"/>
      <c r="IU984" s="808"/>
      <c r="IV984" s="1737"/>
    </row>
    <row r="985" spans="1:256">
      <c r="A985" s="1896" t="s">
        <v>506</v>
      </c>
      <c r="B985" s="522" t="s">
        <v>48</v>
      </c>
      <c r="C985" s="31">
        <v>38</v>
      </c>
      <c r="D985" s="713" t="s">
        <v>3</v>
      </c>
      <c r="E985" s="1582">
        <v>286.36</v>
      </c>
      <c r="F985" s="1864">
        <f t="shared" ref="F985:F998" si="43">ROUND(C985*E985,2)</f>
        <v>10881.68</v>
      </c>
      <c r="G985" s="510"/>
    </row>
    <row r="986" spans="1:256" s="1739" customFormat="1" ht="25.5">
      <c r="A986" t="s">
        <v>507</v>
      </c>
      <c r="B986" s="745" t="s">
        <v>53</v>
      </c>
      <c r="C986" s="31">
        <v>228</v>
      </c>
      <c r="D986" s="713" t="s">
        <v>1</v>
      </c>
      <c r="E986" s="1582">
        <v>28.32</v>
      </c>
      <c r="F986" s="1864">
        <f t="shared" si="43"/>
        <v>6456.96</v>
      </c>
      <c r="G986" s="510"/>
      <c r="H986" s="842"/>
      <c r="I986" s="842"/>
      <c r="J986" s="842"/>
      <c r="K986" s="842"/>
      <c r="L986" s="842"/>
    </row>
    <row r="987" spans="1:256">
      <c r="A987" s="1896" t="s">
        <v>508</v>
      </c>
      <c r="B987" s="522" t="s">
        <v>49</v>
      </c>
      <c r="C987" s="31">
        <v>38</v>
      </c>
      <c r="D987" s="713" t="s">
        <v>3</v>
      </c>
      <c r="E987" s="1582">
        <v>53.1</v>
      </c>
      <c r="F987" s="1864">
        <f t="shared" si="43"/>
        <v>2017.8</v>
      </c>
      <c r="G987" s="510"/>
    </row>
    <row r="988" spans="1:256">
      <c r="A988" s="1896" t="s">
        <v>509</v>
      </c>
      <c r="B988" s="522" t="s">
        <v>474</v>
      </c>
      <c r="C988" s="31">
        <v>38</v>
      </c>
      <c r="D988" s="713" t="s">
        <v>3</v>
      </c>
      <c r="E988" s="1582">
        <v>23.6</v>
      </c>
      <c r="F988" s="1864">
        <f t="shared" si="43"/>
        <v>896.8</v>
      </c>
      <c r="G988" s="510"/>
    </row>
    <row r="989" spans="1:256">
      <c r="A989" s="1896" t="s">
        <v>510</v>
      </c>
      <c r="B989" s="522" t="s">
        <v>55</v>
      </c>
      <c r="C989" s="31">
        <v>38</v>
      </c>
      <c r="D989" s="713" t="s">
        <v>3</v>
      </c>
      <c r="E989" s="1582">
        <v>84.53</v>
      </c>
      <c r="F989" s="1864">
        <f t="shared" si="43"/>
        <v>3212.14</v>
      </c>
      <c r="G989" s="510"/>
    </row>
    <row r="990" spans="1:256">
      <c r="A990" s="1896" t="s">
        <v>511</v>
      </c>
      <c r="B990" s="522" t="s">
        <v>475</v>
      </c>
      <c r="C990" s="31">
        <v>38</v>
      </c>
      <c r="D990" s="713" t="s">
        <v>3</v>
      </c>
      <c r="E990" s="1582">
        <v>265.5</v>
      </c>
      <c r="F990" s="1864">
        <f t="shared" si="43"/>
        <v>10089</v>
      </c>
      <c r="G990" s="510"/>
    </row>
    <row r="991" spans="1:256">
      <c r="A991" s="1896" t="s">
        <v>512</v>
      </c>
      <c r="B991" s="522" t="s">
        <v>476</v>
      </c>
      <c r="C991" s="31">
        <v>38</v>
      </c>
      <c r="D991" s="713" t="s">
        <v>3</v>
      </c>
      <c r="E991" s="1582">
        <v>35.4</v>
      </c>
      <c r="F991" s="1864">
        <f t="shared" si="43"/>
        <v>1345.2</v>
      </c>
      <c r="G991" s="510"/>
    </row>
    <row r="992" spans="1:256">
      <c r="A992" s="1896" t="s">
        <v>513</v>
      </c>
      <c r="B992" s="522" t="s">
        <v>477</v>
      </c>
      <c r="C992" s="31">
        <v>38</v>
      </c>
      <c r="D992" s="713" t="s">
        <v>3</v>
      </c>
      <c r="E992" s="1582">
        <v>17.7</v>
      </c>
      <c r="F992" s="1864">
        <f t="shared" si="43"/>
        <v>672.6</v>
      </c>
      <c r="G992" s="510"/>
    </row>
    <row r="993" spans="1:256">
      <c r="A993" s="1896" t="s">
        <v>514</v>
      </c>
      <c r="B993" s="522" t="s">
        <v>478</v>
      </c>
      <c r="C993" s="31">
        <v>38</v>
      </c>
      <c r="D993" s="713" t="s">
        <v>3</v>
      </c>
      <c r="E993" s="1582">
        <v>239.92</v>
      </c>
      <c r="F993" s="1864">
        <f t="shared" si="43"/>
        <v>9116.9599999999991</v>
      </c>
      <c r="G993" s="510"/>
    </row>
    <row r="994" spans="1:256">
      <c r="A994" s="1896" t="s">
        <v>515</v>
      </c>
      <c r="B994" s="522" t="s">
        <v>479</v>
      </c>
      <c r="C994" s="31">
        <v>38</v>
      </c>
      <c r="D994" s="713" t="s">
        <v>3</v>
      </c>
      <c r="E994" s="1582">
        <v>200</v>
      </c>
      <c r="F994" s="1864">
        <f t="shared" si="43"/>
        <v>7600</v>
      </c>
      <c r="G994" s="510"/>
    </row>
    <row r="995" spans="1:256">
      <c r="A995" t="s">
        <v>516</v>
      </c>
      <c r="B995" s="522" t="s">
        <v>50</v>
      </c>
      <c r="C995" s="1794">
        <v>38</v>
      </c>
      <c r="D995" s="1794" t="s">
        <v>3</v>
      </c>
      <c r="E995" s="1794">
        <v>15</v>
      </c>
      <c r="F995" s="1856">
        <f t="shared" si="43"/>
        <v>570</v>
      </c>
      <c r="G995" s="510"/>
    </row>
    <row r="996" spans="1:256">
      <c r="A996" s="1896" t="s">
        <v>517</v>
      </c>
      <c r="B996" s="522" t="s">
        <v>51</v>
      </c>
      <c r="C996" s="31">
        <v>75.239999999999995</v>
      </c>
      <c r="D996" s="713" t="s">
        <v>2</v>
      </c>
      <c r="E996" s="1582">
        <v>406.79</v>
      </c>
      <c r="F996" s="1864">
        <f t="shared" si="43"/>
        <v>30606.880000000001</v>
      </c>
      <c r="G996" s="510"/>
    </row>
    <row r="997" spans="1:256">
      <c r="A997" s="1896" t="s">
        <v>518</v>
      </c>
      <c r="B997" s="522" t="s">
        <v>457</v>
      </c>
      <c r="C997" s="31">
        <v>38</v>
      </c>
      <c r="D997" s="713" t="s">
        <v>3</v>
      </c>
      <c r="E997" s="1755">
        <v>280</v>
      </c>
      <c r="F997" s="1864">
        <f t="shared" si="43"/>
        <v>10640</v>
      </c>
      <c r="G997" s="510"/>
    </row>
    <row r="998" spans="1:256">
      <c r="A998" s="1898" t="s">
        <v>519</v>
      </c>
      <c r="B998" s="1795" t="s">
        <v>52</v>
      </c>
      <c r="C998" s="1813">
        <v>38</v>
      </c>
      <c r="D998" s="1821" t="s">
        <v>3</v>
      </c>
      <c r="E998" s="1814">
        <v>200</v>
      </c>
      <c r="F998" s="1879">
        <f t="shared" si="43"/>
        <v>7600</v>
      </c>
      <c r="G998" s="510"/>
    </row>
    <row r="999" spans="1:256">
      <c r="A999" s="1855"/>
      <c r="B999" s="522"/>
      <c r="C999" s="31"/>
      <c r="D999" s="713"/>
      <c r="E999" s="1582"/>
      <c r="F999" s="1864"/>
      <c r="G999" s="510"/>
    </row>
    <row r="1000" spans="1:256">
      <c r="A1000" s="1855"/>
      <c r="B1000" s="654" t="s">
        <v>1868</v>
      </c>
      <c r="C1000" s="31"/>
      <c r="D1000" s="713"/>
      <c r="E1000" s="1582"/>
      <c r="F1000" s="1864"/>
      <c r="G1000" s="510"/>
    </row>
    <row r="1001" spans="1:256">
      <c r="A1001" s="1855"/>
      <c r="B1001" s="1794"/>
      <c r="C1001" s="31"/>
      <c r="D1001" s="713"/>
      <c r="E1001" s="1582"/>
      <c r="F1001" s="1864"/>
      <c r="G1001" s="510"/>
    </row>
    <row r="1002" spans="1:256">
      <c r="A1002" s="1867">
        <v>8.3000000000000007</v>
      </c>
      <c r="B1002" s="1804" t="s">
        <v>1869</v>
      </c>
      <c r="C1002" s="808"/>
      <c r="D1002" s="1804"/>
      <c r="E1002" s="1755"/>
      <c r="F1002"/>
      <c r="G1002" s="1754"/>
      <c r="H1002" s="1846"/>
      <c r="I1002" s="1754"/>
      <c r="J1002" s="1846"/>
      <c r="K1002" s="1754"/>
      <c r="L1002" s="1846"/>
      <c r="M1002" s="1803"/>
      <c r="N1002" s="1737"/>
      <c r="O1002" s="808"/>
      <c r="P1002" s="1737"/>
      <c r="Q1002" s="808"/>
      <c r="R1002" s="1737"/>
      <c r="S1002" s="808"/>
      <c r="T1002" s="1737"/>
      <c r="U1002" s="808"/>
      <c r="V1002" s="1737"/>
      <c r="W1002" s="808"/>
      <c r="X1002" s="1737"/>
      <c r="Y1002" s="808"/>
      <c r="Z1002" s="1737"/>
      <c r="AA1002" s="808"/>
      <c r="AB1002" s="1737"/>
      <c r="AC1002" s="808"/>
      <c r="AD1002" s="1737"/>
      <c r="AE1002" s="808"/>
      <c r="AF1002" s="1737"/>
      <c r="AG1002" s="808"/>
      <c r="AH1002" s="1737"/>
      <c r="AI1002" s="808"/>
      <c r="AJ1002" s="1737"/>
      <c r="AK1002" s="808"/>
      <c r="AL1002" s="1737"/>
      <c r="AM1002" s="808"/>
      <c r="AN1002" s="1737"/>
      <c r="AO1002" s="808"/>
      <c r="AP1002" s="1737"/>
      <c r="AQ1002" s="808"/>
      <c r="AR1002" s="1737"/>
      <c r="AS1002" s="808"/>
      <c r="AT1002" s="1737"/>
      <c r="AU1002" s="808"/>
      <c r="AV1002" s="1737"/>
      <c r="AW1002" s="808"/>
      <c r="AX1002" s="1737"/>
      <c r="AY1002" s="808"/>
      <c r="AZ1002" s="1737"/>
      <c r="BA1002" s="808"/>
      <c r="BB1002" s="1737"/>
      <c r="BC1002" s="808"/>
      <c r="BD1002" s="1737"/>
      <c r="BE1002" s="808"/>
      <c r="BF1002" s="1737"/>
      <c r="BG1002" s="808"/>
      <c r="BH1002" s="1737"/>
      <c r="BI1002" s="808"/>
      <c r="BJ1002" s="1737"/>
      <c r="BK1002" s="808"/>
      <c r="BL1002" s="1737"/>
      <c r="BM1002" s="808"/>
      <c r="BN1002" s="1737"/>
      <c r="BO1002" s="808"/>
      <c r="BP1002" s="1737"/>
      <c r="BQ1002" s="808"/>
      <c r="BR1002" s="1737"/>
      <c r="BS1002" s="808"/>
      <c r="BT1002" s="1737"/>
      <c r="BU1002" s="808"/>
      <c r="BV1002" s="1737"/>
      <c r="BW1002" s="808"/>
      <c r="BX1002" s="1737"/>
      <c r="BY1002" s="808"/>
      <c r="BZ1002" s="1737"/>
      <c r="CA1002" s="808"/>
      <c r="CB1002" s="1737"/>
      <c r="CC1002" s="808"/>
      <c r="CD1002" s="1737"/>
      <c r="CE1002" s="808"/>
      <c r="CF1002" s="1737"/>
      <c r="CG1002" s="808"/>
      <c r="CH1002" s="1737"/>
      <c r="CI1002" s="808"/>
      <c r="CJ1002" s="1737"/>
      <c r="CK1002" s="808"/>
      <c r="CL1002" s="1737"/>
      <c r="CM1002" s="808"/>
      <c r="CN1002" s="1737"/>
      <c r="CO1002" s="808"/>
      <c r="CP1002" s="1737"/>
      <c r="CQ1002" s="808"/>
      <c r="CR1002" s="1737"/>
      <c r="CS1002" s="808"/>
      <c r="CT1002" s="1737"/>
      <c r="CU1002" s="808"/>
      <c r="CV1002" s="1737"/>
      <c r="CW1002" s="808"/>
      <c r="CX1002" s="1737"/>
      <c r="CY1002" s="808"/>
      <c r="CZ1002" s="1737"/>
      <c r="DA1002" s="808"/>
      <c r="DB1002" s="1737"/>
      <c r="DC1002" s="808"/>
      <c r="DD1002" s="1737"/>
      <c r="DE1002" s="808"/>
      <c r="DF1002" s="1737"/>
      <c r="DG1002" s="808"/>
      <c r="DH1002" s="1737"/>
      <c r="DI1002" s="808"/>
      <c r="DJ1002" s="1737"/>
      <c r="DK1002" s="808"/>
      <c r="DL1002" s="1737"/>
      <c r="DM1002" s="808"/>
      <c r="DN1002" s="1737"/>
      <c r="DO1002" s="808"/>
      <c r="DP1002" s="1737"/>
      <c r="DQ1002" s="808"/>
      <c r="DR1002" s="1737"/>
      <c r="DS1002" s="808"/>
      <c r="DT1002" s="1737"/>
      <c r="DU1002" s="808"/>
      <c r="DV1002" s="1737"/>
      <c r="DW1002" s="808"/>
      <c r="DX1002" s="1737"/>
      <c r="DY1002" s="808"/>
      <c r="DZ1002" s="1737"/>
      <c r="EA1002" s="808"/>
      <c r="EB1002" s="1737"/>
      <c r="EC1002" s="808"/>
      <c r="ED1002" s="1737"/>
      <c r="EE1002" s="808"/>
      <c r="EF1002" s="1737"/>
      <c r="EG1002" s="808"/>
      <c r="EH1002" s="1737"/>
      <c r="EI1002" s="808"/>
      <c r="EJ1002" s="1737"/>
      <c r="EK1002" s="808"/>
      <c r="EL1002" s="1737"/>
      <c r="EM1002" s="808"/>
      <c r="EN1002" s="1737"/>
      <c r="EO1002" s="808"/>
      <c r="EP1002" s="1737"/>
      <c r="EQ1002" s="808"/>
      <c r="ER1002" s="1737"/>
      <c r="ES1002" s="808"/>
      <c r="ET1002" s="1737"/>
      <c r="EU1002" s="808"/>
      <c r="EV1002" s="1737"/>
      <c r="EW1002" s="808"/>
      <c r="EX1002" s="1737"/>
      <c r="EY1002" s="808"/>
      <c r="EZ1002" s="1737"/>
      <c r="FA1002" s="808"/>
      <c r="FB1002" s="1737"/>
      <c r="FC1002" s="808"/>
      <c r="FD1002" s="1737"/>
      <c r="FE1002" s="808"/>
      <c r="FF1002" s="1737"/>
      <c r="FG1002" s="808"/>
      <c r="FH1002" s="1737"/>
      <c r="FI1002" s="808"/>
      <c r="FJ1002" s="1737"/>
      <c r="FK1002" s="808"/>
      <c r="FL1002" s="1737"/>
      <c r="FM1002" s="808"/>
      <c r="FN1002" s="1737"/>
      <c r="FO1002" s="808"/>
      <c r="FP1002" s="1737"/>
      <c r="FQ1002" s="808"/>
      <c r="FR1002" s="1737"/>
      <c r="FS1002" s="808"/>
      <c r="FT1002" s="1737"/>
      <c r="FU1002" s="808"/>
      <c r="FV1002" s="1737"/>
      <c r="FW1002" s="808"/>
      <c r="FX1002" s="1737"/>
      <c r="FY1002" s="808"/>
      <c r="FZ1002" s="1737"/>
      <c r="GA1002" s="808"/>
      <c r="GB1002" s="1737"/>
      <c r="GC1002" s="808"/>
      <c r="GD1002" s="1737"/>
      <c r="GE1002" s="808"/>
      <c r="GF1002" s="1737"/>
      <c r="GG1002" s="808"/>
      <c r="GH1002" s="1737"/>
      <c r="GI1002" s="808"/>
      <c r="GJ1002" s="1737"/>
      <c r="GK1002" s="808"/>
      <c r="GL1002" s="1737"/>
      <c r="GM1002" s="808"/>
      <c r="GN1002" s="1737"/>
      <c r="GO1002" s="808"/>
      <c r="GP1002" s="1737"/>
      <c r="GQ1002" s="808"/>
      <c r="GR1002" s="1737"/>
      <c r="GS1002" s="808"/>
      <c r="GT1002" s="1737"/>
      <c r="GU1002" s="808"/>
      <c r="GV1002" s="1737"/>
      <c r="GW1002" s="808"/>
      <c r="GX1002" s="1737"/>
      <c r="GY1002" s="808"/>
      <c r="GZ1002" s="1737"/>
      <c r="HA1002" s="808"/>
      <c r="HB1002" s="1737"/>
      <c r="HC1002" s="808"/>
      <c r="HD1002" s="1737"/>
      <c r="HE1002" s="808"/>
      <c r="HF1002" s="1737"/>
      <c r="HG1002" s="808"/>
      <c r="HH1002" s="1737"/>
      <c r="HI1002" s="808"/>
      <c r="HJ1002" s="1737"/>
      <c r="HK1002" s="808"/>
      <c r="HL1002" s="1737"/>
      <c r="HM1002" s="808"/>
      <c r="HN1002" s="1737"/>
      <c r="HO1002" s="808"/>
      <c r="HP1002" s="1737"/>
      <c r="HQ1002" s="808"/>
      <c r="HR1002" s="1737"/>
      <c r="HS1002" s="808"/>
      <c r="HT1002" s="1737"/>
      <c r="HU1002" s="808"/>
      <c r="HV1002" s="1737"/>
      <c r="HW1002" s="808"/>
      <c r="HX1002" s="1737"/>
      <c r="HY1002" s="808"/>
      <c r="HZ1002" s="1737"/>
      <c r="IA1002" s="808"/>
      <c r="IB1002" s="1737"/>
      <c r="IC1002" s="808"/>
      <c r="ID1002" s="1737"/>
      <c r="IE1002" s="808"/>
      <c r="IF1002" s="1737"/>
      <c r="IG1002" s="808"/>
      <c r="IH1002" s="1737"/>
      <c r="II1002" s="808"/>
      <c r="IJ1002" s="1737"/>
      <c r="IK1002" s="808"/>
      <c r="IL1002" s="1737"/>
      <c r="IM1002" s="808"/>
      <c r="IN1002" s="1737"/>
      <c r="IO1002" s="808"/>
      <c r="IP1002" s="1737"/>
      <c r="IQ1002" s="808"/>
      <c r="IR1002" s="1737"/>
      <c r="IS1002" s="808"/>
      <c r="IT1002" s="1737"/>
      <c r="IU1002" s="808"/>
      <c r="IV1002" s="1737"/>
    </row>
    <row r="1003" spans="1:256">
      <c r="A1003" s="1896" t="s">
        <v>1873</v>
      </c>
      <c r="B1003" s="522" t="s">
        <v>48</v>
      </c>
      <c r="C1003" s="31">
        <v>80</v>
      </c>
      <c r="D1003" s="713" t="s">
        <v>3</v>
      </c>
      <c r="E1003" s="1582">
        <v>193.36</v>
      </c>
      <c r="F1003" s="1864">
        <f t="shared" ref="F1003:F1016" si="44">ROUND(C1003*E1003,2)</f>
        <v>15468.8</v>
      </c>
      <c r="G1003" s="510"/>
    </row>
    <row r="1004" spans="1:256" s="1739" customFormat="1" ht="25.5">
      <c r="A1004" s="1896" t="s">
        <v>1874</v>
      </c>
      <c r="B1004" s="745" t="s">
        <v>53</v>
      </c>
      <c r="C1004" s="31">
        <v>480</v>
      </c>
      <c r="D1004" s="713" t="s">
        <v>1</v>
      </c>
      <c r="E1004" s="1582">
        <v>28.32</v>
      </c>
      <c r="F1004" s="1864">
        <f t="shared" si="44"/>
        <v>13593.6</v>
      </c>
      <c r="G1004" s="510"/>
      <c r="H1004" s="842"/>
      <c r="I1004" s="842"/>
      <c r="J1004" s="842"/>
      <c r="K1004" s="842"/>
      <c r="L1004" s="842"/>
    </row>
    <row r="1005" spans="1:256">
      <c r="A1005" s="1896" t="s">
        <v>1875</v>
      </c>
      <c r="B1005" s="522" t="s">
        <v>49</v>
      </c>
      <c r="C1005" s="31">
        <v>80</v>
      </c>
      <c r="D1005" s="713" t="s">
        <v>3</v>
      </c>
      <c r="E1005" s="1582">
        <v>53.1</v>
      </c>
      <c r="F1005" s="1864">
        <f t="shared" si="44"/>
        <v>4248</v>
      </c>
      <c r="G1005" s="510"/>
    </row>
    <row r="1006" spans="1:256">
      <c r="A1006" s="1896" t="s">
        <v>1876</v>
      </c>
      <c r="B1006" s="522" t="s">
        <v>474</v>
      </c>
      <c r="C1006" s="31">
        <v>80</v>
      </c>
      <c r="D1006" s="713" t="s">
        <v>3</v>
      </c>
      <c r="E1006" s="1582">
        <v>23.6</v>
      </c>
      <c r="F1006" s="1864">
        <f t="shared" si="44"/>
        <v>1888</v>
      </c>
      <c r="G1006" s="510"/>
    </row>
    <row r="1007" spans="1:256">
      <c r="A1007" s="1896" t="s">
        <v>1877</v>
      </c>
      <c r="B1007" s="522" t="s">
        <v>55</v>
      </c>
      <c r="C1007" s="31">
        <v>80</v>
      </c>
      <c r="D1007" s="713" t="s">
        <v>3</v>
      </c>
      <c r="E1007" s="1582">
        <v>84.53</v>
      </c>
      <c r="F1007" s="1864">
        <f t="shared" si="44"/>
        <v>6762.4</v>
      </c>
      <c r="G1007" s="510"/>
    </row>
    <row r="1008" spans="1:256">
      <c r="A1008" s="1896" t="s">
        <v>1878</v>
      </c>
      <c r="B1008" s="522" t="s">
        <v>475</v>
      </c>
      <c r="C1008" s="31">
        <v>80</v>
      </c>
      <c r="D1008" s="713" t="s">
        <v>3</v>
      </c>
      <c r="E1008" s="1582">
        <v>265.5</v>
      </c>
      <c r="F1008" s="1864">
        <f t="shared" si="44"/>
        <v>21240</v>
      </c>
      <c r="G1008" s="510"/>
    </row>
    <row r="1009" spans="1:256">
      <c r="A1009" s="1896" t="s">
        <v>1879</v>
      </c>
      <c r="B1009" s="522" t="s">
        <v>476</v>
      </c>
      <c r="C1009" s="31">
        <v>80</v>
      </c>
      <c r="D1009" s="713" t="s">
        <v>3</v>
      </c>
      <c r="E1009" s="1582">
        <v>35.4</v>
      </c>
      <c r="F1009" s="1864">
        <f t="shared" si="44"/>
        <v>2832</v>
      </c>
      <c r="G1009" s="510"/>
    </row>
    <row r="1010" spans="1:256">
      <c r="A1010" s="1896" t="s">
        <v>1880</v>
      </c>
      <c r="B1010" s="522" t="s">
        <v>477</v>
      </c>
      <c r="C1010" s="31">
        <v>80</v>
      </c>
      <c r="D1010" s="713" t="s">
        <v>3</v>
      </c>
      <c r="E1010" s="1582">
        <v>17.7</v>
      </c>
      <c r="F1010" s="1864">
        <f t="shared" si="44"/>
        <v>1416</v>
      </c>
      <c r="G1010" s="510"/>
    </row>
    <row r="1011" spans="1:256">
      <c r="A1011" s="1896" t="s">
        <v>1881</v>
      </c>
      <c r="B1011" s="522" t="s">
        <v>478</v>
      </c>
      <c r="C1011" s="31">
        <v>80</v>
      </c>
      <c r="D1011" s="713" t="s">
        <v>3</v>
      </c>
      <c r="E1011" s="1582">
        <v>239.92</v>
      </c>
      <c r="F1011" s="1864">
        <f t="shared" si="44"/>
        <v>19193.599999999999</v>
      </c>
      <c r="G1011" s="510"/>
    </row>
    <row r="1012" spans="1:256">
      <c r="A1012" s="1896" t="s">
        <v>1882</v>
      </c>
      <c r="B1012" s="522" t="s">
        <v>479</v>
      </c>
      <c r="C1012" s="31">
        <v>80</v>
      </c>
      <c r="D1012" s="713" t="s">
        <v>3</v>
      </c>
      <c r="E1012" s="1582">
        <v>200</v>
      </c>
      <c r="F1012" s="1864">
        <f t="shared" si="44"/>
        <v>16000</v>
      </c>
      <c r="G1012" s="510"/>
    </row>
    <row r="1013" spans="1:256">
      <c r="A1013" s="1896" t="s">
        <v>1883</v>
      </c>
      <c r="B1013" s="522" t="s">
        <v>50</v>
      </c>
      <c r="C1013" s="31">
        <v>80</v>
      </c>
      <c r="D1013" s="713" t="s">
        <v>3</v>
      </c>
      <c r="E1013" s="1582">
        <v>15</v>
      </c>
      <c r="F1013" s="1864">
        <f t="shared" si="44"/>
        <v>1200</v>
      </c>
      <c r="G1013" s="510"/>
    </row>
    <row r="1014" spans="1:256">
      <c r="A1014" s="1896" t="s">
        <v>1884</v>
      </c>
      <c r="B1014" s="522" t="s">
        <v>51</v>
      </c>
      <c r="C1014" s="31">
        <v>158.4</v>
      </c>
      <c r="D1014" s="713" t="s">
        <v>2</v>
      </c>
      <c r="E1014" s="1582">
        <v>406.79</v>
      </c>
      <c r="F1014" s="1864">
        <f t="shared" si="44"/>
        <v>64435.54</v>
      </c>
      <c r="G1014" s="510"/>
    </row>
    <row r="1015" spans="1:256">
      <c r="A1015" s="1896" t="s">
        <v>1885</v>
      </c>
      <c r="B1015" s="522" t="s">
        <v>457</v>
      </c>
      <c r="C1015" s="31">
        <v>80</v>
      </c>
      <c r="D1015" s="713" t="s">
        <v>3</v>
      </c>
      <c r="E1015" s="1755">
        <v>280</v>
      </c>
      <c r="F1015" s="1864">
        <f t="shared" si="44"/>
        <v>22400</v>
      </c>
      <c r="G1015" s="510"/>
    </row>
    <row r="1016" spans="1:256">
      <c r="A1016" s="1896" t="s">
        <v>1886</v>
      </c>
      <c r="B1016" s="522" t="s">
        <v>52</v>
      </c>
      <c r="C1016" s="31">
        <v>80</v>
      </c>
      <c r="D1016" s="713" t="s">
        <v>3</v>
      </c>
      <c r="E1016" s="1582">
        <v>200</v>
      </c>
      <c r="F1016" s="1864">
        <f t="shared" si="44"/>
        <v>16000</v>
      </c>
      <c r="G1016" s="510"/>
    </row>
    <row r="1017" spans="1:256" ht="6.75" customHeight="1">
      <c r="A1017" s="1855"/>
      <c r="B1017" s="522"/>
      <c r="C1017" s="31"/>
      <c r="D1017" s="713"/>
      <c r="E1017" s="1582"/>
      <c r="F1017" s="1864"/>
      <c r="G1017" s="510"/>
    </row>
    <row r="1018" spans="1:256">
      <c r="A1018" s="1867">
        <v>8.4</v>
      </c>
      <c r="B1018" s="1804" t="s">
        <v>1871</v>
      </c>
      <c r="C1018" s="808"/>
      <c r="D1018" s="1804"/>
      <c r="E1018" s="1755"/>
      <c r="F1018"/>
      <c r="G1018" s="1754"/>
      <c r="H1018" s="1846"/>
      <c r="I1018" s="1754"/>
      <c r="J1018" s="1846"/>
      <c r="K1018" s="1754"/>
      <c r="L1018" s="1846"/>
      <c r="M1018" s="1803"/>
      <c r="N1018" s="1737"/>
      <c r="O1018" s="808"/>
      <c r="P1018" s="1737"/>
      <c r="Q1018" s="808"/>
      <c r="R1018" s="1737"/>
      <c r="S1018" s="808"/>
      <c r="T1018" s="1737"/>
      <c r="U1018" s="808"/>
      <c r="V1018" s="1737"/>
      <c r="W1018" s="808"/>
      <c r="X1018" s="1737"/>
      <c r="Y1018" s="808"/>
      <c r="Z1018" s="1737"/>
      <c r="AA1018" s="808"/>
      <c r="AB1018" s="1737"/>
      <c r="AC1018" s="808"/>
      <c r="AD1018" s="1737"/>
      <c r="AE1018" s="808"/>
      <c r="AF1018" s="1737"/>
      <c r="AG1018" s="808"/>
      <c r="AH1018" s="1737"/>
      <c r="AI1018" s="808"/>
      <c r="AJ1018" s="1737"/>
      <c r="AK1018" s="808"/>
      <c r="AL1018" s="1737"/>
      <c r="AM1018" s="808"/>
      <c r="AN1018" s="1737"/>
      <c r="AO1018" s="808"/>
      <c r="AP1018" s="1737"/>
      <c r="AQ1018" s="808"/>
      <c r="AR1018" s="1737"/>
      <c r="AS1018" s="808"/>
      <c r="AT1018" s="1737"/>
      <c r="AU1018" s="808"/>
      <c r="AV1018" s="1737"/>
      <c r="AW1018" s="808"/>
      <c r="AX1018" s="1737"/>
      <c r="AY1018" s="808"/>
      <c r="AZ1018" s="1737"/>
      <c r="BA1018" s="808"/>
      <c r="BB1018" s="1737"/>
      <c r="BC1018" s="808"/>
      <c r="BD1018" s="1737"/>
      <c r="BE1018" s="808"/>
      <c r="BF1018" s="1737"/>
      <c r="BG1018" s="808"/>
      <c r="BH1018" s="1737"/>
      <c r="BI1018" s="808"/>
      <c r="BJ1018" s="1737"/>
      <c r="BK1018" s="808"/>
      <c r="BL1018" s="1737"/>
      <c r="BM1018" s="808"/>
      <c r="BN1018" s="1737"/>
      <c r="BO1018" s="808"/>
      <c r="BP1018" s="1737"/>
      <c r="BQ1018" s="808"/>
      <c r="BR1018" s="1737"/>
      <c r="BS1018" s="808"/>
      <c r="BT1018" s="1737"/>
      <c r="BU1018" s="808"/>
      <c r="BV1018" s="1737"/>
      <c r="BW1018" s="808"/>
      <c r="BX1018" s="1737"/>
      <c r="BY1018" s="808"/>
      <c r="BZ1018" s="1737"/>
      <c r="CA1018" s="808"/>
      <c r="CB1018" s="1737"/>
      <c r="CC1018" s="808"/>
      <c r="CD1018" s="1737"/>
      <c r="CE1018" s="808"/>
      <c r="CF1018" s="1737"/>
      <c r="CG1018" s="808"/>
      <c r="CH1018" s="1737"/>
      <c r="CI1018" s="808"/>
      <c r="CJ1018" s="1737"/>
      <c r="CK1018" s="808"/>
      <c r="CL1018" s="1737"/>
      <c r="CM1018" s="808"/>
      <c r="CN1018" s="1737"/>
      <c r="CO1018" s="808"/>
      <c r="CP1018" s="1737"/>
      <c r="CQ1018" s="808"/>
      <c r="CR1018" s="1737"/>
      <c r="CS1018" s="808"/>
      <c r="CT1018" s="1737"/>
      <c r="CU1018" s="808"/>
      <c r="CV1018" s="1737"/>
      <c r="CW1018" s="808"/>
      <c r="CX1018" s="1737"/>
      <c r="CY1018" s="808"/>
      <c r="CZ1018" s="1737"/>
      <c r="DA1018" s="808"/>
      <c r="DB1018" s="1737"/>
      <c r="DC1018" s="808"/>
      <c r="DD1018" s="1737"/>
      <c r="DE1018" s="808"/>
      <c r="DF1018" s="1737"/>
      <c r="DG1018" s="808"/>
      <c r="DH1018" s="1737"/>
      <c r="DI1018" s="808"/>
      <c r="DJ1018" s="1737"/>
      <c r="DK1018" s="808"/>
      <c r="DL1018" s="1737"/>
      <c r="DM1018" s="808"/>
      <c r="DN1018" s="1737"/>
      <c r="DO1018" s="808"/>
      <c r="DP1018" s="1737"/>
      <c r="DQ1018" s="808"/>
      <c r="DR1018" s="1737"/>
      <c r="DS1018" s="808"/>
      <c r="DT1018" s="1737"/>
      <c r="DU1018" s="808"/>
      <c r="DV1018" s="1737"/>
      <c r="DW1018" s="808"/>
      <c r="DX1018" s="1737"/>
      <c r="DY1018" s="808"/>
      <c r="DZ1018" s="1737"/>
      <c r="EA1018" s="808"/>
      <c r="EB1018" s="1737"/>
      <c r="EC1018" s="808"/>
      <c r="ED1018" s="1737"/>
      <c r="EE1018" s="808"/>
      <c r="EF1018" s="1737"/>
      <c r="EG1018" s="808"/>
      <c r="EH1018" s="1737"/>
      <c r="EI1018" s="808"/>
      <c r="EJ1018" s="1737"/>
      <c r="EK1018" s="808"/>
      <c r="EL1018" s="1737"/>
      <c r="EM1018" s="808"/>
      <c r="EN1018" s="1737"/>
      <c r="EO1018" s="808"/>
      <c r="EP1018" s="1737"/>
      <c r="EQ1018" s="808"/>
      <c r="ER1018" s="1737"/>
      <c r="ES1018" s="808"/>
      <c r="ET1018" s="1737"/>
      <c r="EU1018" s="808"/>
      <c r="EV1018" s="1737"/>
      <c r="EW1018" s="808"/>
      <c r="EX1018" s="1737"/>
      <c r="EY1018" s="808"/>
      <c r="EZ1018" s="1737"/>
      <c r="FA1018" s="808"/>
      <c r="FB1018" s="1737"/>
      <c r="FC1018" s="808"/>
      <c r="FD1018" s="1737"/>
      <c r="FE1018" s="808"/>
      <c r="FF1018" s="1737"/>
      <c r="FG1018" s="808"/>
      <c r="FH1018" s="1737"/>
      <c r="FI1018" s="808"/>
      <c r="FJ1018" s="1737"/>
      <c r="FK1018" s="808"/>
      <c r="FL1018" s="1737"/>
      <c r="FM1018" s="808"/>
      <c r="FN1018" s="1737"/>
      <c r="FO1018" s="808"/>
      <c r="FP1018" s="1737"/>
      <c r="FQ1018" s="808"/>
      <c r="FR1018" s="1737"/>
      <c r="FS1018" s="808"/>
      <c r="FT1018" s="1737"/>
      <c r="FU1018" s="808"/>
      <c r="FV1018" s="1737"/>
      <c r="FW1018" s="808"/>
      <c r="FX1018" s="1737"/>
      <c r="FY1018" s="808"/>
      <c r="FZ1018" s="1737"/>
      <c r="GA1018" s="808"/>
      <c r="GB1018" s="1737"/>
      <c r="GC1018" s="808"/>
      <c r="GD1018" s="1737"/>
      <c r="GE1018" s="808"/>
      <c r="GF1018" s="1737"/>
      <c r="GG1018" s="808"/>
      <c r="GH1018" s="1737"/>
      <c r="GI1018" s="808"/>
      <c r="GJ1018" s="1737"/>
      <c r="GK1018" s="808"/>
      <c r="GL1018" s="1737"/>
      <c r="GM1018" s="808"/>
      <c r="GN1018" s="1737"/>
      <c r="GO1018" s="808"/>
      <c r="GP1018" s="1737"/>
      <c r="GQ1018" s="808"/>
      <c r="GR1018" s="1737"/>
      <c r="GS1018" s="808"/>
      <c r="GT1018" s="1737"/>
      <c r="GU1018" s="808"/>
      <c r="GV1018" s="1737"/>
      <c r="GW1018" s="808"/>
      <c r="GX1018" s="1737"/>
      <c r="GY1018" s="808"/>
      <c r="GZ1018" s="1737"/>
      <c r="HA1018" s="808"/>
      <c r="HB1018" s="1737"/>
      <c r="HC1018" s="808"/>
      <c r="HD1018" s="1737"/>
      <c r="HE1018" s="808"/>
      <c r="HF1018" s="1737"/>
      <c r="HG1018" s="808"/>
      <c r="HH1018" s="1737"/>
      <c r="HI1018" s="808"/>
      <c r="HJ1018" s="1737"/>
      <c r="HK1018" s="808"/>
      <c r="HL1018" s="1737"/>
      <c r="HM1018" s="808"/>
      <c r="HN1018" s="1737"/>
      <c r="HO1018" s="808"/>
      <c r="HP1018" s="1737"/>
      <c r="HQ1018" s="808"/>
      <c r="HR1018" s="1737"/>
      <c r="HS1018" s="808"/>
      <c r="HT1018" s="1737"/>
      <c r="HU1018" s="808"/>
      <c r="HV1018" s="1737"/>
      <c r="HW1018" s="808"/>
      <c r="HX1018" s="1737"/>
      <c r="HY1018" s="808"/>
      <c r="HZ1018" s="1737"/>
      <c r="IA1018" s="808"/>
      <c r="IB1018" s="1737"/>
      <c r="IC1018" s="808"/>
      <c r="ID1018" s="1737"/>
      <c r="IE1018" s="808"/>
      <c r="IF1018" s="1737"/>
      <c r="IG1018" s="808"/>
      <c r="IH1018" s="1737"/>
      <c r="II1018" s="808"/>
      <c r="IJ1018" s="1737"/>
      <c r="IK1018" s="808"/>
      <c r="IL1018" s="1737"/>
      <c r="IM1018" s="808"/>
      <c r="IN1018" s="1737"/>
      <c r="IO1018" s="808"/>
      <c r="IP1018" s="1737"/>
      <c r="IQ1018" s="808"/>
      <c r="IR1018" s="1737"/>
      <c r="IS1018" s="808"/>
      <c r="IT1018" s="1737"/>
      <c r="IU1018" s="808"/>
      <c r="IV1018" s="1737"/>
    </row>
    <row r="1019" spans="1:256">
      <c r="A1019" s="1896" t="s">
        <v>649</v>
      </c>
      <c r="B1019" s="522" t="s">
        <v>48</v>
      </c>
      <c r="C1019" s="31">
        <v>20</v>
      </c>
      <c r="D1019" s="713" t="s">
        <v>3</v>
      </c>
      <c r="E1019" s="1582">
        <v>230.1</v>
      </c>
      <c r="F1019" s="1864">
        <f t="shared" ref="F1019:F1032" si="45">ROUND(C1019*E1019,2)</f>
        <v>4602</v>
      </c>
      <c r="G1019" s="510"/>
    </row>
    <row r="1020" spans="1:256" ht="25.5">
      <c r="A1020" s="1896" t="s">
        <v>651</v>
      </c>
      <c r="B1020" s="745" t="s">
        <v>53</v>
      </c>
      <c r="C1020" s="31">
        <v>120</v>
      </c>
      <c r="D1020" s="713" t="s">
        <v>1</v>
      </c>
      <c r="E1020" s="1582">
        <v>28.32</v>
      </c>
      <c r="F1020" s="1864">
        <f t="shared" si="45"/>
        <v>3398.4</v>
      </c>
      <c r="G1020" s="510"/>
    </row>
    <row r="1021" spans="1:256">
      <c r="A1021" s="1896" t="s">
        <v>653</v>
      </c>
      <c r="B1021" s="522" t="s">
        <v>49</v>
      </c>
      <c r="C1021" s="31">
        <v>20</v>
      </c>
      <c r="D1021" s="713" t="s">
        <v>3</v>
      </c>
      <c r="E1021" s="1582">
        <v>53.1</v>
      </c>
      <c r="F1021" s="1864">
        <f t="shared" si="45"/>
        <v>1062</v>
      </c>
      <c r="G1021" s="510"/>
    </row>
    <row r="1022" spans="1:256">
      <c r="A1022" s="1896" t="s">
        <v>655</v>
      </c>
      <c r="B1022" s="522" t="s">
        <v>474</v>
      </c>
      <c r="C1022" s="31">
        <v>20</v>
      </c>
      <c r="D1022" s="713" t="s">
        <v>3</v>
      </c>
      <c r="E1022" s="1582">
        <v>23.6</v>
      </c>
      <c r="F1022" s="1864">
        <f t="shared" si="45"/>
        <v>472</v>
      </c>
      <c r="G1022" s="510"/>
    </row>
    <row r="1023" spans="1:256">
      <c r="A1023" s="1896" t="s">
        <v>657</v>
      </c>
      <c r="B1023" s="522" t="s">
        <v>55</v>
      </c>
      <c r="C1023" s="31">
        <v>20</v>
      </c>
      <c r="D1023" s="713" t="s">
        <v>3</v>
      </c>
      <c r="E1023" s="1582">
        <v>84.53</v>
      </c>
      <c r="F1023" s="1864">
        <f t="shared" si="45"/>
        <v>1690.6</v>
      </c>
      <c r="G1023" s="510"/>
    </row>
    <row r="1024" spans="1:256">
      <c r="A1024" s="1896" t="s">
        <v>659</v>
      </c>
      <c r="B1024" s="522" t="s">
        <v>475</v>
      </c>
      <c r="C1024" s="31">
        <v>20</v>
      </c>
      <c r="D1024" s="713" t="s">
        <v>3</v>
      </c>
      <c r="E1024" s="1582">
        <v>265.5</v>
      </c>
      <c r="F1024" s="1864">
        <f t="shared" si="45"/>
        <v>5310</v>
      </c>
      <c r="G1024" s="510"/>
    </row>
    <row r="1025" spans="1:256">
      <c r="A1025" s="1896" t="s">
        <v>1887</v>
      </c>
      <c r="B1025" s="522" t="s">
        <v>476</v>
      </c>
      <c r="C1025" s="31">
        <v>20</v>
      </c>
      <c r="D1025" s="713" t="s">
        <v>3</v>
      </c>
      <c r="E1025" s="1582">
        <v>35.4</v>
      </c>
      <c r="F1025" s="1864">
        <f t="shared" si="45"/>
        <v>708</v>
      </c>
      <c r="G1025" s="510"/>
    </row>
    <row r="1026" spans="1:256">
      <c r="A1026" s="1896" t="s">
        <v>1888</v>
      </c>
      <c r="B1026" s="522" t="s">
        <v>477</v>
      </c>
      <c r="C1026" s="31">
        <v>20</v>
      </c>
      <c r="D1026" s="713" t="s">
        <v>3</v>
      </c>
      <c r="E1026" s="1582">
        <v>17.7</v>
      </c>
      <c r="F1026" s="1864">
        <f t="shared" si="45"/>
        <v>354</v>
      </c>
      <c r="G1026" s="510"/>
    </row>
    <row r="1027" spans="1:256">
      <c r="A1027" s="1896" t="s">
        <v>1889</v>
      </c>
      <c r="B1027" s="522" t="s">
        <v>478</v>
      </c>
      <c r="C1027" s="31">
        <v>20</v>
      </c>
      <c r="D1027" s="713" t="s">
        <v>3</v>
      </c>
      <c r="E1027" s="1582">
        <v>239.92</v>
      </c>
      <c r="F1027" s="1864">
        <f t="shared" si="45"/>
        <v>4798.3999999999996</v>
      </c>
      <c r="G1027" s="510"/>
    </row>
    <row r="1028" spans="1:256">
      <c r="A1028" s="1896" t="s">
        <v>1890</v>
      </c>
      <c r="B1028" s="522" t="s">
        <v>479</v>
      </c>
      <c r="C1028" s="31">
        <v>20</v>
      </c>
      <c r="D1028" s="713" t="s">
        <v>3</v>
      </c>
      <c r="E1028" s="1582">
        <v>200</v>
      </c>
      <c r="F1028" s="1864">
        <f t="shared" si="45"/>
        <v>4000</v>
      </c>
      <c r="G1028" s="510"/>
    </row>
    <row r="1029" spans="1:256">
      <c r="A1029" s="1896" t="s">
        <v>1891</v>
      </c>
      <c r="B1029" s="522" t="s">
        <v>50</v>
      </c>
      <c r="C1029" s="31">
        <v>20</v>
      </c>
      <c r="D1029" s="713" t="s">
        <v>3</v>
      </c>
      <c r="E1029" s="1582">
        <v>15</v>
      </c>
      <c r="F1029" s="1864">
        <f t="shared" si="45"/>
        <v>300</v>
      </c>
      <c r="G1029" s="510"/>
    </row>
    <row r="1030" spans="1:256">
      <c r="A1030" s="1896" t="s">
        <v>1892</v>
      </c>
      <c r="B1030" s="522" t="s">
        <v>51</v>
      </c>
      <c r="C1030" s="31">
        <v>39.6</v>
      </c>
      <c r="D1030" s="713" t="s">
        <v>2</v>
      </c>
      <c r="E1030" s="1582">
        <v>406.79</v>
      </c>
      <c r="F1030" s="1864">
        <f t="shared" si="45"/>
        <v>16108.88</v>
      </c>
      <c r="G1030" s="510"/>
    </row>
    <row r="1031" spans="1:256">
      <c r="A1031" s="1896" t="s">
        <v>1893</v>
      </c>
      <c r="B1031" s="522" t="s">
        <v>457</v>
      </c>
      <c r="C1031" s="31">
        <v>20</v>
      </c>
      <c r="D1031" s="713" t="s">
        <v>3</v>
      </c>
      <c r="E1031" s="1755">
        <v>280</v>
      </c>
      <c r="F1031" s="1864">
        <f t="shared" si="45"/>
        <v>5600</v>
      </c>
      <c r="G1031" s="510"/>
    </row>
    <row r="1032" spans="1:256">
      <c r="A1032" s="1896" t="s">
        <v>1894</v>
      </c>
      <c r="B1032" s="522" t="s">
        <v>52</v>
      </c>
      <c r="C1032" s="31">
        <v>20</v>
      </c>
      <c r="D1032" s="713" t="s">
        <v>3</v>
      </c>
      <c r="E1032" s="1582">
        <v>200</v>
      </c>
      <c r="F1032" s="1864">
        <f t="shared" si="45"/>
        <v>4000</v>
      </c>
      <c r="G1032" s="510"/>
    </row>
    <row r="1033" spans="1:256" ht="5.25" customHeight="1">
      <c r="A1033" s="1860"/>
      <c r="B1033" s="522"/>
      <c r="C1033" s="31"/>
      <c r="D1033" s="713"/>
      <c r="E1033" s="1582"/>
      <c r="F1033" s="1864"/>
      <c r="G1033" s="510"/>
    </row>
    <row r="1034" spans="1:256">
      <c r="A1034" s="1867">
        <v>9</v>
      </c>
      <c r="B1034" s="1804" t="s">
        <v>59</v>
      </c>
      <c r="C1034" s="808"/>
      <c r="D1034" s="1804"/>
      <c r="E1034" s="1755"/>
      <c r="F1034">
        <f>+ROUND(C1034*E1034,2)</f>
        <v>0</v>
      </c>
      <c r="G1034" s="1754"/>
      <c r="H1034" s="1846"/>
      <c r="I1034" s="1754"/>
      <c r="J1034" s="1846"/>
      <c r="K1034" s="1754"/>
      <c r="L1034" s="1846"/>
      <c r="M1034" s="1803"/>
      <c r="N1034" s="1737"/>
      <c r="O1034" s="808"/>
      <c r="P1034" s="1737"/>
      <c r="Q1034" s="808"/>
      <c r="R1034" s="1737"/>
      <c r="S1034" s="808"/>
      <c r="T1034" s="1737"/>
      <c r="U1034" s="808"/>
      <c r="V1034" s="1737"/>
      <c r="W1034" s="808"/>
      <c r="X1034" s="1737"/>
      <c r="Y1034" s="808"/>
      <c r="Z1034" s="1737"/>
      <c r="AA1034" s="808"/>
      <c r="AB1034" s="1737"/>
      <c r="AC1034" s="808"/>
      <c r="AD1034" s="1737"/>
      <c r="AE1034" s="808"/>
      <c r="AF1034" s="1737"/>
      <c r="AG1034" s="808"/>
      <c r="AH1034" s="1737"/>
      <c r="AI1034" s="808"/>
      <c r="AJ1034" s="1737"/>
      <c r="AK1034" s="808"/>
      <c r="AL1034" s="1737"/>
      <c r="AM1034" s="808"/>
      <c r="AN1034" s="1737"/>
      <c r="AO1034" s="808"/>
      <c r="AP1034" s="1737"/>
      <c r="AQ1034" s="808"/>
      <c r="AR1034" s="1737"/>
      <c r="AS1034" s="808"/>
      <c r="AT1034" s="1737"/>
      <c r="AU1034" s="808"/>
      <c r="AV1034" s="1737"/>
      <c r="AW1034" s="808"/>
      <c r="AX1034" s="1737"/>
      <c r="AY1034" s="808"/>
      <c r="AZ1034" s="1737"/>
      <c r="BA1034" s="808"/>
      <c r="BB1034" s="1737"/>
      <c r="BC1034" s="808"/>
      <c r="BD1034" s="1737"/>
      <c r="BE1034" s="808"/>
      <c r="BF1034" s="1737"/>
      <c r="BG1034" s="808"/>
      <c r="BH1034" s="1737"/>
      <c r="BI1034" s="808"/>
      <c r="BJ1034" s="1737"/>
      <c r="BK1034" s="808"/>
      <c r="BL1034" s="1737"/>
      <c r="BM1034" s="808"/>
      <c r="BN1034" s="1737"/>
      <c r="BO1034" s="808"/>
      <c r="BP1034" s="1737"/>
      <c r="BQ1034" s="808"/>
      <c r="BR1034" s="1737"/>
      <c r="BS1034" s="808"/>
      <c r="BT1034" s="1737"/>
      <c r="BU1034" s="808"/>
      <c r="BV1034" s="1737"/>
      <c r="BW1034" s="808"/>
      <c r="BX1034" s="1737"/>
      <c r="BY1034" s="808"/>
      <c r="BZ1034" s="1737"/>
      <c r="CA1034" s="808"/>
      <c r="CB1034" s="1737"/>
      <c r="CC1034" s="808"/>
      <c r="CD1034" s="1737"/>
      <c r="CE1034" s="808"/>
      <c r="CF1034" s="1737"/>
      <c r="CG1034" s="808"/>
      <c r="CH1034" s="1737"/>
      <c r="CI1034" s="808"/>
      <c r="CJ1034" s="1737"/>
      <c r="CK1034" s="808"/>
      <c r="CL1034" s="1737"/>
      <c r="CM1034" s="808"/>
      <c r="CN1034" s="1737"/>
      <c r="CO1034" s="808"/>
      <c r="CP1034" s="1737"/>
      <c r="CQ1034" s="808"/>
      <c r="CR1034" s="1737"/>
      <c r="CS1034" s="808"/>
      <c r="CT1034" s="1737"/>
      <c r="CU1034" s="808"/>
      <c r="CV1034" s="1737"/>
      <c r="CW1034" s="808"/>
      <c r="CX1034" s="1737"/>
      <c r="CY1034" s="808"/>
      <c r="CZ1034" s="1737"/>
      <c r="DA1034" s="808"/>
      <c r="DB1034" s="1737"/>
      <c r="DC1034" s="808"/>
      <c r="DD1034" s="1737"/>
      <c r="DE1034" s="808"/>
      <c r="DF1034" s="1737"/>
      <c r="DG1034" s="808"/>
      <c r="DH1034" s="1737"/>
      <c r="DI1034" s="808"/>
      <c r="DJ1034" s="1737"/>
      <c r="DK1034" s="808"/>
      <c r="DL1034" s="1737"/>
      <c r="DM1034" s="808"/>
      <c r="DN1034" s="1737"/>
      <c r="DO1034" s="808"/>
      <c r="DP1034" s="1737"/>
      <c r="DQ1034" s="808"/>
      <c r="DR1034" s="1737"/>
      <c r="DS1034" s="808"/>
      <c r="DT1034" s="1737"/>
      <c r="DU1034" s="808"/>
      <c r="DV1034" s="1737"/>
      <c r="DW1034" s="808"/>
      <c r="DX1034" s="1737"/>
      <c r="DY1034" s="808"/>
      <c r="DZ1034" s="1737"/>
      <c r="EA1034" s="808"/>
      <c r="EB1034" s="1737"/>
      <c r="EC1034" s="808"/>
      <c r="ED1034" s="1737"/>
      <c r="EE1034" s="808"/>
      <c r="EF1034" s="1737"/>
      <c r="EG1034" s="808"/>
      <c r="EH1034" s="1737"/>
      <c r="EI1034" s="808"/>
      <c r="EJ1034" s="1737"/>
      <c r="EK1034" s="808"/>
      <c r="EL1034" s="1737"/>
      <c r="EM1034" s="808"/>
      <c r="EN1034" s="1737"/>
      <c r="EO1034" s="808"/>
      <c r="EP1034" s="1737"/>
      <c r="EQ1034" s="808"/>
      <c r="ER1034" s="1737"/>
      <c r="ES1034" s="808"/>
      <c r="ET1034" s="1737"/>
      <c r="EU1034" s="808"/>
      <c r="EV1034" s="1737"/>
      <c r="EW1034" s="808"/>
      <c r="EX1034" s="1737"/>
      <c r="EY1034" s="808"/>
      <c r="EZ1034" s="1737"/>
      <c r="FA1034" s="808"/>
      <c r="FB1034" s="1737"/>
      <c r="FC1034" s="808"/>
      <c r="FD1034" s="1737"/>
      <c r="FE1034" s="808"/>
      <c r="FF1034" s="1737"/>
      <c r="FG1034" s="808"/>
      <c r="FH1034" s="1737"/>
      <c r="FI1034" s="808"/>
      <c r="FJ1034" s="1737"/>
      <c r="FK1034" s="808"/>
      <c r="FL1034" s="1737"/>
      <c r="FM1034" s="808"/>
      <c r="FN1034" s="1737"/>
      <c r="FO1034" s="808"/>
      <c r="FP1034" s="1737"/>
      <c r="FQ1034" s="808"/>
      <c r="FR1034" s="1737"/>
      <c r="FS1034" s="808"/>
      <c r="FT1034" s="1737"/>
      <c r="FU1034" s="808"/>
      <c r="FV1034" s="1737"/>
      <c r="FW1034" s="808"/>
      <c r="FX1034" s="1737"/>
      <c r="FY1034" s="808"/>
      <c r="FZ1034" s="1737"/>
      <c r="GA1034" s="808"/>
      <c r="GB1034" s="1737"/>
      <c r="GC1034" s="808"/>
      <c r="GD1034" s="1737"/>
      <c r="GE1034" s="808"/>
      <c r="GF1034" s="1737"/>
      <c r="GG1034" s="808"/>
      <c r="GH1034" s="1737"/>
      <c r="GI1034" s="808"/>
      <c r="GJ1034" s="1737"/>
      <c r="GK1034" s="808"/>
      <c r="GL1034" s="1737"/>
      <c r="GM1034" s="808"/>
      <c r="GN1034" s="1737"/>
      <c r="GO1034" s="808"/>
      <c r="GP1034" s="1737"/>
      <c r="GQ1034" s="808"/>
      <c r="GR1034" s="1737"/>
      <c r="GS1034" s="808"/>
      <c r="GT1034" s="1737"/>
      <c r="GU1034" s="808"/>
      <c r="GV1034" s="1737"/>
      <c r="GW1034" s="808"/>
      <c r="GX1034" s="1737"/>
      <c r="GY1034" s="808"/>
      <c r="GZ1034" s="1737"/>
      <c r="HA1034" s="808"/>
      <c r="HB1034" s="1737"/>
      <c r="HC1034" s="808"/>
      <c r="HD1034" s="1737"/>
      <c r="HE1034" s="808"/>
      <c r="HF1034" s="1737"/>
      <c r="HG1034" s="808"/>
      <c r="HH1034" s="1737"/>
      <c r="HI1034" s="808"/>
      <c r="HJ1034" s="1737"/>
      <c r="HK1034" s="808"/>
      <c r="HL1034" s="1737"/>
      <c r="HM1034" s="808"/>
      <c r="HN1034" s="1737"/>
      <c r="HO1034" s="808"/>
      <c r="HP1034" s="1737"/>
      <c r="HQ1034" s="808"/>
      <c r="HR1034" s="1737"/>
      <c r="HS1034" s="808"/>
      <c r="HT1034" s="1737"/>
      <c r="HU1034" s="808"/>
      <c r="HV1034" s="1737"/>
      <c r="HW1034" s="808"/>
      <c r="HX1034" s="1737"/>
      <c r="HY1034" s="808"/>
      <c r="HZ1034" s="1737"/>
      <c r="IA1034" s="808"/>
      <c r="IB1034" s="1737"/>
      <c r="IC1034" s="808"/>
      <c r="ID1034" s="1737"/>
      <c r="IE1034" s="808"/>
      <c r="IF1034" s="1737"/>
      <c r="IG1034" s="808"/>
      <c r="IH1034" s="1737"/>
      <c r="II1034" s="808"/>
      <c r="IJ1034" s="1737"/>
      <c r="IK1034" s="808"/>
      <c r="IL1034" s="1737"/>
      <c r="IM1034" s="808"/>
      <c r="IN1034" s="1737"/>
      <c r="IO1034" s="808"/>
      <c r="IP1034" s="1737"/>
      <c r="IQ1034" s="808"/>
      <c r="IR1034" s="1737"/>
      <c r="IS1034" s="808"/>
      <c r="IT1034" s="1737"/>
      <c r="IU1034" s="808"/>
      <c r="IV1034" s="1737"/>
    </row>
    <row r="1035" spans="1:256">
      <c r="A1035" s="1860">
        <v>9.1</v>
      </c>
      <c r="B1035" s="28" t="s">
        <v>2332</v>
      </c>
      <c r="C1035" s="31">
        <v>917.08</v>
      </c>
      <c r="D1035" s="713" t="s">
        <v>1</v>
      </c>
      <c r="E1035" s="31">
        <v>16.760000000000002</v>
      </c>
      <c r="F1035" s="1864">
        <f>+ROUND(C1035*E1035,2)</f>
        <v>15370.26</v>
      </c>
      <c r="G1035" s="510"/>
    </row>
    <row r="1036" spans="1:256">
      <c r="A1036" s="1860">
        <v>9.1999999999999993</v>
      </c>
      <c r="B1036" s="28" t="s">
        <v>2333</v>
      </c>
      <c r="C1036" s="31">
        <v>2740.15</v>
      </c>
      <c r="D1036" s="713" t="s">
        <v>1</v>
      </c>
      <c r="E1036" s="31">
        <v>10.01</v>
      </c>
      <c r="F1036" s="1864">
        <f>+ROUND(C1036*E1036,2)</f>
        <v>27428.9</v>
      </c>
      <c r="G1036" s="510"/>
    </row>
    <row r="1037" spans="1:256">
      <c r="A1037" s="1855">
        <v>9.3000000000000007</v>
      </c>
      <c r="B1037" s="28" t="s">
        <v>2334</v>
      </c>
      <c r="C1037" s="31">
        <v>2356.14</v>
      </c>
      <c r="D1037" s="713" t="s">
        <v>1</v>
      </c>
      <c r="E1037" s="31">
        <v>7.63</v>
      </c>
      <c r="F1037" s="1864">
        <f>+ROUND(C1037*E1037,2)</f>
        <v>17977.349999999999</v>
      </c>
      <c r="G1037" s="510"/>
    </row>
    <row r="1038" spans="1:256" ht="3.75" customHeight="1">
      <c r="A1038" s="1860"/>
      <c r="B1038" s="18"/>
      <c r="C1038" s="31"/>
      <c r="D1038" s="713"/>
      <c r="E1038" s="714"/>
      <c r="F1038" s="1864"/>
      <c r="G1038" s="510"/>
    </row>
    <row r="1039" spans="1:256" ht="38.25">
      <c r="A1039" s="1860">
        <v>10</v>
      </c>
      <c r="B1039" s="1810" t="s">
        <v>520</v>
      </c>
      <c r="C1039" s="1794">
        <v>6092.32</v>
      </c>
      <c r="D1039" s="1794" t="s">
        <v>1</v>
      </c>
      <c r="E1039" s="1794">
        <v>50.15</v>
      </c>
      <c r="F1039" s="1856">
        <f>ROUND(C1039*E1039,2)</f>
        <v>305529.84999999998</v>
      </c>
      <c r="G1039" s="510"/>
    </row>
    <row r="1040" spans="1:256" ht="5.25" customHeight="1">
      <c r="A1040" s="1860"/>
      <c r="B1040" s="1794"/>
      <c r="C1040" s="31"/>
      <c r="D1040" s="713"/>
      <c r="E1040" s="31"/>
      <c r="F1040" s="1864"/>
      <c r="G1040" s="510"/>
    </row>
    <row r="1041" spans="1:256">
      <c r="A1041" s="1860">
        <v>11</v>
      </c>
      <c r="B1041" s="1794" t="s">
        <v>462</v>
      </c>
      <c r="C1041" s="31">
        <v>6092.32</v>
      </c>
      <c r="D1041" s="713" t="s">
        <v>1</v>
      </c>
      <c r="E1041" s="31">
        <v>21</v>
      </c>
      <c r="F1041" s="1864">
        <f>ROUND(C1041*E1041,2)</f>
        <v>127938.72</v>
      </c>
      <c r="G1041" s="510"/>
    </row>
    <row r="1042" spans="1:256" s="1539" customFormat="1" ht="16.5" customHeight="1">
      <c r="A1042"/>
      <c r="B1042" s="1835" t="s">
        <v>974</v>
      </c>
      <c r="C1042" s="1835"/>
      <c r="D1042" s="1835"/>
      <c r="E1042" s="1836"/>
      <c r="F1042">
        <f>SUM(F923:F1041)</f>
        <v>6887368.9000000004</v>
      </c>
      <c r="G1042" s="1741"/>
    </row>
    <row r="1043" spans="1:256">
      <c r="A1043" s="1860"/>
      <c r="B1043" s="28"/>
      <c r="C1043" s="31"/>
      <c r="D1043" s="713"/>
      <c r="E1043" s="31"/>
      <c r="F1043" s="1864"/>
      <c r="G1043" s="510"/>
    </row>
    <row r="1044" spans="1:256" ht="38.25">
      <c r="A1044" t="s">
        <v>12</v>
      </c>
      <c r="B1044" s="1807" t="s">
        <v>2253</v>
      </c>
      <c r="C1044" s="808"/>
      <c r="D1044" s="1804"/>
      <c r="E1044" s="1755"/>
      <c r="F1044"/>
      <c r="G1044" s="1754"/>
      <c r="H1044" s="1846"/>
      <c r="I1044" s="1754"/>
      <c r="J1044" s="1846"/>
      <c r="K1044" s="1754"/>
      <c r="L1044" s="1846"/>
      <c r="M1044" s="1803"/>
      <c r="N1044" s="1737"/>
      <c r="O1044" s="808"/>
      <c r="P1044" s="1737"/>
      <c r="Q1044" s="808"/>
      <c r="R1044" s="1737"/>
      <c r="S1044" s="808"/>
      <c r="T1044" s="1737"/>
      <c r="U1044" s="808"/>
      <c r="V1044" s="1737"/>
      <c r="W1044" s="808"/>
      <c r="X1044" s="1737"/>
      <c r="Y1044" s="808"/>
      <c r="Z1044" s="1737"/>
      <c r="AA1044" s="808"/>
      <c r="AB1044" s="1737"/>
      <c r="AC1044" s="808"/>
      <c r="AD1044" s="1737"/>
      <c r="AE1044" s="808"/>
      <c r="AF1044" s="1737"/>
      <c r="AG1044" s="808"/>
      <c r="AH1044" s="1737"/>
      <c r="AI1044" s="808"/>
      <c r="AJ1044" s="1737"/>
      <c r="AK1044" s="808"/>
      <c r="AL1044" s="1737"/>
      <c r="AM1044" s="808"/>
      <c r="AN1044" s="1737"/>
      <c r="AO1044" s="808"/>
      <c r="AP1044" s="1737"/>
      <c r="AQ1044" s="808"/>
      <c r="AR1044" s="1737"/>
      <c r="AS1044" s="808"/>
      <c r="AT1044" s="1737"/>
      <c r="AU1044" s="808"/>
      <c r="AV1044" s="1737"/>
      <c r="AW1044" s="808"/>
      <c r="AX1044" s="1737"/>
      <c r="AY1044" s="808"/>
      <c r="AZ1044" s="1737"/>
      <c r="BA1044" s="808"/>
      <c r="BB1044" s="1737"/>
      <c r="BC1044" s="808"/>
      <c r="BD1044" s="1737"/>
      <c r="BE1044" s="808"/>
      <c r="BF1044" s="1737"/>
      <c r="BG1044" s="808"/>
      <c r="BH1044" s="1737"/>
      <c r="BI1044" s="808"/>
      <c r="BJ1044" s="1737"/>
      <c r="BK1044" s="808"/>
      <c r="BL1044" s="1737"/>
      <c r="BM1044" s="808"/>
      <c r="BN1044" s="1737"/>
      <c r="BO1044" s="808"/>
      <c r="BP1044" s="1737"/>
      <c r="BQ1044" s="808"/>
      <c r="BR1044" s="1737"/>
      <c r="BS1044" s="808"/>
      <c r="BT1044" s="1737"/>
      <c r="BU1044" s="808"/>
      <c r="BV1044" s="1737"/>
      <c r="BW1044" s="808"/>
      <c r="BX1044" s="1737"/>
      <c r="BY1044" s="808"/>
      <c r="BZ1044" s="1737"/>
      <c r="CA1044" s="808"/>
      <c r="CB1044" s="1737"/>
      <c r="CC1044" s="808"/>
      <c r="CD1044" s="1737"/>
      <c r="CE1044" s="808"/>
      <c r="CF1044" s="1737"/>
      <c r="CG1044" s="808"/>
      <c r="CH1044" s="1737"/>
      <c r="CI1044" s="808"/>
      <c r="CJ1044" s="1737"/>
      <c r="CK1044" s="808"/>
      <c r="CL1044" s="1737"/>
      <c r="CM1044" s="808"/>
      <c r="CN1044" s="1737"/>
      <c r="CO1044" s="808"/>
      <c r="CP1044" s="1737"/>
      <c r="CQ1044" s="808"/>
      <c r="CR1044" s="1737"/>
      <c r="CS1044" s="808"/>
      <c r="CT1044" s="1737"/>
      <c r="CU1044" s="808"/>
      <c r="CV1044" s="1737"/>
      <c r="CW1044" s="808"/>
      <c r="CX1044" s="1737"/>
      <c r="CY1044" s="808"/>
      <c r="CZ1044" s="1737"/>
      <c r="DA1044" s="808"/>
      <c r="DB1044" s="1737"/>
      <c r="DC1044" s="808"/>
      <c r="DD1044" s="1737"/>
      <c r="DE1044" s="808"/>
      <c r="DF1044" s="1737"/>
      <c r="DG1044" s="808"/>
      <c r="DH1044" s="1737"/>
      <c r="DI1044" s="808"/>
      <c r="DJ1044" s="1737"/>
      <c r="DK1044" s="808"/>
      <c r="DL1044" s="1737"/>
      <c r="DM1044" s="808"/>
      <c r="DN1044" s="1737"/>
      <c r="DO1044" s="808"/>
      <c r="DP1044" s="1737"/>
      <c r="DQ1044" s="808"/>
      <c r="DR1044" s="1737"/>
      <c r="DS1044" s="808"/>
      <c r="DT1044" s="1737"/>
      <c r="DU1044" s="808"/>
      <c r="DV1044" s="1737"/>
      <c r="DW1044" s="808"/>
      <c r="DX1044" s="1737"/>
      <c r="DY1044" s="808"/>
      <c r="DZ1044" s="1737"/>
      <c r="EA1044" s="808"/>
      <c r="EB1044" s="1737"/>
      <c r="EC1044" s="808"/>
      <c r="ED1044" s="1737"/>
      <c r="EE1044" s="808"/>
      <c r="EF1044" s="1737"/>
      <c r="EG1044" s="808"/>
      <c r="EH1044" s="1737"/>
      <c r="EI1044" s="808"/>
      <c r="EJ1044" s="1737"/>
      <c r="EK1044" s="808"/>
      <c r="EL1044" s="1737"/>
      <c r="EM1044" s="808"/>
      <c r="EN1044" s="1737"/>
      <c r="EO1044" s="808"/>
      <c r="EP1044" s="1737"/>
      <c r="EQ1044" s="808"/>
      <c r="ER1044" s="1737"/>
      <c r="ES1044" s="808"/>
      <c r="ET1044" s="1737"/>
      <c r="EU1044" s="808"/>
      <c r="EV1044" s="1737"/>
      <c r="EW1044" s="808"/>
      <c r="EX1044" s="1737"/>
      <c r="EY1044" s="808"/>
      <c r="EZ1044" s="1737"/>
      <c r="FA1044" s="808"/>
      <c r="FB1044" s="1737"/>
      <c r="FC1044" s="808"/>
      <c r="FD1044" s="1737"/>
      <c r="FE1044" s="808"/>
      <c r="FF1044" s="1737"/>
      <c r="FG1044" s="808"/>
      <c r="FH1044" s="1737"/>
      <c r="FI1044" s="808"/>
      <c r="FJ1044" s="1737"/>
      <c r="FK1044" s="808"/>
      <c r="FL1044" s="1737"/>
      <c r="FM1044" s="808"/>
      <c r="FN1044" s="1737"/>
      <c r="FO1044" s="808"/>
      <c r="FP1044" s="1737"/>
      <c r="FQ1044" s="808"/>
      <c r="FR1044" s="1737"/>
      <c r="FS1044" s="808"/>
      <c r="FT1044" s="1737"/>
      <c r="FU1044" s="808"/>
      <c r="FV1044" s="1737"/>
      <c r="FW1044" s="808"/>
      <c r="FX1044" s="1737"/>
      <c r="FY1044" s="808"/>
      <c r="FZ1044" s="1737"/>
      <c r="GA1044" s="808"/>
      <c r="GB1044" s="1737"/>
      <c r="GC1044" s="808"/>
      <c r="GD1044" s="1737"/>
      <c r="GE1044" s="808"/>
      <c r="GF1044" s="1737"/>
      <c r="GG1044" s="808"/>
      <c r="GH1044" s="1737"/>
      <c r="GI1044" s="808"/>
      <c r="GJ1044" s="1737"/>
      <c r="GK1044" s="808"/>
      <c r="GL1044" s="1737"/>
      <c r="GM1044" s="808"/>
      <c r="GN1044" s="1737"/>
      <c r="GO1044" s="808"/>
      <c r="GP1044" s="1737"/>
      <c r="GQ1044" s="808"/>
      <c r="GR1044" s="1737"/>
      <c r="GS1044" s="808"/>
      <c r="GT1044" s="1737"/>
      <c r="GU1044" s="808"/>
      <c r="GV1044" s="1737"/>
      <c r="GW1044" s="808"/>
      <c r="GX1044" s="1737"/>
      <c r="GY1044" s="808"/>
      <c r="GZ1044" s="1737"/>
      <c r="HA1044" s="808"/>
      <c r="HB1044" s="1737"/>
      <c r="HC1044" s="808"/>
      <c r="HD1044" s="1737"/>
      <c r="HE1044" s="808"/>
      <c r="HF1044" s="1737"/>
      <c r="HG1044" s="808"/>
      <c r="HH1044" s="1737"/>
      <c r="HI1044" s="808"/>
      <c r="HJ1044" s="1737"/>
      <c r="HK1044" s="808"/>
      <c r="HL1044" s="1737"/>
      <c r="HM1044" s="808"/>
      <c r="HN1044" s="1737"/>
      <c r="HO1044" s="808"/>
      <c r="HP1044" s="1737"/>
      <c r="HQ1044" s="808"/>
      <c r="HR1044" s="1737"/>
      <c r="HS1044" s="808"/>
      <c r="HT1044" s="1737"/>
      <c r="HU1044" s="808"/>
      <c r="HV1044" s="1737"/>
      <c r="HW1044" s="808"/>
      <c r="HX1044" s="1737"/>
      <c r="HY1044" s="808"/>
      <c r="HZ1044" s="1737"/>
      <c r="IA1044" s="808"/>
      <c r="IB1044" s="1737"/>
      <c r="IC1044" s="808"/>
      <c r="ID1044" s="1737"/>
      <c r="IE1044" s="808"/>
      <c r="IF1044" s="1737"/>
      <c r="IG1044" s="808"/>
      <c r="IH1044" s="1737"/>
      <c r="II1044" s="808"/>
      <c r="IJ1044" s="1737"/>
      <c r="IK1044" s="808"/>
      <c r="IL1044" s="1737"/>
      <c r="IM1044" s="808"/>
      <c r="IN1044" s="1737"/>
      <c r="IO1044" s="808"/>
      <c r="IP1044" s="1737"/>
      <c r="IQ1044" s="808"/>
      <c r="IR1044" s="1737"/>
      <c r="IS1044" s="808"/>
      <c r="IT1044" s="1737"/>
      <c r="IU1044" s="808"/>
      <c r="IV1044" s="1737"/>
    </row>
    <row r="1045" spans="1:256">
      <c r="A1045" s="1859"/>
      <c r="B1045" s="51"/>
      <c r="C1045" s="31"/>
      <c r="D1045" s="713"/>
      <c r="E1045" s="31"/>
      <c r="F1045" s="1864"/>
      <c r="G1045" s="510"/>
    </row>
    <row r="1046" spans="1:256">
      <c r="A1046" s="1860">
        <v>1</v>
      </c>
      <c r="B1046" s="28" t="s">
        <v>37</v>
      </c>
      <c r="C1046" s="31">
        <v>4812</v>
      </c>
      <c r="D1046" s="713" t="s">
        <v>1</v>
      </c>
      <c r="E1046" s="31">
        <v>15</v>
      </c>
      <c r="F1046" s="1864">
        <f t="shared" ref="F1046:F1063" si="46">+ROUND(C1046*E1046,2)</f>
        <v>72180</v>
      </c>
      <c r="G1046" s="510"/>
    </row>
    <row r="1047" spans="1:256">
      <c r="A1047" s="1860"/>
      <c r="B1047" s="28"/>
      <c r="C1047" s="31"/>
      <c r="D1047" s="713"/>
      <c r="E1047" s="31"/>
      <c r="F1047" s="1864"/>
      <c r="G1047" s="510"/>
    </row>
    <row r="1048" spans="1:256">
      <c r="A1048" s="1861">
        <v>2</v>
      </c>
      <c r="B1048" s="711" t="s">
        <v>14</v>
      </c>
      <c r="C1048" s="31"/>
      <c r="D1048" s="713"/>
      <c r="E1048" s="714"/>
      <c r="F1048" s="1864">
        <f t="shared" si="46"/>
        <v>0</v>
      </c>
      <c r="G1048" s="510"/>
    </row>
    <row r="1049" spans="1:256">
      <c r="A1049" s="1863" t="s">
        <v>1182</v>
      </c>
      <c r="B1049" s="1201" t="s">
        <v>2314</v>
      </c>
      <c r="C1049" s="31">
        <v>4807.1899999999996</v>
      </c>
      <c r="D1049" s="713" t="s">
        <v>2</v>
      </c>
      <c r="E1049" s="714">
        <v>154.53</v>
      </c>
      <c r="F1049" s="1864">
        <f t="shared" si="46"/>
        <v>742855.07</v>
      </c>
      <c r="G1049" s="510"/>
    </row>
    <row r="1050" spans="1:256" ht="25.5">
      <c r="A1050" s="1863" t="s">
        <v>1183</v>
      </c>
      <c r="B1050" s="1201" t="s">
        <v>2315</v>
      </c>
      <c r="C1050" s="31">
        <v>534.13</v>
      </c>
      <c r="D1050" s="713" t="s">
        <v>2</v>
      </c>
      <c r="E1050" s="714">
        <v>1125.8</v>
      </c>
      <c r="F1050" s="1864">
        <f t="shared" si="46"/>
        <v>601323.55000000005</v>
      </c>
      <c r="G1050" s="510"/>
    </row>
    <row r="1051" spans="1:256">
      <c r="A1051" s="1863"/>
      <c r="B1051" s="1201"/>
      <c r="C1051" s="31"/>
      <c r="D1051" s="713"/>
      <c r="E1051" s="714"/>
      <c r="F1051" s="1864"/>
      <c r="G1051" s="510"/>
    </row>
    <row r="1052" spans="1:256">
      <c r="A1052" s="1860">
        <v>2.2000000000000002</v>
      </c>
      <c r="B1052" s="716" t="s">
        <v>4</v>
      </c>
      <c r="C1052" s="31">
        <v>409.02</v>
      </c>
      <c r="D1052" s="713" t="s">
        <v>2</v>
      </c>
      <c r="E1052" s="714">
        <v>1108.8900000000001</v>
      </c>
      <c r="F1052" s="1864">
        <f t="shared" si="46"/>
        <v>453558.19</v>
      </c>
      <c r="G1052" s="510"/>
    </row>
    <row r="1053" spans="1:256">
      <c r="A1053" s="1863">
        <v>2.2999999999999998</v>
      </c>
      <c r="B1053" s="1201" t="s">
        <v>1181</v>
      </c>
      <c r="C1053" s="31">
        <v>4090.2</v>
      </c>
      <c r="D1053" s="713" t="s">
        <v>11</v>
      </c>
      <c r="E1053" s="714">
        <v>28.5</v>
      </c>
      <c r="F1053" s="1864">
        <f>+ROUND(C1053*E1053,2)</f>
        <v>116570.7</v>
      </c>
      <c r="G1053" s="510"/>
    </row>
    <row r="1054" spans="1:256" ht="38.25">
      <c r="A1054" s="1860">
        <v>2.4</v>
      </c>
      <c r="B1054" s="717" t="s">
        <v>483</v>
      </c>
      <c r="C1054" s="31">
        <v>667.67</v>
      </c>
      <c r="D1054" s="713" t="s">
        <v>2</v>
      </c>
      <c r="E1054" s="714">
        <v>668.95</v>
      </c>
      <c r="F1054" s="1864">
        <f t="shared" si="46"/>
        <v>446637.85</v>
      </c>
      <c r="G1054" s="510"/>
    </row>
    <row r="1055" spans="1:256" ht="25.5">
      <c r="A1055" s="1860">
        <v>2.5</v>
      </c>
      <c r="B1055" s="18" t="s">
        <v>409</v>
      </c>
      <c r="C1055" s="31">
        <v>4351.97</v>
      </c>
      <c r="D1055" s="713" t="s">
        <v>2</v>
      </c>
      <c r="E1055" s="714">
        <v>183.68</v>
      </c>
      <c r="F1055" s="1864">
        <f t="shared" si="46"/>
        <v>799369.85</v>
      </c>
      <c r="G1055" s="510"/>
    </row>
    <row r="1056" spans="1:256" ht="25.5">
      <c r="A1056" s="1860">
        <v>2.6</v>
      </c>
      <c r="B1056" s="18" t="s">
        <v>1580</v>
      </c>
      <c r="C1056" s="31">
        <v>1935</v>
      </c>
      <c r="D1056" s="713" t="s">
        <v>2</v>
      </c>
      <c r="E1056" s="714">
        <v>210</v>
      </c>
      <c r="F1056" s="1864">
        <f t="shared" si="46"/>
        <v>406350</v>
      </c>
      <c r="G1056" s="510"/>
    </row>
    <row r="1057" spans="1:256">
      <c r="A1057" s="1860"/>
      <c r="B1057" s="28"/>
      <c r="C1057" s="31"/>
      <c r="D1057" s="713"/>
      <c r="E1057" s="31"/>
      <c r="F1057" s="1864">
        <f t="shared" si="46"/>
        <v>0</v>
      </c>
      <c r="G1057" s="510"/>
    </row>
    <row r="1058" spans="1:256">
      <c r="A1058" s="1861">
        <v>3</v>
      </c>
      <c r="B1058" s="711" t="s">
        <v>25</v>
      </c>
      <c r="C1058" s="31"/>
      <c r="D1058" s="713"/>
      <c r="E1058" s="714"/>
      <c r="F1058" s="1864">
        <f t="shared" si="46"/>
        <v>0</v>
      </c>
      <c r="G1058" s="510"/>
    </row>
    <row r="1059" spans="1:256">
      <c r="A1059" s="1860">
        <v>3.1</v>
      </c>
      <c r="B1059" s="28" t="s">
        <v>2254</v>
      </c>
      <c r="C1059" s="31">
        <v>5004.4799999999996</v>
      </c>
      <c r="D1059" s="713" t="s">
        <v>1</v>
      </c>
      <c r="E1059" s="714">
        <v>3222.52</v>
      </c>
      <c r="F1059" s="1864">
        <f>+ROUND(C1059*E1059,2)</f>
        <v>16127036.890000001</v>
      </c>
      <c r="G1059" s="510"/>
    </row>
    <row r="1060" spans="1:256">
      <c r="A1060" s="1860"/>
      <c r="B1060" s="51"/>
      <c r="C1060" s="31"/>
      <c r="D1060" s="713"/>
      <c r="E1060" s="31"/>
      <c r="F1060" s="1864">
        <f t="shared" si="46"/>
        <v>0</v>
      </c>
      <c r="G1060" s="510"/>
    </row>
    <row r="1061" spans="1:256">
      <c r="A1061" s="1867">
        <v>4</v>
      </c>
      <c r="B1061" s="1804" t="s">
        <v>26</v>
      </c>
      <c r="C1061" s="808"/>
      <c r="D1061" s="1804"/>
      <c r="E1061" s="1755"/>
      <c r="F1061">
        <f t="shared" si="46"/>
        <v>0</v>
      </c>
      <c r="G1061" s="1754"/>
      <c r="H1061" s="1846"/>
      <c r="I1061" s="1754"/>
      <c r="J1061" s="1846"/>
      <c r="K1061" s="1754"/>
      <c r="L1061" s="1846"/>
      <c r="M1061" s="1803"/>
      <c r="N1061" s="1737"/>
      <c r="O1061" s="808"/>
      <c r="P1061" s="1737"/>
      <c r="Q1061" s="808"/>
      <c r="R1061" s="1737"/>
      <c r="S1061" s="808"/>
      <c r="T1061" s="1737"/>
      <c r="U1061" s="808"/>
      <c r="V1061" s="1737"/>
      <c r="W1061" s="808"/>
      <c r="X1061" s="1737"/>
      <c r="Y1061" s="808"/>
      <c r="Z1061" s="1737"/>
      <c r="AA1061" s="808"/>
      <c r="AB1061" s="1737"/>
      <c r="AC1061" s="808"/>
      <c r="AD1061" s="1737"/>
      <c r="AE1061" s="808"/>
      <c r="AF1061" s="1737"/>
      <c r="AG1061" s="808"/>
      <c r="AH1061" s="1737"/>
      <c r="AI1061" s="808"/>
      <c r="AJ1061" s="1737"/>
      <c r="AK1061" s="808"/>
      <c r="AL1061" s="1737"/>
      <c r="AM1061" s="808"/>
      <c r="AN1061" s="1737"/>
      <c r="AO1061" s="808"/>
      <c r="AP1061" s="1737"/>
      <c r="AQ1061" s="808"/>
      <c r="AR1061" s="1737"/>
      <c r="AS1061" s="808"/>
      <c r="AT1061" s="1737"/>
      <c r="AU1061" s="808"/>
      <c r="AV1061" s="1737"/>
      <c r="AW1061" s="808"/>
      <c r="AX1061" s="1737"/>
      <c r="AY1061" s="808"/>
      <c r="AZ1061" s="1737"/>
      <c r="BA1061" s="808"/>
      <c r="BB1061" s="1737"/>
      <c r="BC1061" s="808"/>
      <c r="BD1061" s="1737"/>
      <c r="BE1061" s="808"/>
      <c r="BF1061" s="1737"/>
      <c r="BG1061" s="808"/>
      <c r="BH1061" s="1737"/>
      <c r="BI1061" s="808"/>
      <c r="BJ1061" s="1737"/>
      <c r="BK1061" s="808"/>
      <c r="BL1061" s="1737"/>
      <c r="BM1061" s="808"/>
      <c r="BN1061" s="1737"/>
      <c r="BO1061" s="808"/>
      <c r="BP1061" s="1737"/>
      <c r="BQ1061" s="808"/>
      <c r="BR1061" s="1737"/>
      <c r="BS1061" s="808"/>
      <c r="BT1061" s="1737"/>
      <c r="BU1061" s="808"/>
      <c r="BV1061" s="1737"/>
      <c r="BW1061" s="808"/>
      <c r="BX1061" s="1737"/>
      <c r="BY1061" s="808"/>
      <c r="BZ1061" s="1737"/>
      <c r="CA1061" s="808"/>
      <c r="CB1061" s="1737"/>
      <c r="CC1061" s="808"/>
      <c r="CD1061" s="1737"/>
      <c r="CE1061" s="808"/>
      <c r="CF1061" s="1737"/>
      <c r="CG1061" s="808"/>
      <c r="CH1061" s="1737"/>
      <c r="CI1061" s="808"/>
      <c r="CJ1061" s="1737"/>
      <c r="CK1061" s="808"/>
      <c r="CL1061" s="1737"/>
      <c r="CM1061" s="808"/>
      <c r="CN1061" s="1737"/>
      <c r="CO1061" s="808"/>
      <c r="CP1061" s="1737"/>
      <c r="CQ1061" s="808"/>
      <c r="CR1061" s="1737"/>
      <c r="CS1061" s="808"/>
      <c r="CT1061" s="1737"/>
      <c r="CU1061" s="808"/>
      <c r="CV1061" s="1737"/>
      <c r="CW1061" s="808"/>
      <c r="CX1061" s="1737"/>
      <c r="CY1061" s="808"/>
      <c r="CZ1061" s="1737"/>
      <c r="DA1061" s="808"/>
      <c r="DB1061" s="1737"/>
      <c r="DC1061" s="808"/>
      <c r="DD1061" s="1737"/>
      <c r="DE1061" s="808"/>
      <c r="DF1061" s="1737"/>
      <c r="DG1061" s="808"/>
      <c r="DH1061" s="1737"/>
      <c r="DI1061" s="808"/>
      <c r="DJ1061" s="1737"/>
      <c r="DK1061" s="808"/>
      <c r="DL1061" s="1737"/>
      <c r="DM1061" s="808"/>
      <c r="DN1061" s="1737"/>
      <c r="DO1061" s="808"/>
      <c r="DP1061" s="1737"/>
      <c r="DQ1061" s="808"/>
      <c r="DR1061" s="1737"/>
      <c r="DS1061" s="808"/>
      <c r="DT1061" s="1737"/>
      <c r="DU1061" s="808"/>
      <c r="DV1061" s="1737"/>
      <c r="DW1061" s="808"/>
      <c r="DX1061" s="1737"/>
      <c r="DY1061" s="808"/>
      <c r="DZ1061" s="1737"/>
      <c r="EA1061" s="808"/>
      <c r="EB1061" s="1737"/>
      <c r="EC1061" s="808"/>
      <c r="ED1061" s="1737"/>
      <c r="EE1061" s="808"/>
      <c r="EF1061" s="1737"/>
      <c r="EG1061" s="808"/>
      <c r="EH1061" s="1737"/>
      <c r="EI1061" s="808"/>
      <c r="EJ1061" s="1737"/>
      <c r="EK1061" s="808"/>
      <c r="EL1061" s="1737"/>
      <c r="EM1061" s="808"/>
      <c r="EN1061" s="1737"/>
      <c r="EO1061" s="808"/>
      <c r="EP1061" s="1737"/>
      <c r="EQ1061" s="808"/>
      <c r="ER1061" s="1737"/>
      <c r="ES1061" s="808"/>
      <c r="ET1061" s="1737"/>
      <c r="EU1061" s="808"/>
      <c r="EV1061" s="1737"/>
      <c r="EW1061" s="808"/>
      <c r="EX1061" s="1737"/>
      <c r="EY1061" s="808"/>
      <c r="EZ1061" s="1737"/>
      <c r="FA1061" s="808"/>
      <c r="FB1061" s="1737"/>
      <c r="FC1061" s="808"/>
      <c r="FD1061" s="1737"/>
      <c r="FE1061" s="808"/>
      <c r="FF1061" s="1737"/>
      <c r="FG1061" s="808"/>
      <c r="FH1061" s="1737"/>
      <c r="FI1061" s="808"/>
      <c r="FJ1061" s="1737"/>
      <c r="FK1061" s="808"/>
      <c r="FL1061" s="1737"/>
      <c r="FM1061" s="808"/>
      <c r="FN1061" s="1737"/>
      <c r="FO1061" s="808"/>
      <c r="FP1061" s="1737"/>
      <c r="FQ1061" s="808"/>
      <c r="FR1061" s="1737"/>
      <c r="FS1061" s="808"/>
      <c r="FT1061" s="1737"/>
      <c r="FU1061" s="808"/>
      <c r="FV1061" s="1737"/>
      <c r="FW1061" s="808"/>
      <c r="FX1061" s="1737"/>
      <c r="FY1061" s="808"/>
      <c r="FZ1061" s="1737"/>
      <c r="GA1061" s="808"/>
      <c r="GB1061" s="1737"/>
      <c r="GC1061" s="808"/>
      <c r="GD1061" s="1737"/>
      <c r="GE1061" s="808"/>
      <c r="GF1061" s="1737"/>
      <c r="GG1061" s="808"/>
      <c r="GH1061" s="1737"/>
      <c r="GI1061" s="808"/>
      <c r="GJ1061" s="1737"/>
      <c r="GK1061" s="808"/>
      <c r="GL1061" s="1737"/>
      <c r="GM1061" s="808"/>
      <c r="GN1061" s="1737"/>
      <c r="GO1061" s="808"/>
      <c r="GP1061" s="1737"/>
      <c r="GQ1061" s="808"/>
      <c r="GR1061" s="1737"/>
      <c r="GS1061" s="808"/>
      <c r="GT1061" s="1737"/>
      <c r="GU1061" s="808"/>
      <c r="GV1061" s="1737"/>
      <c r="GW1061" s="808"/>
      <c r="GX1061" s="1737"/>
      <c r="GY1061" s="808"/>
      <c r="GZ1061" s="1737"/>
      <c r="HA1061" s="808"/>
      <c r="HB1061" s="1737"/>
      <c r="HC1061" s="808"/>
      <c r="HD1061" s="1737"/>
      <c r="HE1061" s="808"/>
      <c r="HF1061" s="1737"/>
      <c r="HG1061" s="808"/>
      <c r="HH1061" s="1737"/>
      <c r="HI1061" s="808"/>
      <c r="HJ1061" s="1737"/>
      <c r="HK1061" s="808"/>
      <c r="HL1061" s="1737"/>
      <c r="HM1061" s="808"/>
      <c r="HN1061" s="1737"/>
      <c r="HO1061" s="808"/>
      <c r="HP1061" s="1737"/>
      <c r="HQ1061" s="808"/>
      <c r="HR1061" s="1737"/>
      <c r="HS1061" s="808"/>
      <c r="HT1061" s="1737"/>
      <c r="HU1061" s="808"/>
      <c r="HV1061" s="1737"/>
      <c r="HW1061" s="808"/>
      <c r="HX1061" s="1737"/>
      <c r="HY1061" s="808"/>
      <c r="HZ1061" s="1737"/>
      <c r="IA1061" s="808"/>
      <c r="IB1061" s="1737"/>
      <c r="IC1061" s="808"/>
      <c r="ID1061" s="1737"/>
      <c r="IE1061" s="808"/>
      <c r="IF1061" s="1737"/>
      <c r="IG1061" s="808"/>
      <c r="IH1061" s="1737"/>
      <c r="II1061" s="808"/>
      <c r="IJ1061" s="1737"/>
      <c r="IK1061" s="808"/>
      <c r="IL1061" s="1737"/>
      <c r="IM1061" s="808"/>
      <c r="IN1061" s="1737"/>
      <c r="IO1061" s="808"/>
      <c r="IP1061" s="1737"/>
      <c r="IQ1061" s="808"/>
      <c r="IR1061" s="1737"/>
      <c r="IS1061" s="808"/>
      <c r="IT1061" s="1737"/>
      <c r="IU1061" s="808"/>
      <c r="IV1061" s="1737"/>
    </row>
    <row r="1062" spans="1:256">
      <c r="A1062" s="1860">
        <v>4.0999999999999996</v>
      </c>
      <c r="B1062" s="28" t="s">
        <v>2336</v>
      </c>
      <c r="C1062" s="31">
        <v>4812</v>
      </c>
      <c r="D1062" s="713" t="s">
        <v>1</v>
      </c>
      <c r="E1062" s="31">
        <v>55.55</v>
      </c>
      <c r="F1062" s="1864">
        <f>+ROUND(C1062*E1062,2)</f>
        <v>267306.59999999998</v>
      </c>
      <c r="G1062" s="510"/>
    </row>
    <row r="1063" spans="1:256">
      <c r="A1063" s="1860"/>
      <c r="B1063" s="28"/>
      <c r="C1063" s="31"/>
      <c r="D1063" s="713"/>
      <c r="E1063" s="31"/>
      <c r="F1063" s="1864">
        <f t="shared" si="46"/>
        <v>0</v>
      </c>
      <c r="G1063" s="510"/>
    </row>
    <row r="1064" spans="1:256">
      <c r="A1064" s="1867">
        <v>5</v>
      </c>
      <c r="B1064" s="1804" t="s">
        <v>486</v>
      </c>
      <c r="C1064" s="808"/>
      <c r="D1064" s="1804"/>
      <c r="E1064" s="1755"/>
      <c r="F1064"/>
      <c r="G1064" s="1754"/>
      <c r="H1064" s="1846"/>
      <c r="I1064" s="1754"/>
      <c r="J1064" s="1846"/>
      <c r="K1064" s="1754"/>
      <c r="L1064" s="1846"/>
      <c r="M1064" s="1803"/>
      <c r="N1064" s="1737"/>
      <c r="O1064" s="808"/>
      <c r="P1064" s="1737"/>
      <c r="Q1064" s="808"/>
      <c r="R1064" s="1737"/>
      <c r="S1064" s="808"/>
      <c r="T1064" s="1737"/>
      <c r="U1064" s="808"/>
      <c r="V1064" s="1737"/>
      <c r="W1064" s="808"/>
      <c r="X1064" s="1737"/>
      <c r="Y1064" s="808"/>
      <c r="Z1064" s="1737"/>
      <c r="AA1064" s="808"/>
      <c r="AB1064" s="1737"/>
      <c r="AC1064" s="808"/>
      <c r="AD1064" s="1737"/>
      <c r="AE1064" s="808"/>
      <c r="AF1064" s="1737"/>
      <c r="AG1064" s="808"/>
      <c r="AH1064" s="1737"/>
      <c r="AI1064" s="808"/>
      <c r="AJ1064" s="1737"/>
      <c r="AK1064" s="808"/>
      <c r="AL1064" s="1737"/>
      <c r="AM1064" s="808"/>
      <c r="AN1064" s="1737"/>
      <c r="AO1064" s="808"/>
      <c r="AP1064" s="1737"/>
      <c r="AQ1064" s="808"/>
      <c r="AR1064" s="1737"/>
      <c r="AS1064" s="808"/>
      <c r="AT1064" s="1737"/>
      <c r="AU1064" s="808"/>
      <c r="AV1064" s="1737"/>
      <c r="AW1064" s="808"/>
      <c r="AX1064" s="1737"/>
      <c r="AY1064" s="808"/>
      <c r="AZ1064" s="1737"/>
      <c r="BA1064" s="808"/>
      <c r="BB1064" s="1737"/>
      <c r="BC1064" s="808"/>
      <c r="BD1064" s="1737"/>
      <c r="BE1064" s="808"/>
      <c r="BF1064" s="1737"/>
      <c r="BG1064" s="808"/>
      <c r="BH1064" s="1737"/>
      <c r="BI1064" s="808"/>
      <c r="BJ1064" s="1737"/>
      <c r="BK1064" s="808"/>
      <c r="BL1064" s="1737"/>
      <c r="BM1064" s="808"/>
      <c r="BN1064" s="1737"/>
      <c r="BO1064" s="808"/>
      <c r="BP1064" s="1737"/>
      <c r="BQ1064" s="808"/>
      <c r="BR1064" s="1737"/>
      <c r="BS1064" s="808"/>
      <c r="BT1064" s="1737"/>
      <c r="BU1064" s="808"/>
      <c r="BV1064" s="1737"/>
      <c r="BW1064" s="808"/>
      <c r="BX1064" s="1737"/>
      <c r="BY1064" s="808"/>
      <c r="BZ1064" s="1737"/>
      <c r="CA1064" s="808"/>
      <c r="CB1064" s="1737"/>
      <c r="CC1064" s="808"/>
      <c r="CD1064" s="1737"/>
      <c r="CE1064" s="808"/>
      <c r="CF1064" s="1737"/>
      <c r="CG1064" s="808"/>
      <c r="CH1064" s="1737"/>
      <c r="CI1064" s="808"/>
      <c r="CJ1064" s="1737"/>
      <c r="CK1064" s="808"/>
      <c r="CL1064" s="1737"/>
      <c r="CM1064" s="808"/>
      <c r="CN1064" s="1737"/>
      <c r="CO1064" s="808"/>
      <c r="CP1064" s="1737"/>
      <c r="CQ1064" s="808"/>
      <c r="CR1064" s="1737"/>
      <c r="CS1064" s="808"/>
      <c r="CT1064" s="1737"/>
      <c r="CU1064" s="808"/>
      <c r="CV1064" s="1737"/>
      <c r="CW1064" s="808"/>
      <c r="CX1064" s="1737"/>
      <c r="CY1064" s="808"/>
      <c r="CZ1064" s="1737"/>
      <c r="DA1064" s="808"/>
      <c r="DB1064" s="1737"/>
      <c r="DC1064" s="808"/>
      <c r="DD1064" s="1737"/>
      <c r="DE1064" s="808"/>
      <c r="DF1064" s="1737"/>
      <c r="DG1064" s="808"/>
      <c r="DH1064" s="1737"/>
      <c r="DI1064" s="808"/>
      <c r="DJ1064" s="1737"/>
      <c r="DK1064" s="808"/>
      <c r="DL1064" s="1737"/>
      <c r="DM1064" s="808"/>
      <c r="DN1064" s="1737"/>
      <c r="DO1064" s="808"/>
      <c r="DP1064" s="1737"/>
      <c r="DQ1064" s="808"/>
      <c r="DR1064" s="1737"/>
      <c r="DS1064" s="808"/>
      <c r="DT1064" s="1737"/>
      <c r="DU1064" s="808"/>
      <c r="DV1064" s="1737"/>
      <c r="DW1064" s="808"/>
      <c r="DX1064" s="1737"/>
      <c r="DY1064" s="808"/>
      <c r="DZ1064" s="1737"/>
      <c r="EA1064" s="808"/>
      <c r="EB1064" s="1737"/>
      <c r="EC1064" s="808"/>
      <c r="ED1064" s="1737"/>
      <c r="EE1064" s="808"/>
      <c r="EF1064" s="1737"/>
      <c r="EG1064" s="808"/>
      <c r="EH1064" s="1737"/>
      <c r="EI1064" s="808"/>
      <c r="EJ1064" s="1737"/>
      <c r="EK1064" s="808"/>
      <c r="EL1064" s="1737"/>
      <c r="EM1064" s="808"/>
      <c r="EN1064" s="1737"/>
      <c r="EO1064" s="808"/>
      <c r="EP1064" s="1737"/>
      <c r="EQ1064" s="808"/>
      <c r="ER1064" s="1737"/>
      <c r="ES1064" s="808"/>
      <c r="ET1064" s="1737"/>
      <c r="EU1064" s="808"/>
      <c r="EV1064" s="1737"/>
      <c r="EW1064" s="808"/>
      <c r="EX1064" s="1737"/>
      <c r="EY1064" s="808"/>
      <c r="EZ1064" s="1737"/>
      <c r="FA1064" s="808"/>
      <c r="FB1064" s="1737"/>
      <c r="FC1064" s="808"/>
      <c r="FD1064" s="1737"/>
      <c r="FE1064" s="808"/>
      <c r="FF1064" s="1737"/>
      <c r="FG1064" s="808"/>
      <c r="FH1064" s="1737"/>
      <c r="FI1064" s="808"/>
      <c r="FJ1064" s="1737"/>
      <c r="FK1064" s="808"/>
      <c r="FL1064" s="1737"/>
      <c r="FM1064" s="808"/>
      <c r="FN1064" s="1737"/>
      <c r="FO1064" s="808"/>
      <c r="FP1064" s="1737"/>
      <c r="FQ1064" s="808"/>
      <c r="FR1064" s="1737"/>
      <c r="FS1064" s="808"/>
      <c r="FT1064" s="1737"/>
      <c r="FU1064" s="808"/>
      <c r="FV1064" s="1737"/>
      <c r="FW1064" s="808"/>
      <c r="FX1064" s="1737"/>
      <c r="FY1064" s="808"/>
      <c r="FZ1064" s="1737"/>
      <c r="GA1064" s="808"/>
      <c r="GB1064" s="1737"/>
      <c r="GC1064" s="808"/>
      <c r="GD1064" s="1737"/>
      <c r="GE1064" s="808"/>
      <c r="GF1064" s="1737"/>
      <c r="GG1064" s="808"/>
      <c r="GH1064" s="1737"/>
      <c r="GI1064" s="808"/>
      <c r="GJ1064" s="1737"/>
      <c r="GK1064" s="808"/>
      <c r="GL1064" s="1737"/>
      <c r="GM1064" s="808"/>
      <c r="GN1064" s="1737"/>
      <c r="GO1064" s="808"/>
      <c r="GP1064" s="1737"/>
      <c r="GQ1064" s="808"/>
      <c r="GR1064" s="1737"/>
      <c r="GS1064" s="808"/>
      <c r="GT1064" s="1737"/>
      <c r="GU1064" s="808"/>
      <c r="GV1064" s="1737"/>
      <c r="GW1064" s="808"/>
      <c r="GX1064" s="1737"/>
      <c r="GY1064" s="808"/>
      <c r="GZ1064" s="1737"/>
      <c r="HA1064" s="808"/>
      <c r="HB1064" s="1737"/>
      <c r="HC1064" s="808"/>
      <c r="HD1064" s="1737"/>
      <c r="HE1064" s="808"/>
      <c r="HF1064" s="1737"/>
      <c r="HG1064" s="808"/>
      <c r="HH1064" s="1737"/>
      <c r="HI1064" s="808"/>
      <c r="HJ1064" s="1737"/>
      <c r="HK1064" s="808"/>
      <c r="HL1064" s="1737"/>
      <c r="HM1064" s="808"/>
      <c r="HN1064" s="1737"/>
      <c r="HO1064" s="808"/>
      <c r="HP1064" s="1737"/>
      <c r="HQ1064" s="808"/>
      <c r="HR1064" s="1737"/>
      <c r="HS1064" s="808"/>
      <c r="HT1064" s="1737"/>
      <c r="HU1064" s="808"/>
      <c r="HV1064" s="1737"/>
      <c r="HW1064" s="808"/>
      <c r="HX1064" s="1737"/>
      <c r="HY1064" s="808"/>
      <c r="HZ1064" s="1737"/>
      <c r="IA1064" s="808"/>
      <c r="IB1064" s="1737"/>
      <c r="IC1064" s="808"/>
      <c r="ID1064" s="1737"/>
      <c r="IE1064" s="808"/>
      <c r="IF1064" s="1737"/>
      <c r="IG1064" s="808"/>
      <c r="IH1064" s="1737"/>
      <c r="II1064" s="808"/>
      <c r="IJ1064" s="1737"/>
      <c r="IK1064" s="808"/>
      <c r="IL1064" s="1737"/>
      <c r="IM1064" s="808"/>
      <c r="IN1064" s="1737"/>
      <c r="IO1064" s="808"/>
      <c r="IP1064" s="1737"/>
      <c r="IQ1064" s="808"/>
      <c r="IR1064" s="1737"/>
      <c r="IS1064" s="808"/>
      <c r="IT1064" s="1737"/>
      <c r="IU1064" s="808"/>
      <c r="IV1064" s="1737"/>
    </row>
    <row r="1065" spans="1:256" ht="25.5">
      <c r="A1065" s="1860">
        <v>5.0999999999999996</v>
      </c>
      <c r="B1065" s="1746" t="s">
        <v>1190</v>
      </c>
      <c r="C1065" s="31">
        <v>58</v>
      </c>
      <c r="D1065" s="713" t="s">
        <v>3</v>
      </c>
      <c r="E1065" s="32">
        <v>8809.77</v>
      </c>
      <c r="F1065" s="1864">
        <f>ROUND(C1065*E1065,2)</f>
        <v>510966.66</v>
      </c>
      <c r="G1065" s="510"/>
    </row>
    <row r="1066" spans="1:256" ht="25.5">
      <c r="A1066" s="1860">
        <v>5.2</v>
      </c>
      <c r="B1066" s="1746" t="s">
        <v>1191</v>
      </c>
      <c r="C1066" s="31">
        <v>7</v>
      </c>
      <c r="D1066" s="713" t="s">
        <v>3</v>
      </c>
      <c r="E1066" s="32">
        <v>11665.37</v>
      </c>
      <c r="F1066" s="1864">
        <f>ROUND(C1066*E1066,2)</f>
        <v>81657.59</v>
      </c>
      <c r="G1066" s="510"/>
    </row>
    <row r="1067" spans="1:256">
      <c r="A1067" s="1860">
        <v>5.3</v>
      </c>
      <c r="B1067" s="1746" t="s">
        <v>1214</v>
      </c>
      <c r="C1067" s="31">
        <v>130</v>
      </c>
      <c r="D1067" s="713" t="s">
        <v>3</v>
      </c>
      <c r="E1067" s="32">
        <v>4516.01</v>
      </c>
      <c r="F1067" s="1864">
        <f>ROUND(C1067*E1067,2)</f>
        <v>587081.30000000005</v>
      </c>
      <c r="G1067" s="510"/>
    </row>
    <row r="1068" spans="1:256" ht="25.5">
      <c r="A1068" s="1860">
        <v>5.4</v>
      </c>
      <c r="B1068" s="745" t="s">
        <v>2255</v>
      </c>
      <c r="C1068" s="31">
        <v>65</v>
      </c>
      <c r="D1068" s="713" t="s">
        <v>3</v>
      </c>
      <c r="E1068" s="1582">
        <v>16415.560000000001</v>
      </c>
      <c r="F1068" s="1864">
        <f>ROUND(C1068*E1068,2)</f>
        <v>1067011.3999999999</v>
      </c>
      <c r="G1068" s="510"/>
    </row>
    <row r="1069" spans="1:256" s="1739" customFormat="1" ht="38.25">
      <c r="A1069" s="1860">
        <v>5.5</v>
      </c>
      <c r="B1069" s="1746" t="s">
        <v>413</v>
      </c>
      <c r="C1069" s="31">
        <v>1</v>
      </c>
      <c r="D1069" s="713" t="s">
        <v>3</v>
      </c>
      <c r="E1069" s="31">
        <v>1500</v>
      </c>
      <c r="F1069" s="1864">
        <f>+ROUND(C1069*E1069,2)</f>
        <v>1500</v>
      </c>
      <c r="G1069" s="44"/>
      <c r="H1069" s="842"/>
      <c r="I1069" s="842"/>
      <c r="J1069" s="842"/>
      <c r="K1069" s="842"/>
      <c r="L1069" s="842"/>
    </row>
    <row r="1070" spans="1:256">
      <c r="A1070" s="1860">
        <v>5.6</v>
      </c>
      <c r="B1070" s="18" t="s">
        <v>2335</v>
      </c>
      <c r="C1070" s="31">
        <v>4</v>
      </c>
      <c r="D1070" s="713" t="s">
        <v>47</v>
      </c>
      <c r="E1070" s="1794">
        <v>397.75</v>
      </c>
      <c r="F1070" s="1864">
        <f>+ROUND(C1070*E1070,2)</f>
        <v>1591</v>
      </c>
      <c r="G1070" s="510"/>
    </row>
    <row r="1071" spans="1:256">
      <c r="A1071" s="1860"/>
      <c r="B1071" s="18"/>
      <c r="C1071" s="31"/>
      <c r="D1071" s="713"/>
      <c r="E1071" s="714"/>
      <c r="F1071" s="1864"/>
      <c r="G1071" s="510"/>
    </row>
    <row r="1072" spans="1:256">
      <c r="A1072" s="1867">
        <v>6</v>
      </c>
      <c r="B1072" s="1804" t="s">
        <v>39</v>
      </c>
      <c r="C1072" s="808"/>
      <c r="D1072" s="1804"/>
      <c r="E1072" s="1755"/>
      <c r="F1072">
        <f t="shared" ref="F1072:F1077" si="47">+ROUND(C1072*E1072,2)</f>
        <v>0</v>
      </c>
      <c r="G1072" s="1754"/>
      <c r="H1072" s="1846"/>
      <c r="I1072" s="1754"/>
      <c r="J1072" s="1846"/>
      <c r="K1072" s="1754"/>
      <c r="L1072" s="1846"/>
      <c r="M1072" s="1803"/>
      <c r="N1072" s="1737"/>
      <c r="O1072" s="808"/>
      <c r="P1072" s="1737"/>
      <c r="Q1072" s="808"/>
      <c r="R1072" s="1737"/>
      <c r="S1072" s="808"/>
      <c r="T1072" s="1737"/>
      <c r="U1072" s="808"/>
      <c r="V1072" s="1737"/>
      <c r="W1072" s="808"/>
      <c r="X1072" s="1737"/>
      <c r="Y1072" s="808"/>
      <c r="Z1072" s="1737"/>
      <c r="AA1072" s="808"/>
      <c r="AB1072" s="1737"/>
      <c r="AC1072" s="808"/>
      <c r="AD1072" s="1737"/>
      <c r="AE1072" s="808"/>
      <c r="AF1072" s="1737"/>
      <c r="AG1072" s="808"/>
      <c r="AH1072" s="1737"/>
      <c r="AI1072" s="808"/>
      <c r="AJ1072" s="1737"/>
      <c r="AK1072" s="808"/>
      <c r="AL1072" s="1737"/>
      <c r="AM1072" s="808"/>
      <c r="AN1072" s="1737"/>
      <c r="AO1072" s="808"/>
      <c r="AP1072" s="1737"/>
      <c r="AQ1072" s="808"/>
      <c r="AR1072" s="1737"/>
      <c r="AS1072" s="808"/>
      <c r="AT1072" s="1737"/>
      <c r="AU1072" s="808"/>
      <c r="AV1072" s="1737"/>
      <c r="AW1072" s="808"/>
      <c r="AX1072" s="1737"/>
      <c r="AY1072" s="808"/>
      <c r="AZ1072" s="1737"/>
      <c r="BA1072" s="808"/>
      <c r="BB1072" s="1737"/>
      <c r="BC1072" s="808"/>
      <c r="BD1072" s="1737"/>
      <c r="BE1072" s="808"/>
      <c r="BF1072" s="1737"/>
      <c r="BG1072" s="808"/>
      <c r="BH1072" s="1737"/>
      <c r="BI1072" s="808"/>
      <c r="BJ1072" s="1737"/>
      <c r="BK1072" s="808"/>
      <c r="BL1072" s="1737"/>
      <c r="BM1072" s="808"/>
      <c r="BN1072" s="1737"/>
      <c r="BO1072" s="808"/>
      <c r="BP1072" s="1737"/>
      <c r="BQ1072" s="808"/>
      <c r="BR1072" s="1737"/>
      <c r="BS1072" s="808"/>
      <c r="BT1072" s="1737"/>
      <c r="BU1072" s="808"/>
      <c r="BV1072" s="1737"/>
      <c r="BW1072" s="808"/>
      <c r="BX1072" s="1737"/>
      <c r="BY1072" s="808"/>
      <c r="BZ1072" s="1737"/>
      <c r="CA1072" s="808"/>
      <c r="CB1072" s="1737"/>
      <c r="CC1072" s="808"/>
      <c r="CD1072" s="1737"/>
      <c r="CE1072" s="808"/>
      <c r="CF1072" s="1737"/>
      <c r="CG1072" s="808"/>
      <c r="CH1072" s="1737"/>
      <c r="CI1072" s="808"/>
      <c r="CJ1072" s="1737"/>
      <c r="CK1072" s="808"/>
      <c r="CL1072" s="1737"/>
      <c r="CM1072" s="808"/>
      <c r="CN1072" s="1737"/>
      <c r="CO1072" s="808"/>
      <c r="CP1072" s="1737"/>
      <c r="CQ1072" s="808"/>
      <c r="CR1072" s="1737"/>
      <c r="CS1072" s="808"/>
      <c r="CT1072" s="1737"/>
      <c r="CU1072" s="808"/>
      <c r="CV1072" s="1737"/>
      <c r="CW1072" s="808"/>
      <c r="CX1072" s="1737"/>
      <c r="CY1072" s="808"/>
      <c r="CZ1072" s="1737"/>
      <c r="DA1072" s="808"/>
      <c r="DB1072" s="1737"/>
      <c r="DC1072" s="808"/>
      <c r="DD1072" s="1737"/>
      <c r="DE1072" s="808"/>
      <c r="DF1072" s="1737"/>
      <c r="DG1072" s="808"/>
      <c r="DH1072" s="1737"/>
      <c r="DI1072" s="808"/>
      <c r="DJ1072" s="1737"/>
      <c r="DK1072" s="808"/>
      <c r="DL1072" s="1737"/>
      <c r="DM1072" s="808"/>
      <c r="DN1072" s="1737"/>
      <c r="DO1072" s="808"/>
      <c r="DP1072" s="1737"/>
      <c r="DQ1072" s="808"/>
      <c r="DR1072" s="1737"/>
      <c r="DS1072" s="808"/>
      <c r="DT1072" s="1737"/>
      <c r="DU1072" s="808"/>
      <c r="DV1072" s="1737"/>
      <c r="DW1072" s="808"/>
      <c r="DX1072" s="1737"/>
      <c r="DY1072" s="808"/>
      <c r="DZ1072" s="1737"/>
      <c r="EA1072" s="808"/>
      <c r="EB1072" s="1737"/>
      <c r="EC1072" s="808"/>
      <c r="ED1072" s="1737"/>
      <c r="EE1072" s="808"/>
      <c r="EF1072" s="1737"/>
      <c r="EG1072" s="808"/>
      <c r="EH1072" s="1737"/>
      <c r="EI1072" s="808"/>
      <c r="EJ1072" s="1737"/>
      <c r="EK1072" s="808"/>
      <c r="EL1072" s="1737"/>
      <c r="EM1072" s="808"/>
      <c r="EN1072" s="1737"/>
      <c r="EO1072" s="808"/>
      <c r="EP1072" s="1737"/>
      <c r="EQ1072" s="808"/>
      <c r="ER1072" s="1737"/>
      <c r="ES1072" s="808"/>
      <c r="ET1072" s="1737"/>
      <c r="EU1072" s="808"/>
      <c r="EV1072" s="1737"/>
      <c r="EW1072" s="808"/>
      <c r="EX1072" s="1737"/>
      <c r="EY1072" s="808"/>
      <c r="EZ1072" s="1737"/>
      <c r="FA1072" s="808"/>
      <c r="FB1072" s="1737"/>
      <c r="FC1072" s="808"/>
      <c r="FD1072" s="1737"/>
      <c r="FE1072" s="808"/>
      <c r="FF1072" s="1737"/>
      <c r="FG1072" s="808"/>
      <c r="FH1072" s="1737"/>
      <c r="FI1072" s="808"/>
      <c r="FJ1072" s="1737"/>
      <c r="FK1072" s="808"/>
      <c r="FL1072" s="1737"/>
      <c r="FM1072" s="808"/>
      <c r="FN1072" s="1737"/>
      <c r="FO1072" s="808"/>
      <c r="FP1072" s="1737"/>
      <c r="FQ1072" s="808"/>
      <c r="FR1072" s="1737"/>
      <c r="FS1072" s="808"/>
      <c r="FT1072" s="1737"/>
      <c r="FU1072" s="808"/>
      <c r="FV1072" s="1737"/>
      <c r="FW1072" s="808"/>
      <c r="FX1072" s="1737"/>
      <c r="FY1072" s="808"/>
      <c r="FZ1072" s="1737"/>
      <c r="GA1072" s="808"/>
      <c r="GB1072" s="1737"/>
      <c r="GC1072" s="808"/>
      <c r="GD1072" s="1737"/>
      <c r="GE1072" s="808"/>
      <c r="GF1072" s="1737"/>
      <c r="GG1072" s="808"/>
      <c r="GH1072" s="1737"/>
      <c r="GI1072" s="808"/>
      <c r="GJ1072" s="1737"/>
      <c r="GK1072" s="808"/>
      <c r="GL1072" s="1737"/>
      <c r="GM1072" s="808"/>
      <c r="GN1072" s="1737"/>
      <c r="GO1072" s="808"/>
      <c r="GP1072" s="1737"/>
      <c r="GQ1072" s="808"/>
      <c r="GR1072" s="1737"/>
      <c r="GS1072" s="808"/>
      <c r="GT1072" s="1737"/>
      <c r="GU1072" s="808"/>
      <c r="GV1072" s="1737"/>
      <c r="GW1072" s="808"/>
      <c r="GX1072" s="1737"/>
      <c r="GY1072" s="808"/>
      <c r="GZ1072" s="1737"/>
      <c r="HA1072" s="808"/>
      <c r="HB1072" s="1737"/>
      <c r="HC1072" s="808"/>
      <c r="HD1072" s="1737"/>
      <c r="HE1072" s="808"/>
      <c r="HF1072" s="1737"/>
      <c r="HG1072" s="808"/>
      <c r="HH1072" s="1737"/>
      <c r="HI1072" s="808"/>
      <c r="HJ1072" s="1737"/>
      <c r="HK1072" s="808"/>
      <c r="HL1072" s="1737"/>
      <c r="HM1072" s="808"/>
      <c r="HN1072" s="1737"/>
      <c r="HO1072" s="808"/>
      <c r="HP1072" s="1737"/>
      <c r="HQ1072" s="808"/>
      <c r="HR1072" s="1737"/>
      <c r="HS1072" s="808"/>
      <c r="HT1072" s="1737"/>
      <c r="HU1072" s="808"/>
      <c r="HV1072" s="1737"/>
      <c r="HW1072" s="808"/>
      <c r="HX1072" s="1737"/>
      <c r="HY1072" s="808"/>
      <c r="HZ1072" s="1737"/>
      <c r="IA1072" s="808"/>
      <c r="IB1072" s="1737"/>
      <c r="IC1072" s="808"/>
      <c r="ID1072" s="1737"/>
      <c r="IE1072" s="808"/>
      <c r="IF1072" s="1737"/>
      <c r="IG1072" s="808"/>
      <c r="IH1072" s="1737"/>
      <c r="II1072" s="808"/>
      <c r="IJ1072" s="1737"/>
      <c r="IK1072" s="808"/>
      <c r="IL1072" s="1737"/>
      <c r="IM1072" s="808"/>
      <c r="IN1072" s="1737"/>
      <c r="IO1072" s="808"/>
      <c r="IP1072" s="1737"/>
      <c r="IQ1072" s="808"/>
      <c r="IR1072" s="1737"/>
      <c r="IS1072" s="808"/>
      <c r="IT1072" s="1737"/>
      <c r="IU1072" s="808"/>
      <c r="IV1072" s="1737"/>
    </row>
    <row r="1073" spans="1:256">
      <c r="A1073" s="1860">
        <v>6.1</v>
      </c>
      <c r="B1073" s="18" t="s">
        <v>994</v>
      </c>
      <c r="C1073" s="31">
        <v>23</v>
      </c>
      <c r="D1073" s="713" t="s">
        <v>3</v>
      </c>
      <c r="E1073" s="714">
        <v>38964.559999999998</v>
      </c>
      <c r="F1073" s="1864">
        <f t="shared" si="47"/>
        <v>896184.88</v>
      </c>
      <c r="G1073" s="510"/>
    </row>
    <row r="1074" spans="1:256">
      <c r="A1074" s="1860">
        <v>6.2</v>
      </c>
      <c r="B1074" s="1794" t="s">
        <v>1215</v>
      </c>
      <c r="C1074" s="510">
        <v>4</v>
      </c>
      <c r="D1074" s="510" t="s">
        <v>3</v>
      </c>
      <c r="E1074" s="510">
        <v>23500</v>
      </c>
      <c r="F1074" s="1899">
        <f t="shared" si="47"/>
        <v>94000</v>
      </c>
      <c r="G1074" s="510"/>
    </row>
    <row r="1075" spans="1:256">
      <c r="A1075" s="1860">
        <v>6.3</v>
      </c>
      <c r="B1075" s="18" t="s">
        <v>983</v>
      </c>
      <c r="C1075" s="1838">
        <v>21</v>
      </c>
      <c r="D1075" s="713" t="s">
        <v>3</v>
      </c>
      <c r="E1075" s="714">
        <v>50772.81</v>
      </c>
      <c r="F1075" s="1864">
        <f t="shared" si="47"/>
        <v>1066229.01</v>
      </c>
      <c r="G1075" s="510"/>
    </row>
    <row r="1076" spans="1:256">
      <c r="A1076" s="1860">
        <v>6.4</v>
      </c>
      <c r="B1076" s="18" t="s">
        <v>414</v>
      </c>
      <c r="C1076" s="31">
        <v>21</v>
      </c>
      <c r="D1076" s="713" t="s">
        <v>3</v>
      </c>
      <c r="E1076" s="714">
        <v>3500</v>
      </c>
      <c r="F1076" s="1864">
        <f t="shared" si="47"/>
        <v>73500</v>
      </c>
      <c r="G1076" s="510"/>
    </row>
    <row r="1077" spans="1:256">
      <c r="A1077" s="1868">
        <v>6.5</v>
      </c>
      <c r="B1077" s="1824" t="s">
        <v>2256</v>
      </c>
      <c r="C1077" s="1813">
        <v>27</v>
      </c>
      <c r="D1077" s="1821" t="s">
        <v>3</v>
      </c>
      <c r="E1077" s="1825">
        <v>22500</v>
      </c>
      <c r="F1077" s="1879">
        <f t="shared" si="47"/>
        <v>607500</v>
      </c>
      <c r="G1077" s="510"/>
    </row>
    <row r="1078" spans="1:256">
      <c r="A1078" s="1860"/>
      <c r="B1078" s="28"/>
      <c r="C1078" s="31"/>
      <c r="D1078" s="713"/>
      <c r="E1078" s="31"/>
      <c r="F1078" s="1864"/>
      <c r="G1078" s="510"/>
    </row>
    <row r="1079" spans="1:256">
      <c r="A1079" s="1867">
        <v>7</v>
      </c>
      <c r="B1079" s="1804" t="s">
        <v>59</v>
      </c>
      <c r="C1079" s="808"/>
      <c r="D1079" s="1804"/>
      <c r="E1079" s="1755"/>
      <c r="F1079">
        <f>+ROUND(C1079*E1079,2)</f>
        <v>0</v>
      </c>
      <c r="G1079" s="1754"/>
      <c r="H1079" s="1846"/>
      <c r="I1079" s="1754"/>
      <c r="J1079" s="1846"/>
      <c r="K1079" s="1754"/>
      <c r="L1079" s="1846"/>
      <c r="M1079" s="1803"/>
      <c r="N1079" s="1737"/>
      <c r="O1079" s="808"/>
      <c r="P1079" s="1737"/>
      <c r="Q1079" s="808"/>
      <c r="R1079" s="1737"/>
      <c r="S1079" s="808"/>
      <c r="T1079" s="1737"/>
      <c r="U1079" s="808"/>
      <c r="V1079" s="1737"/>
      <c r="W1079" s="808"/>
      <c r="X1079" s="1737"/>
      <c r="Y1079" s="808"/>
      <c r="Z1079" s="1737"/>
      <c r="AA1079" s="808"/>
      <c r="AB1079" s="1737"/>
      <c r="AC1079" s="808"/>
      <c r="AD1079" s="1737"/>
      <c r="AE1079" s="808"/>
      <c r="AF1079" s="1737"/>
      <c r="AG1079" s="808"/>
      <c r="AH1079" s="1737"/>
      <c r="AI1079" s="808"/>
      <c r="AJ1079" s="1737"/>
      <c r="AK1079" s="808"/>
      <c r="AL1079" s="1737"/>
      <c r="AM1079" s="808"/>
      <c r="AN1079" s="1737"/>
      <c r="AO1079" s="808"/>
      <c r="AP1079" s="1737"/>
      <c r="AQ1079" s="808"/>
      <c r="AR1079" s="1737"/>
      <c r="AS1079" s="808"/>
      <c r="AT1079" s="1737"/>
      <c r="AU1079" s="808"/>
      <c r="AV1079" s="1737"/>
      <c r="AW1079" s="808"/>
      <c r="AX1079" s="1737"/>
      <c r="AY1079" s="808"/>
      <c r="AZ1079" s="1737"/>
      <c r="BA1079" s="808"/>
      <c r="BB1079" s="1737"/>
      <c r="BC1079" s="808"/>
      <c r="BD1079" s="1737"/>
      <c r="BE1079" s="808"/>
      <c r="BF1079" s="1737"/>
      <c r="BG1079" s="808"/>
      <c r="BH1079" s="1737"/>
      <c r="BI1079" s="808"/>
      <c r="BJ1079" s="1737"/>
      <c r="BK1079" s="808"/>
      <c r="BL1079" s="1737"/>
      <c r="BM1079" s="808"/>
      <c r="BN1079" s="1737"/>
      <c r="BO1079" s="808"/>
      <c r="BP1079" s="1737"/>
      <c r="BQ1079" s="808"/>
      <c r="BR1079" s="1737"/>
      <c r="BS1079" s="808"/>
      <c r="BT1079" s="1737"/>
      <c r="BU1079" s="808"/>
      <c r="BV1079" s="1737"/>
      <c r="BW1079" s="808"/>
      <c r="BX1079" s="1737"/>
      <c r="BY1079" s="808"/>
      <c r="BZ1079" s="1737"/>
      <c r="CA1079" s="808"/>
      <c r="CB1079" s="1737"/>
      <c r="CC1079" s="808"/>
      <c r="CD1079" s="1737"/>
      <c r="CE1079" s="808"/>
      <c r="CF1079" s="1737"/>
      <c r="CG1079" s="808"/>
      <c r="CH1079" s="1737"/>
      <c r="CI1079" s="808"/>
      <c r="CJ1079" s="1737"/>
      <c r="CK1079" s="808"/>
      <c r="CL1079" s="1737"/>
      <c r="CM1079" s="808"/>
      <c r="CN1079" s="1737"/>
      <c r="CO1079" s="808"/>
      <c r="CP1079" s="1737"/>
      <c r="CQ1079" s="808"/>
      <c r="CR1079" s="1737"/>
      <c r="CS1079" s="808"/>
      <c r="CT1079" s="1737"/>
      <c r="CU1079" s="808"/>
      <c r="CV1079" s="1737"/>
      <c r="CW1079" s="808"/>
      <c r="CX1079" s="1737"/>
      <c r="CY1079" s="808"/>
      <c r="CZ1079" s="1737"/>
      <c r="DA1079" s="808"/>
      <c r="DB1079" s="1737"/>
      <c r="DC1079" s="808"/>
      <c r="DD1079" s="1737"/>
      <c r="DE1079" s="808"/>
      <c r="DF1079" s="1737"/>
      <c r="DG1079" s="808"/>
      <c r="DH1079" s="1737"/>
      <c r="DI1079" s="808"/>
      <c r="DJ1079" s="1737"/>
      <c r="DK1079" s="808"/>
      <c r="DL1079" s="1737"/>
      <c r="DM1079" s="808"/>
      <c r="DN1079" s="1737"/>
      <c r="DO1079" s="808"/>
      <c r="DP1079" s="1737"/>
      <c r="DQ1079" s="808"/>
      <c r="DR1079" s="1737"/>
      <c r="DS1079" s="808"/>
      <c r="DT1079" s="1737"/>
      <c r="DU1079" s="808"/>
      <c r="DV1079" s="1737"/>
      <c r="DW1079" s="808"/>
      <c r="DX1079" s="1737"/>
      <c r="DY1079" s="808"/>
      <c r="DZ1079" s="1737"/>
      <c r="EA1079" s="808"/>
      <c r="EB1079" s="1737"/>
      <c r="EC1079" s="808"/>
      <c r="ED1079" s="1737"/>
      <c r="EE1079" s="808"/>
      <c r="EF1079" s="1737"/>
      <c r="EG1079" s="808"/>
      <c r="EH1079" s="1737"/>
      <c r="EI1079" s="808"/>
      <c r="EJ1079" s="1737"/>
      <c r="EK1079" s="808"/>
      <c r="EL1079" s="1737"/>
      <c r="EM1079" s="808"/>
      <c r="EN1079" s="1737"/>
      <c r="EO1079" s="808"/>
      <c r="EP1079" s="1737"/>
      <c r="EQ1079" s="808"/>
      <c r="ER1079" s="1737"/>
      <c r="ES1079" s="808"/>
      <c r="ET1079" s="1737"/>
      <c r="EU1079" s="808"/>
      <c r="EV1079" s="1737"/>
      <c r="EW1079" s="808"/>
      <c r="EX1079" s="1737"/>
      <c r="EY1079" s="808"/>
      <c r="EZ1079" s="1737"/>
      <c r="FA1079" s="808"/>
      <c r="FB1079" s="1737"/>
      <c r="FC1079" s="808"/>
      <c r="FD1079" s="1737"/>
      <c r="FE1079" s="808"/>
      <c r="FF1079" s="1737"/>
      <c r="FG1079" s="808"/>
      <c r="FH1079" s="1737"/>
      <c r="FI1079" s="808"/>
      <c r="FJ1079" s="1737"/>
      <c r="FK1079" s="808"/>
      <c r="FL1079" s="1737"/>
      <c r="FM1079" s="808"/>
      <c r="FN1079" s="1737"/>
      <c r="FO1079" s="808"/>
      <c r="FP1079" s="1737"/>
      <c r="FQ1079" s="808"/>
      <c r="FR1079" s="1737"/>
      <c r="FS1079" s="808"/>
      <c r="FT1079" s="1737"/>
      <c r="FU1079" s="808"/>
      <c r="FV1079" s="1737"/>
      <c r="FW1079" s="808"/>
      <c r="FX1079" s="1737"/>
      <c r="FY1079" s="808"/>
      <c r="FZ1079" s="1737"/>
      <c r="GA1079" s="808"/>
      <c r="GB1079" s="1737"/>
      <c r="GC1079" s="808"/>
      <c r="GD1079" s="1737"/>
      <c r="GE1079" s="808"/>
      <c r="GF1079" s="1737"/>
      <c r="GG1079" s="808"/>
      <c r="GH1079" s="1737"/>
      <c r="GI1079" s="808"/>
      <c r="GJ1079" s="1737"/>
      <c r="GK1079" s="808"/>
      <c r="GL1079" s="1737"/>
      <c r="GM1079" s="808"/>
      <c r="GN1079" s="1737"/>
      <c r="GO1079" s="808"/>
      <c r="GP1079" s="1737"/>
      <c r="GQ1079" s="808"/>
      <c r="GR1079" s="1737"/>
      <c r="GS1079" s="808"/>
      <c r="GT1079" s="1737"/>
      <c r="GU1079" s="808"/>
      <c r="GV1079" s="1737"/>
      <c r="GW1079" s="808"/>
      <c r="GX1079" s="1737"/>
      <c r="GY1079" s="808"/>
      <c r="GZ1079" s="1737"/>
      <c r="HA1079" s="808"/>
      <c r="HB1079" s="1737"/>
      <c r="HC1079" s="808"/>
      <c r="HD1079" s="1737"/>
      <c r="HE1079" s="808"/>
      <c r="HF1079" s="1737"/>
      <c r="HG1079" s="808"/>
      <c r="HH1079" s="1737"/>
      <c r="HI1079" s="808"/>
      <c r="HJ1079" s="1737"/>
      <c r="HK1079" s="808"/>
      <c r="HL1079" s="1737"/>
      <c r="HM1079" s="808"/>
      <c r="HN1079" s="1737"/>
      <c r="HO1079" s="808"/>
      <c r="HP1079" s="1737"/>
      <c r="HQ1079" s="808"/>
      <c r="HR1079" s="1737"/>
      <c r="HS1079" s="808"/>
      <c r="HT1079" s="1737"/>
      <c r="HU1079" s="808"/>
      <c r="HV1079" s="1737"/>
      <c r="HW1079" s="808"/>
      <c r="HX1079" s="1737"/>
      <c r="HY1079" s="808"/>
      <c r="HZ1079" s="1737"/>
      <c r="IA1079" s="808"/>
      <c r="IB1079" s="1737"/>
      <c r="IC1079" s="808"/>
      <c r="ID1079" s="1737"/>
      <c r="IE1079" s="808"/>
      <c r="IF1079" s="1737"/>
      <c r="IG1079" s="808"/>
      <c r="IH1079" s="1737"/>
      <c r="II1079" s="808"/>
      <c r="IJ1079" s="1737"/>
      <c r="IK1079" s="808"/>
      <c r="IL1079" s="1737"/>
      <c r="IM1079" s="808"/>
      <c r="IN1079" s="1737"/>
      <c r="IO1079" s="808"/>
      <c r="IP1079" s="1737"/>
      <c r="IQ1079" s="808"/>
      <c r="IR1079" s="1737"/>
      <c r="IS1079" s="808"/>
      <c r="IT1079" s="1737"/>
      <c r="IU1079" s="808"/>
      <c r="IV1079" s="1737"/>
    </row>
    <row r="1080" spans="1:256">
      <c r="A1080" s="1860">
        <v>7.1</v>
      </c>
      <c r="B1080" s="18" t="s">
        <v>2254</v>
      </c>
      <c r="C1080" s="31">
        <v>4812</v>
      </c>
      <c r="D1080" s="713" t="s">
        <v>1</v>
      </c>
      <c r="E1080" s="714">
        <v>53.28</v>
      </c>
      <c r="F1080" s="1864">
        <f>+ROUND(C1080*E1080,2)</f>
        <v>256383.35999999999</v>
      </c>
      <c r="G1080" s="510"/>
    </row>
    <row r="1081" spans="1:256">
      <c r="A1081" s="1860"/>
      <c r="B1081" s="18"/>
      <c r="C1081" s="31"/>
      <c r="D1081" s="713"/>
      <c r="E1081" s="714"/>
      <c r="F1081" s="1864"/>
      <c r="G1081" s="510"/>
    </row>
    <row r="1082" spans="1:256" ht="38.25">
      <c r="A1082" s="1865">
        <v>8</v>
      </c>
      <c r="B1082" s="745" t="s">
        <v>520</v>
      </c>
      <c r="C1082" s="31">
        <v>4812</v>
      </c>
      <c r="D1082" s="713" t="s">
        <v>1</v>
      </c>
      <c r="E1082" s="1582">
        <v>50.15</v>
      </c>
      <c r="F1082" s="1864">
        <f>ROUND(C1082*E1082,2)</f>
        <v>241321.8</v>
      </c>
      <c r="G1082" s="510"/>
    </row>
    <row r="1083" spans="1:256">
      <c r="A1083" s="1860"/>
      <c r="B1083" s="1794"/>
      <c r="C1083" s="31"/>
      <c r="D1083" s="713"/>
      <c r="E1083" s="31"/>
      <c r="F1083" s="1864"/>
      <c r="G1083" s="510"/>
    </row>
    <row r="1084" spans="1:256">
      <c r="A1084" s="1860">
        <v>9</v>
      </c>
      <c r="B1084" s="1794" t="s">
        <v>462</v>
      </c>
      <c r="C1084" s="31">
        <v>4812</v>
      </c>
      <c r="D1084" s="713" t="s">
        <v>1</v>
      </c>
      <c r="E1084" s="31">
        <v>21</v>
      </c>
      <c r="F1084" s="1864">
        <f>ROUND(C1084*E1084,2)</f>
        <v>101052</v>
      </c>
      <c r="G1084" s="510"/>
    </row>
    <row r="1085" spans="1:256" s="1539" customFormat="1" ht="16.5" customHeight="1">
      <c r="A1085" s="1873"/>
      <c r="B1085" s="1827" t="s">
        <v>2260</v>
      </c>
      <c r="C1085" s="1827"/>
      <c r="D1085" s="1827"/>
      <c r="E1085" s="1828"/>
      <c r="F1085" s="1874">
        <f>SUM(F1046:F1084)</f>
        <v>25619167.699999999</v>
      </c>
      <c r="G1085" s="1741"/>
    </row>
    <row r="1086" spans="1:256">
      <c r="A1086" s="1859"/>
      <c r="B1086" s="1794"/>
      <c r="C1086" s="31"/>
      <c r="D1086" s="713"/>
      <c r="E1086" s="31"/>
      <c r="F1086" s="1864"/>
      <c r="G1086" s="510"/>
    </row>
    <row r="1087" spans="1:256">
      <c r="A1087" s="1867" t="s">
        <v>32</v>
      </c>
      <c r="B1087" s="1804" t="s">
        <v>33</v>
      </c>
      <c r="C1087" s="808"/>
      <c r="D1087" s="1804"/>
      <c r="E1087" s="1755"/>
      <c r="F1087"/>
      <c r="G1087" s="1754"/>
      <c r="H1087" s="1846"/>
      <c r="I1087" s="1754"/>
      <c r="J1087" s="1846"/>
      <c r="K1087" s="1754"/>
      <c r="L1087" s="1846"/>
      <c r="M1087" s="1803"/>
      <c r="N1087" s="1737"/>
      <c r="O1087" s="808"/>
      <c r="P1087" s="1737"/>
      <c r="Q1087" s="808"/>
      <c r="R1087" s="1737"/>
      <c r="S1087" s="808"/>
      <c r="T1087" s="1737"/>
      <c r="U1087" s="808"/>
      <c r="V1087" s="1737"/>
      <c r="W1087" s="808"/>
      <c r="X1087" s="1737"/>
      <c r="Y1087" s="808"/>
      <c r="Z1087" s="1737"/>
      <c r="AA1087" s="808"/>
      <c r="AB1087" s="1737"/>
      <c r="AC1087" s="808"/>
      <c r="AD1087" s="1737"/>
      <c r="AE1087" s="808"/>
      <c r="AF1087" s="1737"/>
      <c r="AG1087" s="808"/>
      <c r="AH1087" s="1737"/>
      <c r="AI1087" s="808"/>
      <c r="AJ1087" s="1737"/>
      <c r="AK1087" s="808"/>
      <c r="AL1087" s="1737"/>
      <c r="AM1087" s="808"/>
      <c r="AN1087" s="1737"/>
      <c r="AO1087" s="808"/>
      <c r="AP1087" s="1737"/>
      <c r="AQ1087" s="808"/>
      <c r="AR1087" s="1737"/>
      <c r="AS1087" s="808"/>
      <c r="AT1087" s="1737"/>
      <c r="AU1087" s="808"/>
      <c r="AV1087" s="1737"/>
      <c r="AW1087" s="808"/>
      <c r="AX1087" s="1737"/>
      <c r="AY1087" s="808"/>
      <c r="AZ1087" s="1737"/>
      <c r="BA1087" s="808"/>
      <c r="BB1087" s="1737"/>
      <c r="BC1087" s="808"/>
      <c r="BD1087" s="1737"/>
      <c r="BE1087" s="808"/>
      <c r="BF1087" s="1737"/>
      <c r="BG1087" s="808"/>
      <c r="BH1087" s="1737"/>
      <c r="BI1087" s="808"/>
      <c r="BJ1087" s="1737"/>
      <c r="BK1087" s="808"/>
      <c r="BL1087" s="1737"/>
      <c r="BM1087" s="808"/>
      <c r="BN1087" s="1737"/>
      <c r="BO1087" s="808"/>
      <c r="BP1087" s="1737"/>
      <c r="BQ1087" s="808"/>
      <c r="BR1087" s="1737"/>
      <c r="BS1087" s="808"/>
      <c r="BT1087" s="1737"/>
      <c r="BU1087" s="808"/>
      <c r="BV1087" s="1737"/>
      <c r="BW1087" s="808"/>
      <c r="BX1087" s="1737"/>
      <c r="BY1087" s="808"/>
      <c r="BZ1087" s="1737"/>
      <c r="CA1087" s="808"/>
      <c r="CB1087" s="1737"/>
      <c r="CC1087" s="808"/>
      <c r="CD1087" s="1737"/>
      <c r="CE1087" s="808"/>
      <c r="CF1087" s="1737"/>
      <c r="CG1087" s="808"/>
      <c r="CH1087" s="1737"/>
      <c r="CI1087" s="808"/>
      <c r="CJ1087" s="1737"/>
      <c r="CK1087" s="808"/>
      <c r="CL1087" s="1737"/>
      <c r="CM1087" s="808"/>
      <c r="CN1087" s="1737"/>
      <c r="CO1087" s="808"/>
      <c r="CP1087" s="1737"/>
      <c r="CQ1087" s="808"/>
      <c r="CR1087" s="1737"/>
      <c r="CS1087" s="808"/>
      <c r="CT1087" s="1737"/>
      <c r="CU1087" s="808"/>
      <c r="CV1087" s="1737"/>
      <c r="CW1087" s="808"/>
      <c r="CX1087" s="1737"/>
      <c r="CY1087" s="808"/>
      <c r="CZ1087" s="1737"/>
      <c r="DA1087" s="808"/>
      <c r="DB1087" s="1737"/>
      <c r="DC1087" s="808"/>
      <c r="DD1087" s="1737"/>
      <c r="DE1087" s="808"/>
      <c r="DF1087" s="1737"/>
      <c r="DG1087" s="808"/>
      <c r="DH1087" s="1737"/>
      <c r="DI1087" s="808"/>
      <c r="DJ1087" s="1737"/>
      <c r="DK1087" s="808"/>
      <c r="DL1087" s="1737"/>
      <c r="DM1087" s="808"/>
      <c r="DN1087" s="1737"/>
      <c r="DO1087" s="808"/>
      <c r="DP1087" s="1737"/>
      <c r="DQ1087" s="808"/>
      <c r="DR1087" s="1737"/>
      <c r="DS1087" s="808"/>
      <c r="DT1087" s="1737"/>
      <c r="DU1087" s="808"/>
      <c r="DV1087" s="1737"/>
      <c r="DW1087" s="808"/>
      <c r="DX1087" s="1737"/>
      <c r="DY1087" s="808"/>
      <c r="DZ1087" s="1737"/>
      <c r="EA1087" s="808"/>
      <c r="EB1087" s="1737"/>
      <c r="EC1087" s="808"/>
      <c r="ED1087" s="1737"/>
      <c r="EE1087" s="808"/>
      <c r="EF1087" s="1737"/>
      <c r="EG1087" s="808"/>
      <c r="EH1087" s="1737"/>
      <c r="EI1087" s="808"/>
      <c r="EJ1087" s="1737"/>
      <c r="EK1087" s="808"/>
      <c r="EL1087" s="1737"/>
      <c r="EM1087" s="808"/>
      <c r="EN1087" s="1737"/>
      <c r="EO1087" s="808"/>
      <c r="EP1087" s="1737"/>
      <c r="EQ1087" s="808"/>
      <c r="ER1087" s="1737"/>
      <c r="ES1087" s="808"/>
      <c r="ET1087" s="1737"/>
      <c r="EU1087" s="808"/>
      <c r="EV1087" s="1737"/>
      <c r="EW1087" s="808"/>
      <c r="EX1087" s="1737"/>
      <c r="EY1087" s="808"/>
      <c r="EZ1087" s="1737"/>
      <c r="FA1087" s="808"/>
      <c r="FB1087" s="1737"/>
      <c r="FC1087" s="808"/>
      <c r="FD1087" s="1737"/>
      <c r="FE1087" s="808"/>
      <c r="FF1087" s="1737"/>
      <c r="FG1087" s="808"/>
      <c r="FH1087" s="1737"/>
      <c r="FI1087" s="808"/>
      <c r="FJ1087" s="1737"/>
      <c r="FK1087" s="808"/>
      <c r="FL1087" s="1737"/>
      <c r="FM1087" s="808"/>
      <c r="FN1087" s="1737"/>
      <c r="FO1087" s="808"/>
      <c r="FP1087" s="1737"/>
      <c r="FQ1087" s="808"/>
      <c r="FR1087" s="1737"/>
      <c r="FS1087" s="808"/>
      <c r="FT1087" s="1737"/>
      <c r="FU1087" s="808"/>
      <c r="FV1087" s="1737"/>
      <c r="FW1087" s="808"/>
      <c r="FX1087" s="1737"/>
      <c r="FY1087" s="808"/>
      <c r="FZ1087" s="1737"/>
      <c r="GA1087" s="808"/>
      <c r="GB1087" s="1737"/>
      <c r="GC1087" s="808"/>
      <c r="GD1087" s="1737"/>
      <c r="GE1087" s="808"/>
      <c r="GF1087" s="1737"/>
      <c r="GG1087" s="808"/>
      <c r="GH1087" s="1737"/>
      <c r="GI1087" s="808"/>
      <c r="GJ1087" s="1737"/>
      <c r="GK1087" s="808"/>
      <c r="GL1087" s="1737"/>
      <c r="GM1087" s="808"/>
      <c r="GN1087" s="1737"/>
      <c r="GO1087" s="808"/>
      <c r="GP1087" s="1737"/>
      <c r="GQ1087" s="808"/>
      <c r="GR1087" s="1737"/>
      <c r="GS1087" s="808"/>
      <c r="GT1087" s="1737"/>
      <c r="GU1087" s="808"/>
      <c r="GV1087" s="1737"/>
      <c r="GW1087" s="808"/>
      <c r="GX1087" s="1737"/>
      <c r="GY1087" s="808"/>
      <c r="GZ1087" s="1737"/>
      <c r="HA1087" s="808"/>
      <c r="HB1087" s="1737"/>
      <c r="HC1087" s="808"/>
      <c r="HD1087" s="1737"/>
      <c r="HE1087" s="808"/>
      <c r="HF1087" s="1737"/>
      <c r="HG1087" s="808"/>
      <c r="HH1087" s="1737"/>
      <c r="HI1087" s="808"/>
      <c r="HJ1087" s="1737"/>
      <c r="HK1087" s="808"/>
      <c r="HL1087" s="1737"/>
      <c r="HM1087" s="808"/>
      <c r="HN1087" s="1737"/>
      <c r="HO1087" s="808"/>
      <c r="HP1087" s="1737"/>
      <c r="HQ1087" s="808"/>
      <c r="HR1087" s="1737"/>
      <c r="HS1087" s="808"/>
      <c r="HT1087" s="1737"/>
      <c r="HU1087" s="808"/>
      <c r="HV1087" s="1737"/>
      <c r="HW1087" s="808"/>
      <c r="HX1087" s="1737"/>
      <c r="HY1087" s="808"/>
      <c r="HZ1087" s="1737"/>
      <c r="IA1087" s="808"/>
      <c r="IB1087" s="1737"/>
      <c r="IC1087" s="808"/>
      <c r="ID1087" s="1737"/>
      <c r="IE1087" s="808"/>
      <c r="IF1087" s="1737"/>
      <c r="IG1087" s="808"/>
      <c r="IH1087" s="1737"/>
      <c r="II1087" s="808"/>
      <c r="IJ1087" s="1737"/>
      <c r="IK1087" s="808"/>
      <c r="IL1087" s="1737"/>
      <c r="IM1087" s="808"/>
      <c r="IN1087" s="1737"/>
      <c r="IO1087" s="808"/>
      <c r="IP1087" s="1737"/>
      <c r="IQ1087" s="808"/>
      <c r="IR1087" s="1737"/>
      <c r="IS1087" s="808"/>
      <c r="IT1087" s="1737"/>
      <c r="IU1087" s="808"/>
      <c r="IV1087" s="1737"/>
    </row>
    <row r="1088" spans="1:256" ht="63.75">
      <c r="A1088" s="1865">
        <v>1</v>
      </c>
      <c r="B1088" s="18" t="s">
        <v>1177</v>
      </c>
      <c r="C1088" s="31">
        <v>1</v>
      </c>
      <c r="D1088" s="713" t="s">
        <v>3</v>
      </c>
      <c r="E1088" s="714">
        <v>42316.79</v>
      </c>
      <c r="F1088" s="1864">
        <f>+ROUND(C1088*E1088,2)</f>
        <v>42316.79</v>
      </c>
      <c r="G1088" s="510"/>
    </row>
    <row r="1089" spans="1:12" ht="38.25">
      <c r="A1089" s="1865">
        <v>2</v>
      </c>
      <c r="B1089" s="1201" t="s">
        <v>1960</v>
      </c>
      <c r="C1089" s="31">
        <v>10</v>
      </c>
      <c r="D1089" s="713" t="s">
        <v>521</v>
      </c>
      <c r="E1089" s="714">
        <v>52500</v>
      </c>
      <c r="F1089" s="1864">
        <f>+ROUND(C1089*E1089,2)</f>
        <v>525000</v>
      </c>
      <c r="G1089" s="510"/>
    </row>
    <row r="1090" spans="1:12" s="1539" customFormat="1" ht="16.5" customHeight="1">
      <c r="A1090" s="1873"/>
      <c r="B1090" s="1827" t="s">
        <v>34</v>
      </c>
      <c r="C1090" s="1827"/>
      <c r="D1090" s="1827"/>
      <c r="E1090" s="1828"/>
      <c r="F1090" s="1874">
        <f>SUM(F1088:F1089)</f>
        <v>567316.79</v>
      </c>
      <c r="G1090" s="1741"/>
    </row>
    <row r="1091" spans="1:12">
      <c r="A1091" s="1859"/>
      <c r="B1091" s="18"/>
      <c r="C1091" s="712"/>
      <c r="D1091" s="713"/>
      <c r="E1091" s="714"/>
      <c r="F1091" s="1864"/>
      <c r="G1091" s="510"/>
    </row>
    <row r="1092" spans="1:12" s="1539" customFormat="1" ht="16.5" customHeight="1">
      <c r="A1092"/>
      <c r="B1092" s="1835" t="s">
        <v>15</v>
      </c>
      <c r="C1092" s="1835"/>
      <c r="D1092" s="1835"/>
      <c r="E1092" s="1836"/>
      <c r="F1092" s="1874">
        <f>+F1090+F1085+F1042+F919+F882+F830+F731+F692+F61</f>
        <v>104757334.73999999</v>
      </c>
      <c r="G1092" s="1741"/>
    </row>
    <row r="1093" spans="1:12" s="1539" customFormat="1" ht="16.5" customHeight="1">
      <c r="A1093" s="1873"/>
      <c r="B1093" s="1827" t="s">
        <v>15</v>
      </c>
      <c r="C1093" s="1827"/>
      <c r="D1093" s="1827"/>
      <c r="E1093" s="1828"/>
      <c r="F1093" s="1874">
        <f>+F1092</f>
        <v>104757334.73999999</v>
      </c>
      <c r="G1093" s="1741"/>
    </row>
    <row r="1094" spans="1:12">
      <c r="A1094" s="1859"/>
      <c r="B1094" s="1794"/>
      <c r="C1094" s="31"/>
      <c r="D1094" s="1794"/>
      <c r="E1094" s="31"/>
      <c r="F1094" s="1856"/>
      <c r="G1094" s="44"/>
    </row>
    <row r="1095" spans="1:12" s="1739" customFormat="1">
      <c r="A1095" s="1859"/>
      <c r="B1095" s="1806" t="s">
        <v>16</v>
      </c>
      <c r="C1095" s="522"/>
      <c r="D1095" s="1798"/>
      <c r="E1095" s="1799"/>
      <c r="F1095" s="1872"/>
      <c r="G1095" s="842"/>
      <c r="H1095" s="842"/>
      <c r="I1095" s="842"/>
      <c r="J1095" s="842"/>
      <c r="K1095" s="842"/>
      <c r="L1095" s="842"/>
    </row>
    <row r="1096" spans="1:12" s="1739" customFormat="1">
      <c r="A1096" s="1859"/>
      <c r="B1096" s="1808" t="s">
        <v>17</v>
      </c>
      <c r="C1096" s="1801">
        <v>0.1</v>
      </c>
      <c r="D1096" s="1798"/>
      <c r="E1096" s="1799"/>
      <c r="F1096" s="1864">
        <f t="shared" ref="F1096:F1102" si="48">+ROUND(C1096*$F$1093,2)</f>
        <v>10475733.470000001</v>
      </c>
      <c r="G1096" s="842"/>
      <c r="H1096" s="842"/>
      <c r="I1096" s="842"/>
      <c r="J1096" s="842"/>
      <c r="K1096" s="842"/>
      <c r="L1096" s="842"/>
    </row>
    <row r="1097" spans="1:12" s="1739" customFormat="1">
      <c r="A1097" s="1859"/>
      <c r="B1097" s="1808" t="s">
        <v>8</v>
      </c>
      <c r="C1097" s="1801">
        <v>0.03</v>
      </c>
      <c r="D1097" s="1798"/>
      <c r="E1097" s="1799"/>
      <c r="F1097" s="1864">
        <f t="shared" si="48"/>
        <v>3142720.04</v>
      </c>
      <c r="G1097" s="842"/>
      <c r="H1097" s="842"/>
      <c r="I1097" s="842"/>
      <c r="J1097" s="842"/>
      <c r="K1097" s="842"/>
      <c r="L1097" s="842"/>
    </row>
    <row r="1098" spans="1:12" s="1739" customFormat="1">
      <c r="A1098" s="1859"/>
      <c r="B1098" s="1808" t="s">
        <v>18</v>
      </c>
      <c r="C1098" s="1801">
        <v>0.04</v>
      </c>
      <c r="D1098" s="1798"/>
      <c r="E1098" s="1799"/>
      <c r="F1098" s="1864">
        <f t="shared" si="48"/>
        <v>4190293.39</v>
      </c>
      <c r="G1098" s="842"/>
      <c r="H1098" s="842"/>
      <c r="I1098" s="842"/>
      <c r="J1098" s="842"/>
      <c r="K1098" s="842"/>
      <c r="L1098" s="842"/>
    </row>
    <row r="1099" spans="1:12" s="1739" customFormat="1">
      <c r="A1099" s="1859"/>
      <c r="B1099" s="1808" t="s">
        <v>19</v>
      </c>
      <c r="C1099" s="1801">
        <v>0.04</v>
      </c>
      <c r="D1099" s="1798"/>
      <c r="E1099" s="1799"/>
      <c r="F1099" s="1864">
        <f t="shared" si="48"/>
        <v>4190293.39</v>
      </c>
      <c r="G1099" s="842"/>
      <c r="H1099" s="842"/>
      <c r="I1099" s="842"/>
      <c r="J1099" s="842"/>
      <c r="K1099" s="842"/>
      <c r="L1099" s="842"/>
    </row>
    <row r="1100" spans="1:12" s="1739" customFormat="1">
      <c r="A1100" s="1859"/>
      <c r="B1100" s="1808" t="s">
        <v>2160</v>
      </c>
      <c r="C1100" s="1801">
        <v>0.1</v>
      </c>
      <c r="D1100" s="1798"/>
      <c r="E1100" s="1799"/>
      <c r="F1100" s="1864">
        <f t="shared" si="48"/>
        <v>10475733.470000001</v>
      </c>
      <c r="G1100" s="842"/>
      <c r="H1100" s="842"/>
      <c r="I1100" s="842"/>
      <c r="J1100" s="842"/>
      <c r="K1100" s="842"/>
      <c r="L1100" s="842"/>
    </row>
    <row r="1101" spans="1:12" s="1739" customFormat="1">
      <c r="A1101" s="1859"/>
      <c r="B1101" t="s">
        <v>2161</v>
      </c>
      <c r="C1101" s="1802">
        <v>0.03</v>
      </c>
      <c r="D1101" s="1798"/>
      <c r="E1101" s="1799"/>
      <c r="F1101" s="1864">
        <f t="shared" si="48"/>
        <v>3142720.04</v>
      </c>
      <c r="G1101" s="842"/>
      <c r="H1101" s="842"/>
      <c r="I1101" s="842"/>
      <c r="J1101" s="842"/>
      <c r="K1101" s="842"/>
      <c r="L1101" s="842"/>
    </row>
    <row r="1102" spans="1:12" s="1739" customFormat="1">
      <c r="A1102" s="1865"/>
      <c r="B1102" s="1808" t="s">
        <v>21</v>
      </c>
      <c r="C1102" s="1801">
        <v>0.01</v>
      </c>
      <c r="D1102" s="1798"/>
      <c r="E1102" s="1799"/>
      <c r="F1102" s="1864">
        <f t="shared" si="48"/>
        <v>1047573.35</v>
      </c>
      <c r="G1102" s="842"/>
      <c r="H1102" s="842"/>
      <c r="I1102" s="842"/>
      <c r="J1102" s="842"/>
      <c r="K1102" s="842"/>
      <c r="L1102" s="842"/>
    </row>
    <row r="1103" spans="1:12" s="1739" customFormat="1">
      <c r="A1103" s="1865"/>
      <c r="B1103" s="1808" t="s">
        <v>22</v>
      </c>
      <c r="C1103" s="1801">
        <v>0.18</v>
      </c>
      <c r="D1103" s="1798"/>
      <c r="E1103" s="1799"/>
      <c r="F1103" s="1864">
        <f>+ROUND(C1103*$F$1096,2)</f>
        <v>1885632.02</v>
      </c>
      <c r="G1103" s="44"/>
      <c r="H1103" s="842"/>
      <c r="I1103" s="842"/>
      <c r="J1103" s="842"/>
      <c r="K1103" s="842"/>
      <c r="L1103" s="842"/>
    </row>
    <row r="1104" spans="1:12" s="1739" customFormat="1">
      <c r="A1104" s="1865"/>
      <c r="B1104" s="1808" t="s">
        <v>459</v>
      </c>
      <c r="C1104" s="1801">
        <v>1E-3</v>
      </c>
      <c r="D1104" s="1798"/>
      <c r="E1104" s="1799"/>
      <c r="F1104" s="1864">
        <f>+ROUND(C1104*$F$1093,2)</f>
        <v>104757.33</v>
      </c>
      <c r="G1104" s="44"/>
      <c r="H1104" s="842"/>
      <c r="I1104" s="842"/>
      <c r="J1104" s="842"/>
      <c r="K1104" s="842"/>
      <c r="L1104" s="842"/>
    </row>
    <row r="1105" spans="1:12" s="1739" customFormat="1">
      <c r="A1105" s="1865"/>
      <c r="B1105" s="1808" t="s">
        <v>24</v>
      </c>
      <c r="C1105" s="1801">
        <v>0.1</v>
      </c>
      <c r="D1105" s="1798"/>
      <c r="E1105" s="1799"/>
      <c r="F1105" s="1864">
        <f>+ROUND(C1105*$F$1093,2)</f>
        <v>10475733.470000001</v>
      </c>
      <c r="G1105" s="44"/>
      <c r="H1105" s="842"/>
      <c r="I1105" s="842"/>
      <c r="J1105" s="842"/>
      <c r="K1105" s="842"/>
      <c r="L1105" s="842"/>
    </row>
    <row r="1106" spans="1:12" s="1739" customFormat="1">
      <c r="A1106" s="1865"/>
      <c r="B1106" s="1808" t="s">
        <v>2162</v>
      </c>
      <c r="C1106" s="1801">
        <v>0.1</v>
      </c>
      <c r="D1106" s="1798"/>
      <c r="E1106" s="1799"/>
      <c r="F1106" s="1864">
        <f>+ROUND(C1106*$F$1093,2)</f>
        <v>10475733.470000001</v>
      </c>
      <c r="G1106" s="44"/>
      <c r="H1106" s="842"/>
      <c r="I1106" s="842"/>
      <c r="J1106" s="842"/>
      <c r="K1106" s="842"/>
      <c r="L1106" s="842"/>
    </row>
    <row r="1107" spans="1:12" s="1739" customFormat="1">
      <c r="A1107" s="1799"/>
      <c r="B1107" s="1808" t="s">
        <v>2163</v>
      </c>
      <c r="C1107" s="1801">
        <v>1.4999999999999999E-2</v>
      </c>
      <c r="D1107" s="1798"/>
      <c r="E1107" s="1799"/>
      <c r="F1107" s="1582">
        <f>+ROUND(C1107*$F$1093,2)</f>
        <v>1571360.02</v>
      </c>
      <c r="G1107" s="44"/>
      <c r="H1107" s="842"/>
      <c r="I1107" s="842"/>
      <c r="J1107" s="842"/>
      <c r="K1107" s="842"/>
      <c r="L1107" s="842"/>
    </row>
    <row r="1108" spans="1:12" s="1539" customFormat="1" ht="16.5" customHeight="1">
      <c r="A1108" s="1901"/>
      <c r="B1108" s="1827" t="s">
        <v>23</v>
      </c>
      <c r="C1108" s="1827"/>
      <c r="D1108" s="1827"/>
      <c r="E1108" s="1828"/>
      <c r="F1108" s="1902">
        <f>SUM(F1096:F1107)</f>
        <v>61178283.460000001</v>
      </c>
      <c r="G1108" s="1741"/>
    </row>
    <row r="1109" spans="1:12">
      <c r="A1109" s="651"/>
      <c r="B1109" s="1794"/>
      <c r="C1109" s="31"/>
      <c r="D1109" s="1794"/>
      <c r="E1109" s="31"/>
      <c r="F1109" s="1794"/>
      <c r="G1109" s="44"/>
    </row>
    <row r="1110" spans="1:12" s="1539" customFormat="1" ht="16.5" customHeight="1">
      <c r="A1110" s="1903"/>
      <c r="B1110" s="1903" t="s">
        <v>460</v>
      </c>
      <c r="C1110" s="1903"/>
      <c r="D1110" s="1903"/>
      <c r="E1110" s="1903"/>
      <c r="F1110" s="1902">
        <f>+F1093+F1108</f>
        <v>165935618.19999999</v>
      </c>
      <c r="G1110" s="1741"/>
    </row>
    <row r="1111" spans="1:12">
      <c r="A1111" s="7"/>
      <c r="B1111"/>
      <c r="E1111" s="7"/>
      <c r="F1111" s="7"/>
    </row>
    <row r="1112" spans="1:12">
      <c r="A1112" s="7"/>
      <c r="B1112"/>
      <c r="E1112" s="7"/>
      <c r="F1112" s="7"/>
    </row>
    <row r="1113" spans="1:12">
      <c r="A1113" s="7"/>
      <c r="B1113"/>
      <c r="E1113" s="7"/>
      <c r="F1113" s="7"/>
    </row>
    <row r="1114" spans="1:12">
      <c r="A1114" s="4769" t="s">
        <v>463</v>
      </c>
      <c r="B1114" s="4769"/>
      <c r="C1114" s="4769" t="s">
        <v>464</v>
      </c>
      <c r="D1114" s="4769"/>
      <c r="E1114" s="4769"/>
      <c r="F1114" s="4769"/>
    </row>
    <row r="1115" spans="1:12">
      <c r="A1115" s="7"/>
      <c r="B1115" s="6"/>
      <c r="E1115" s="7"/>
      <c r="F1115" s="7"/>
    </row>
    <row r="1116" spans="1:12">
      <c r="A1116" s="7"/>
      <c r="B1116" s="6"/>
      <c r="E1116" s="7"/>
      <c r="F1116" s="7"/>
    </row>
    <row r="1117" spans="1:12">
      <c r="A1117" s="7"/>
      <c r="B1117" s="6"/>
      <c r="E1117" s="7"/>
      <c r="F1117" s="7"/>
    </row>
    <row r="1118" spans="1:12">
      <c r="A1118" s="4769" t="s">
        <v>1003</v>
      </c>
      <c r="B1118" s="4769"/>
      <c r="C1118" s="4769" t="s">
        <v>2305</v>
      </c>
      <c r="D1118" s="4769"/>
      <c r="E1118" s="4769"/>
      <c r="F1118" s="4769"/>
    </row>
    <row r="1119" spans="1:12">
      <c r="A1119" s="7" t="s">
        <v>465</v>
      </c>
      <c r="B1119" s="6"/>
      <c r="C1119" s="4769" t="s">
        <v>466</v>
      </c>
      <c r="D1119" s="4769"/>
      <c r="E1119" s="4769"/>
      <c r="F1119" s="4769"/>
    </row>
    <row r="1120" spans="1:12">
      <c r="A1120" s="7"/>
      <c r="B1120" s="6"/>
      <c r="E1120" s="7"/>
      <c r="F1120" s="7"/>
    </row>
    <row r="1121" spans="1:6">
      <c r="A1121" s="7"/>
      <c r="B1121" s="6"/>
      <c r="E1121" s="7"/>
      <c r="F1121" s="7"/>
    </row>
    <row r="1122" spans="1:6">
      <c r="A1122" s="7"/>
      <c r="B1122" s="6"/>
      <c r="E1122" s="7"/>
      <c r="F1122" s="7"/>
    </row>
    <row r="1123" spans="1:6">
      <c r="A1123" s="7"/>
      <c r="B1123" s="6"/>
      <c r="E1123" s="7"/>
      <c r="F1123" s="7"/>
    </row>
    <row r="1124" spans="1:6">
      <c r="A1124" s="7"/>
      <c r="B1124" s="6"/>
      <c r="E1124" s="7"/>
      <c r="F1124" s="7"/>
    </row>
    <row r="1125" spans="1:6">
      <c r="A1125" s="4769" t="s">
        <v>467</v>
      </c>
      <c r="B1125" s="4769"/>
      <c r="C1125" s="4769" t="s">
        <v>468</v>
      </c>
      <c r="D1125" s="4769"/>
      <c r="E1125" s="4769"/>
      <c r="F1125" s="4769"/>
    </row>
    <row r="1126" spans="1:6">
      <c r="A1126" s="7"/>
      <c r="B1126" s="6"/>
      <c r="E1126" s="7"/>
      <c r="F1126" s="7"/>
    </row>
    <row r="1127" spans="1:6">
      <c r="A1127" s="7"/>
      <c r="B1127" s="6"/>
      <c r="E1127" s="7"/>
      <c r="F1127" s="7"/>
    </row>
    <row r="1128" spans="1:6">
      <c r="A1128" s="7"/>
      <c r="B1128" s="6"/>
      <c r="E1128" s="7"/>
      <c r="F1128" s="7"/>
    </row>
    <row r="1129" spans="1:6">
      <c r="A1129" s="4769" t="s">
        <v>2304</v>
      </c>
      <c r="B1129" s="4769"/>
      <c r="C1129" s="4769" t="s">
        <v>2306</v>
      </c>
      <c r="D1129" s="4769"/>
      <c r="E1129" s="4769"/>
      <c r="F1129" s="4769"/>
    </row>
    <row r="1130" spans="1:6">
      <c r="A1130" s="7" t="s">
        <v>471</v>
      </c>
      <c r="B1130" s="6"/>
      <c r="C1130" s="4769" t="s">
        <v>472</v>
      </c>
      <c r="D1130" s="4769"/>
      <c r="E1130" s="4769"/>
      <c r="F1130" s="4769"/>
    </row>
    <row r="1131" spans="1:6">
      <c r="A1131" s="7"/>
      <c r="B1131" s="6"/>
      <c r="E1131" s="7"/>
      <c r="F1131" s="7"/>
    </row>
    <row r="1132" spans="1:6">
      <c r="A1132" s="7"/>
      <c r="B1132" s="6"/>
      <c r="E1132" s="7"/>
      <c r="F1132" s="7"/>
    </row>
    <row r="1133" spans="1:6">
      <c r="A1133" s="7"/>
      <c r="B1133" s="6"/>
      <c r="E1133" s="7"/>
      <c r="F1133" s="7"/>
    </row>
    <row r="1134" spans="1:6">
      <c r="A1134" s="7"/>
      <c r="E1134" s="7"/>
      <c r="F1134" s="7"/>
    </row>
    <row r="1135" spans="1:6">
      <c r="A1135" s="7"/>
      <c r="E1135" s="7"/>
      <c r="F1135" s="7"/>
    </row>
    <row r="1136" spans="1:6">
      <c r="E1136" s="7"/>
      <c r="F1136" s="7"/>
    </row>
  </sheetData>
  <autoFilter ref="A12:F1110"/>
  <customSheetViews>
    <customSheetView guid="{43BC9397-3E8C-478C-B548-E4A845A7F82B}" showPageBreaks="1" printArea="1" showAutoFilter="1" state="hidden">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pageMargins left="0.19685039370078741" right="0.19685039370078741" top="0.19685039370078741" bottom="0.19685039370078741" header="0.19685039370078741" footer="0.19685039370078741"/>
      <printOptions horizontalCentered="1"/>
      <pageSetup fitToHeight="100" orientation="portrait" r:id="rId1"/>
      <autoFilter ref="A12:F1110"/>
    </customSheetView>
  </customSheetViews>
  <mergeCells count="15">
    <mergeCell ref="A2:F2"/>
    <mergeCell ref="A3:F3"/>
    <mergeCell ref="A4:F4"/>
    <mergeCell ref="A5:F5"/>
    <mergeCell ref="C1119:F1119"/>
    <mergeCell ref="B8:E8"/>
    <mergeCell ref="A1114:B1114"/>
    <mergeCell ref="C1114:F1114"/>
    <mergeCell ref="A1118:B1118"/>
    <mergeCell ref="C1118:F1118"/>
    <mergeCell ref="A1125:B1125"/>
    <mergeCell ref="C1125:F1125"/>
    <mergeCell ref="C1129:F1129"/>
    <mergeCell ref="A1129:B1129"/>
    <mergeCell ref="C1130:F1130"/>
  </mergeCells>
  <printOptions horizontalCentered="1"/>
  <pageMargins left="0.19685039370078741" right="0.19685039370078741" top="0.19685039370078741" bottom="0.19685039370078741" header="0.19685039370078741" footer="0.19685039370078741"/>
  <pageSetup fitToHeight="100" orientation="portrait" r:id="rId2"/>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M606"/>
  <sheetViews>
    <sheetView topLeftCell="A312" workbookViewId="0">
      <selection activeCell="I338" sqref="I338"/>
    </sheetView>
  </sheetViews>
  <sheetFormatPr baseColWidth="10" defaultColWidth="11.42578125" defaultRowHeight="12.75"/>
  <cols>
    <col min="1" max="1" width="5.140625" customWidth="1"/>
    <col min="2" max="2" width="23.140625" customWidth="1"/>
    <col min="6" max="6" width="15" customWidth="1"/>
    <col min="9" max="9" width="46.5703125" customWidth="1"/>
    <col min="10" max="10" width="5.42578125" customWidth="1"/>
    <col min="11" max="11" width="5.28515625" customWidth="1"/>
    <col min="12" max="12" width="8.425781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121</v>
      </c>
      <c r="C5" t="s">
        <v>1026</v>
      </c>
      <c r="D5">
        <v>1</v>
      </c>
      <c r="E5">
        <v>90</v>
      </c>
      <c r="F5">
        <f t="shared" si="0"/>
        <v>90</v>
      </c>
    </row>
    <row r="6" spans="2:6">
      <c r="B6" t="s">
        <v>1027</v>
      </c>
      <c r="C6" t="s">
        <v>2</v>
      </c>
      <c r="D6">
        <v>1</v>
      </c>
      <c r="E6">
        <v>1100</v>
      </c>
      <c r="F6">
        <f t="shared" si="0"/>
        <v>1100</v>
      </c>
    </row>
    <row r="7" spans="2:6">
      <c r="B7" t="s">
        <v>1028</v>
      </c>
      <c r="C7" t="s">
        <v>2</v>
      </c>
      <c r="D7">
        <v>1</v>
      </c>
      <c r="E7">
        <v>1200</v>
      </c>
      <c r="F7">
        <f t="shared" si="0"/>
        <v>1200</v>
      </c>
    </row>
    <row r="8" spans="2:6">
      <c r="B8" t="s">
        <v>1029</v>
      </c>
      <c r="C8" t="s">
        <v>2</v>
      </c>
      <c r="D8">
        <v>1</v>
      </c>
      <c r="E8">
        <v>1100</v>
      </c>
      <c r="F8">
        <f t="shared" si="0"/>
        <v>1100</v>
      </c>
    </row>
    <row r="9" spans="2:6">
      <c r="B9" t="s">
        <v>1546</v>
      </c>
      <c r="C9" t="s">
        <v>127</v>
      </c>
      <c r="D9">
        <v>1</v>
      </c>
      <c r="E9">
        <v>1</v>
      </c>
      <c r="F9">
        <f t="shared" si="0"/>
        <v>1</v>
      </c>
    </row>
    <row r="10" spans="2:6">
      <c r="B10" t="s">
        <v>8</v>
      </c>
      <c r="C10" t="s">
        <v>127</v>
      </c>
      <c r="D10">
        <v>1</v>
      </c>
      <c r="E10">
        <v>20.5</v>
      </c>
      <c r="F10">
        <f t="shared" si="0"/>
        <v>20.5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C20" t="s">
        <v>2</v>
      </c>
      <c r="D20">
        <v>1</v>
      </c>
      <c r="E20">
        <v>15</v>
      </c>
      <c r="F20">
        <f>E20*D20</f>
        <v>15</v>
      </c>
    </row>
    <row r="21" spans="2:6">
      <c r="C21" t="s">
        <v>315</v>
      </c>
      <c r="F21">
        <f>SUM(F19:F20)</f>
        <v>1215</v>
      </c>
    </row>
    <row r="23" spans="2:6">
      <c r="B23" t="s">
        <v>2739</v>
      </c>
    </row>
    <row r="24" spans="2:6">
      <c r="B24" t="s">
        <v>122</v>
      </c>
      <c r="C24" t="s">
        <v>2</v>
      </c>
      <c r="D24">
        <v>0.45</v>
      </c>
      <c r="E24">
        <f>SUM(F16)</f>
        <v>1115</v>
      </c>
      <c r="F24">
        <f>E24*D24</f>
        <v>501.75</v>
      </c>
    </row>
    <row r="25" spans="2:6">
      <c r="B25" t="s">
        <v>124</v>
      </c>
      <c r="C25" t="s">
        <v>2</v>
      </c>
      <c r="D25">
        <v>0.9</v>
      </c>
      <c r="E25">
        <f>SUM(F21)</f>
        <v>1215</v>
      </c>
      <c r="F25">
        <f>E25*D25</f>
        <v>1093.5</v>
      </c>
    </row>
    <row r="26" spans="2:6">
      <c r="B26" t="s">
        <v>142</v>
      </c>
      <c r="C26" t="s">
        <v>1026</v>
      </c>
      <c r="D26">
        <v>16</v>
      </c>
      <c r="E26">
        <f>(F4)</f>
        <v>325</v>
      </c>
      <c r="F26">
        <f>E26*D26</f>
        <v>5200</v>
      </c>
    </row>
    <row r="27" spans="2:6">
      <c r="B27" t="s">
        <v>117</v>
      </c>
      <c r="C27" t="s">
        <v>118</v>
      </c>
      <c r="D27">
        <v>60</v>
      </c>
      <c r="E27">
        <f>F3</f>
        <v>2.5</v>
      </c>
      <c r="F27">
        <f>E27*D27</f>
        <v>150</v>
      </c>
    </row>
    <row r="28" spans="2:6">
      <c r="B28" t="s">
        <v>139</v>
      </c>
      <c r="C28" t="s">
        <v>2</v>
      </c>
      <c r="D28">
        <v>1</v>
      </c>
      <c r="E28">
        <v>950</v>
      </c>
      <c r="F28">
        <f>E28*D28</f>
        <v>950</v>
      </c>
    </row>
    <row r="29" spans="2:6">
      <c r="B29" t="s">
        <v>140</v>
      </c>
      <c r="F29">
        <f>SUM(F24+F25+F26+F27)*0.02</f>
        <v>138.905</v>
      </c>
    </row>
    <row r="30" spans="2:6">
      <c r="E30" t="s">
        <v>1031</v>
      </c>
      <c r="F30">
        <f>SUM(F24:F29)</f>
        <v>8034.1549999999997</v>
      </c>
    </row>
    <row r="32" spans="2:6">
      <c r="B32" t="s">
        <v>1032</v>
      </c>
    </row>
    <row r="33" spans="2:6">
      <c r="B33" t="s">
        <v>122</v>
      </c>
      <c r="C33" t="s">
        <v>2</v>
      </c>
      <c r="D33">
        <v>0.45</v>
      </c>
      <c r="E33">
        <f>+F16</f>
        <v>1115</v>
      </c>
      <c r="F33">
        <f>E33*D33</f>
        <v>501.75</v>
      </c>
    </row>
    <row r="34" spans="2:6">
      <c r="B34" t="s">
        <v>124</v>
      </c>
      <c r="C34" t="s">
        <v>2</v>
      </c>
      <c r="D34">
        <v>0.9</v>
      </c>
      <c r="E34">
        <f>+F21</f>
        <v>1215</v>
      </c>
      <c r="F34">
        <f>E34*D34</f>
        <v>1093.5</v>
      </c>
    </row>
    <row r="35" spans="2:6">
      <c r="B35" t="s">
        <v>142</v>
      </c>
      <c r="C35" t="s">
        <v>1026</v>
      </c>
      <c r="D35">
        <v>13</v>
      </c>
      <c r="E35">
        <f>+F4</f>
        <v>325</v>
      </c>
      <c r="F35">
        <f>E35*D35</f>
        <v>4225</v>
      </c>
    </row>
    <row r="36" spans="2:6">
      <c r="B36" t="s">
        <v>117</v>
      </c>
      <c r="C36" t="s">
        <v>118</v>
      </c>
      <c r="D36">
        <v>60</v>
      </c>
      <c r="E36">
        <f>+F3</f>
        <v>2.5</v>
      </c>
      <c r="F36">
        <f>E36*D36</f>
        <v>150</v>
      </c>
    </row>
    <row r="37" spans="2:6">
      <c r="B37" t="s">
        <v>139</v>
      </c>
      <c r="C37" t="s">
        <v>2</v>
      </c>
      <c r="D37">
        <v>1</v>
      </c>
      <c r="E37">
        <v>950</v>
      </c>
      <c r="F37">
        <f>E37*D37</f>
        <v>950</v>
      </c>
    </row>
    <row r="38" spans="2:6">
      <c r="B38" t="s">
        <v>140</v>
      </c>
      <c r="F38">
        <f>SUM(F33+F34+F35+F36)*0.02</f>
        <v>119.405</v>
      </c>
    </row>
    <row r="39" spans="2:6">
      <c r="E39" t="s">
        <v>1031</v>
      </c>
      <c r="F39">
        <f>SUM(F33:F38)</f>
        <v>7039.6549999999997</v>
      </c>
    </row>
    <row r="41" spans="2:6">
      <c r="B41" t="s">
        <v>141</v>
      </c>
    </row>
    <row r="42" spans="2:6">
      <c r="B42" t="s">
        <v>122</v>
      </c>
      <c r="C42" t="s">
        <v>2</v>
      </c>
      <c r="D42">
        <v>0.45</v>
      </c>
      <c r="E42">
        <f>+E33</f>
        <v>1115</v>
      </c>
      <c r="F42">
        <f>E42*D42</f>
        <v>501.75</v>
      </c>
    </row>
    <row r="43" spans="2:6">
      <c r="B43" t="s">
        <v>124</v>
      </c>
      <c r="C43" t="s">
        <v>2</v>
      </c>
      <c r="D43">
        <v>0.9</v>
      </c>
      <c r="E43">
        <f>+E34</f>
        <v>1215</v>
      </c>
      <c r="F43">
        <f>E43*D43</f>
        <v>1093.5</v>
      </c>
    </row>
    <row r="44" spans="2:6">
      <c r="B44" t="s">
        <v>142</v>
      </c>
      <c r="C44" t="s">
        <v>1026</v>
      </c>
      <c r="D44">
        <v>9</v>
      </c>
      <c r="E44">
        <f>+E35</f>
        <v>325</v>
      </c>
      <c r="F44">
        <f>E44*D44</f>
        <v>2925</v>
      </c>
    </row>
    <row r="45" spans="2:6">
      <c r="B45" t="s">
        <v>117</v>
      </c>
      <c r="C45" t="s">
        <v>118</v>
      </c>
      <c r="D45">
        <v>60</v>
      </c>
      <c r="E45">
        <f>+E36</f>
        <v>2.5</v>
      </c>
      <c r="F45">
        <f>E45*D45</f>
        <v>150</v>
      </c>
    </row>
    <row r="46" spans="2:6" ht="11.25" customHeight="1">
      <c r="B46" t="s">
        <v>139</v>
      </c>
      <c r="C46" t="s">
        <v>2</v>
      </c>
      <c r="D46">
        <v>1</v>
      </c>
      <c r="E46">
        <v>950</v>
      </c>
      <c r="F46">
        <f>E46*D46</f>
        <v>950</v>
      </c>
    </row>
    <row r="47" spans="2:6" ht="13.5" customHeight="1">
      <c r="B47" t="s">
        <v>140</v>
      </c>
      <c r="F47">
        <f>SUM(F42+F43+F44+F45)*0.02</f>
        <v>93.405000000000001</v>
      </c>
    </row>
    <row r="48" spans="2:6" ht="12.75" customHeight="1">
      <c r="E48" t="s">
        <v>1031</v>
      </c>
      <c r="F48">
        <f>SUM(F42:F47)</f>
        <v>5713.6549999999997</v>
      </c>
    </row>
    <row r="49" spans="2:6" ht="12.75" customHeight="1"/>
    <row r="50" spans="2:6">
      <c r="B50" t="s">
        <v>143</v>
      </c>
    </row>
    <row r="51" spans="2:6">
      <c r="B51" t="s">
        <v>122</v>
      </c>
      <c r="C51" t="s">
        <v>2</v>
      </c>
      <c r="D51">
        <v>0.52</v>
      </c>
      <c r="E51">
        <f>SUM(F16)</f>
        <v>1115</v>
      </c>
      <c r="F51">
        <f>E51*D51</f>
        <v>579.79999999999995</v>
      </c>
    </row>
    <row r="52" spans="2:6">
      <c r="B52" t="s">
        <v>124</v>
      </c>
      <c r="C52" t="s">
        <v>2</v>
      </c>
      <c r="D52">
        <v>0.85</v>
      </c>
      <c r="E52">
        <f>SUM(F21)</f>
        <v>1215</v>
      </c>
      <c r="F52">
        <f>E52*D52</f>
        <v>1032.75</v>
      </c>
    </row>
    <row r="53" spans="2:6">
      <c r="B53" t="s">
        <v>135</v>
      </c>
      <c r="C53" t="s">
        <v>1026</v>
      </c>
      <c r="D53">
        <v>7</v>
      </c>
      <c r="E53">
        <f>F4</f>
        <v>325</v>
      </c>
      <c r="F53">
        <f>E53*D53</f>
        <v>2275</v>
      </c>
    </row>
    <row r="54" spans="2:6">
      <c r="B54" t="s">
        <v>117</v>
      </c>
      <c r="C54" t="s">
        <v>118</v>
      </c>
      <c r="D54">
        <v>60</v>
      </c>
      <c r="E54">
        <f>F3</f>
        <v>2.5</v>
      </c>
      <c r="F54">
        <f>E54*D54</f>
        <v>150</v>
      </c>
    </row>
    <row r="55" spans="2:6">
      <c r="B55" t="s">
        <v>139</v>
      </c>
      <c r="C55" t="s">
        <v>2</v>
      </c>
      <c r="D55">
        <v>1</v>
      </c>
      <c r="E55">
        <v>950</v>
      </c>
      <c r="F55">
        <f>E55*D55</f>
        <v>950</v>
      </c>
    </row>
    <row r="56" spans="2:6">
      <c r="B56" t="s">
        <v>140</v>
      </c>
      <c r="F56">
        <f>SUM(F51+F52+F53+F54)*0.02</f>
        <v>80.751000000000005</v>
      </c>
    </row>
    <row r="57" spans="2:6">
      <c r="E57" t="s">
        <v>1031</v>
      </c>
      <c r="F57">
        <f>SUM(F51:F56)</f>
        <v>5068.3010000000004</v>
      </c>
    </row>
    <row r="59" spans="2:6">
      <c r="B59" t="s">
        <v>1033</v>
      </c>
    </row>
    <row r="60" spans="2:6">
      <c r="B60" t="s">
        <v>122</v>
      </c>
      <c r="C60" t="s">
        <v>2</v>
      </c>
      <c r="D60">
        <v>0.52</v>
      </c>
      <c r="E60">
        <f>SUM(F16)</f>
        <v>1115</v>
      </c>
      <c r="F60">
        <f>E60*D60</f>
        <v>579.79999999999995</v>
      </c>
    </row>
    <row r="61" spans="2:6">
      <c r="B61" t="s">
        <v>124</v>
      </c>
      <c r="C61" t="s">
        <v>2</v>
      </c>
      <c r="D61">
        <v>0.85</v>
      </c>
      <c r="E61">
        <f>F21</f>
        <v>1215</v>
      </c>
      <c r="F61">
        <f>E61*D61</f>
        <v>1032.75</v>
      </c>
    </row>
    <row r="62" spans="2:6">
      <c r="B62" t="s">
        <v>135</v>
      </c>
      <c r="C62" t="s">
        <v>1026</v>
      </c>
      <c r="D62">
        <v>6.44</v>
      </c>
      <c r="E62">
        <f>F4</f>
        <v>325</v>
      </c>
      <c r="F62">
        <f>E62*D62</f>
        <v>2093</v>
      </c>
    </row>
    <row r="63" spans="2:6">
      <c r="B63" t="s">
        <v>117</v>
      </c>
      <c r="C63" t="s">
        <v>118</v>
      </c>
      <c r="D63">
        <v>60</v>
      </c>
      <c r="E63">
        <f>F3</f>
        <v>2.5</v>
      </c>
      <c r="F63">
        <f>E63*D63</f>
        <v>150</v>
      </c>
    </row>
    <row r="64" spans="2:6">
      <c r="B64" t="s">
        <v>139</v>
      </c>
      <c r="C64" t="s">
        <v>2</v>
      </c>
      <c r="D64">
        <v>1</v>
      </c>
      <c r="E64">
        <v>850</v>
      </c>
      <c r="F64">
        <f>E64*D64</f>
        <v>850</v>
      </c>
    </row>
    <row r="65" spans="2:6">
      <c r="B65" t="s">
        <v>140</v>
      </c>
      <c r="F65">
        <f>SUM(F60+F61+F62+F63)*0.02</f>
        <v>77.111000000000004</v>
      </c>
    </row>
    <row r="66" spans="2:6">
      <c r="E66" t="s">
        <v>1031</v>
      </c>
      <c r="F66">
        <f>SUM(F60:F65)</f>
        <v>4782.6610000000001</v>
      </c>
    </row>
    <row r="68" spans="2:6">
      <c r="B68" t="s">
        <v>1034</v>
      </c>
    </row>
    <row r="69" spans="2:6">
      <c r="B69" t="s">
        <v>145</v>
      </c>
      <c r="C69" t="s">
        <v>2</v>
      </c>
      <c r="D69">
        <v>1</v>
      </c>
      <c r="E69">
        <f>+F8</f>
        <v>1100</v>
      </c>
      <c r="F69">
        <f>E69*D69</f>
        <v>1100</v>
      </c>
    </row>
    <row r="70" spans="2:6">
      <c r="B70" t="s">
        <v>131</v>
      </c>
      <c r="C70" t="s">
        <v>2</v>
      </c>
      <c r="D70">
        <v>1</v>
      </c>
      <c r="E70">
        <v>15</v>
      </c>
      <c r="F70">
        <f>E70*D70</f>
        <v>15</v>
      </c>
    </row>
    <row r="71" spans="2:6">
      <c r="E71" t="s">
        <v>1031</v>
      </c>
      <c r="F71">
        <f>SUM(F69:F70)</f>
        <v>1115</v>
      </c>
    </row>
    <row r="73" spans="2:6">
      <c r="B73" t="s">
        <v>146</v>
      </c>
    </row>
    <row r="74" spans="2:6">
      <c r="B74" t="s">
        <v>122</v>
      </c>
      <c r="C74" t="s">
        <v>2</v>
      </c>
      <c r="D74">
        <v>1.02</v>
      </c>
      <c r="E74">
        <f>SUM(F71)</f>
        <v>1115</v>
      </c>
      <c r="F74">
        <f>E74*D74</f>
        <v>1137.3</v>
      </c>
    </row>
    <row r="75" spans="2:6">
      <c r="B75" t="s">
        <v>135</v>
      </c>
      <c r="C75" t="s">
        <v>1026</v>
      </c>
      <c r="D75">
        <v>9.4600000000000009</v>
      </c>
      <c r="E75">
        <f>F4</f>
        <v>325</v>
      </c>
      <c r="F75">
        <f>E75*D75</f>
        <v>3074.5</v>
      </c>
    </row>
    <row r="76" spans="2:6">
      <c r="B76" t="s">
        <v>117</v>
      </c>
      <c r="C76" t="s">
        <v>118</v>
      </c>
      <c r="D76">
        <v>50</v>
      </c>
      <c r="E76">
        <f>F3</f>
        <v>2.5</v>
      </c>
      <c r="F76">
        <f>E76*D76</f>
        <v>125</v>
      </c>
    </row>
    <row r="77" spans="2:6">
      <c r="B77" t="s">
        <v>121</v>
      </c>
      <c r="C77" t="s">
        <v>1026</v>
      </c>
      <c r="D77">
        <v>3.07</v>
      </c>
      <c r="E77">
        <f>F5</f>
        <v>90</v>
      </c>
      <c r="F77">
        <f>E77*D77</f>
        <v>276.3</v>
      </c>
    </row>
    <row r="78" spans="2:6">
      <c r="B78" t="s">
        <v>147</v>
      </c>
      <c r="C78" t="s">
        <v>148</v>
      </c>
      <c r="D78">
        <v>0.5</v>
      </c>
      <c r="E78">
        <v>659</v>
      </c>
      <c r="F78">
        <f>E78*D78</f>
        <v>329.5</v>
      </c>
    </row>
    <row r="79" spans="2:6">
      <c r="B79" t="s">
        <v>149</v>
      </c>
      <c r="F79">
        <f>SUM(F75+F76+F74+F77)*0.03</f>
        <v>138.393</v>
      </c>
    </row>
    <row r="80" spans="2:6">
      <c r="B80" t="s">
        <v>43</v>
      </c>
      <c r="E80" t="s">
        <v>1031</v>
      </c>
      <c r="F80">
        <f>SUM(F74:F79)</f>
        <v>5080.9930000000004</v>
      </c>
    </row>
    <row r="82" spans="2:6">
      <c r="B82" t="s">
        <v>150</v>
      </c>
    </row>
    <row r="83" spans="2:6">
      <c r="B83" t="s">
        <v>151</v>
      </c>
      <c r="C83" t="s">
        <v>2</v>
      </c>
      <c r="D83">
        <v>0.998</v>
      </c>
      <c r="E83">
        <f>+F71</f>
        <v>1115</v>
      </c>
      <c r="F83">
        <f>E83*D83</f>
        <v>1112.77</v>
      </c>
    </row>
    <row r="84" spans="2:6">
      <c r="B84" t="s">
        <v>117</v>
      </c>
      <c r="C84" t="s">
        <v>118</v>
      </c>
      <c r="D84">
        <v>69.040000000000006</v>
      </c>
      <c r="E84">
        <f>F3</f>
        <v>2.5</v>
      </c>
      <c r="F84">
        <f>E84*D84</f>
        <v>172.6</v>
      </c>
    </row>
    <row r="85" spans="2:6">
      <c r="B85" t="s">
        <v>135</v>
      </c>
      <c r="C85" t="s">
        <v>1026</v>
      </c>
      <c r="D85">
        <v>11.51</v>
      </c>
      <c r="E85">
        <f>F4</f>
        <v>325</v>
      </c>
      <c r="F85">
        <f>E85*D85</f>
        <v>3740.75</v>
      </c>
    </row>
    <row r="86" spans="2:6">
      <c r="B86" t="s">
        <v>147</v>
      </c>
      <c r="C86" t="s">
        <v>148</v>
      </c>
      <c r="D86">
        <v>0.5</v>
      </c>
      <c r="E86">
        <v>659</v>
      </c>
      <c r="F86">
        <f>E86*D86</f>
        <v>329.5</v>
      </c>
    </row>
    <row r="87" spans="2:6">
      <c r="B87" t="s">
        <v>149</v>
      </c>
      <c r="F87">
        <f>SUM(F83+F84+F82+F85)*0.03</f>
        <v>150.78360000000001</v>
      </c>
    </row>
    <row r="88" spans="2:6">
      <c r="E88" t="s">
        <v>1031</v>
      </c>
      <c r="F88">
        <f>SUM(F83:F87)</f>
        <v>5506.4035999999996</v>
      </c>
    </row>
    <row r="90" spans="2:6">
      <c r="B90" t="s">
        <v>1035</v>
      </c>
    </row>
    <row r="91" spans="2:6">
      <c r="B91" t="s">
        <v>153</v>
      </c>
      <c r="C91" t="s">
        <v>2</v>
      </c>
      <c r="D91">
        <v>2.5999999999999999E-2</v>
      </c>
      <c r="E91">
        <f>SUM(F80)</f>
        <v>5080.9930000000004</v>
      </c>
      <c r="F91">
        <f>E91*D91</f>
        <v>132.105818</v>
      </c>
    </row>
    <row r="92" spans="2:6">
      <c r="B92" t="s">
        <v>154</v>
      </c>
      <c r="C92" t="s">
        <v>155</v>
      </c>
      <c r="D92">
        <v>3.3000000000000002E-2</v>
      </c>
      <c r="E92">
        <v>45</v>
      </c>
      <c r="F92">
        <f>E92*D92</f>
        <v>1.4850000000000001</v>
      </c>
    </row>
    <row r="93" spans="2:6">
      <c r="B93" t="s">
        <v>156</v>
      </c>
      <c r="C93" t="s">
        <v>42</v>
      </c>
      <c r="D93">
        <v>1</v>
      </c>
      <c r="E93">
        <v>10</v>
      </c>
      <c r="F93">
        <f>E93*D93</f>
        <v>10</v>
      </c>
    </row>
    <row r="94" spans="2:6">
      <c r="B94" t="s">
        <v>41</v>
      </c>
      <c r="C94" t="s">
        <v>11</v>
      </c>
      <c r="D94">
        <v>1</v>
      </c>
      <c r="E94">
        <v>151.19</v>
      </c>
      <c r="F94">
        <f>E94*D94</f>
        <v>151.19</v>
      </c>
    </row>
    <row r="95" spans="2:6">
      <c r="E95" t="s">
        <v>1031</v>
      </c>
      <c r="F95">
        <f>SUM(F91:F94)</f>
        <v>294.78081800000001</v>
      </c>
    </row>
    <row r="97" spans="2:6">
      <c r="B97" t="s">
        <v>165</v>
      </c>
    </row>
    <row r="98" spans="2:6">
      <c r="B98" t="s">
        <v>166</v>
      </c>
      <c r="C98" t="s">
        <v>2</v>
      </c>
      <c r="D98">
        <v>2.5999999999999999E-2</v>
      </c>
      <c r="E98">
        <f>SUM(F80)</f>
        <v>5080.9930000000004</v>
      </c>
      <c r="F98">
        <f>E98*D98</f>
        <v>132.105818</v>
      </c>
    </row>
    <row r="99" spans="2:6">
      <c r="B99" t="s">
        <v>154</v>
      </c>
      <c r="C99" t="s">
        <v>155</v>
      </c>
      <c r="D99">
        <v>3.3000000000000002E-2</v>
      </c>
      <c r="E99">
        <v>45</v>
      </c>
      <c r="F99">
        <f>E99*D99</f>
        <v>1.4850000000000001</v>
      </c>
    </row>
    <row r="100" spans="2:6">
      <c r="B100" t="s">
        <v>156</v>
      </c>
      <c r="C100" t="s">
        <v>42</v>
      </c>
      <c r="D100">
        <v>1</v>
      </c>
      <c r="E100">
        <v>10</v>
      </c>
      <c r="F100">
        <f>E100*D100</f>
        <v>10</v>
      </c>
    </row>
    <row r="101" spans="2:6">
      <c r="B101" t="s">
        <v>167</v>
      </c>
      <c r="C101" t="s">
        <v>1026</v>
      </c>
      <c r="D101">
        <v>5.2999999999999999E-2</v>
      </c>
      <c r="E101">
        <f>F4</f>
        <v>325</v>
      </c>
      <c r="F101">
        <f>E101*D101</f>
        <v>17.225000000000001</v>
      </c>
    </row>
    <row r="102" spans="2:6">
      <c r="B102" t="s">
        <v>162</v>
      </c>
      <c r="C102" t="s">
        <v>11</v>
      </c>
      <c r="D102">
        <v>1</v>
      </c>
      <c r="E102">
        <v>118.79</v>
      </c>
      <c r="F102">
        <f>E102*D102</f>
        <v>118.79</v>
      </c>
    </row>
    <row r="103" spans="2:6">
      <c r="E103" t="s">
        <v>1031</v>
      </c>
      <c r="F103">
        <f>SUM(F98:F102)</f>
        <v>279.605818</v>
      </c>
    </row>
    <row r="104" spans="2:6">
      <c r="B104" t="s">
        <v>158</v>
      </c>
      <c r="D104">
        <f>F103-F101</f>
        <v>262.38081799999998</v>
      </c>
    </row>
    <row r="106" spans="2:6">
      <c r="B106" t="s">
        <v>170</v>
      </c>
    </row>
    <row r="107" spans="2:6">
      <c r="B107" t="s">
        <v>171</v>
      </c>
      <c r="C107" t="s">
        <v>2</v>
      </c>
      <c r="D107">
        <v>6.3E-2</v>
      </c>
      <c r="E107">
        <f>+F88</f>
        <v>5506.4035999999996</v>
      </c>
      <c r="F107">
        <f t="shared" ref="F107:F112" si="1">E107*D107</f>
        <v>346.90342679999998</v>
      </c>
    </row>
    <row r="108" spans="2:6">
      <c r="B108" t="s">
        <v>154</v>
      </c>
      <c r="C108" t="s">
        <v>155</v>
      </c>
      <c r="D108">
        <v>0.33</v>
      </c>
      <c r="E108">
        <v>45</v>
      </c>
      <c r="F108">
        <f t="shared" si="1"/>
        <v>14.85</v>
      </c>
    </row>
    <row r="109" spans="2:6">
      <c r="B109" t="s">
        <v>156</v>
      </c>
      <c r="C109" t="s">
        <v>42</v>
      </c>
      <c r="D109">
        <v>1</v>
      </c>
      <c r="E109">
        <v>10</v>
      </c>
      <c r="F109">
        <f t="shared" si="1"/>
        <v>10</v>
      </c>
    </row>
    <row r="110" spans="2:6">
      <c r="B110" t="s">
        <v>172</v>
      </c>
      <c r="C110" t="s">
        <v>42</v>
      </c>
      <c r="D110">
        <v>1</v>
      </c>
      <c r="E110">
        <v>10</v>
      </c>
      <c r="F110">
        <f t="shared" si="1"/>
        <v>10</v>
      </c>
    </row>
    <row r="111" spans="2:6">
      <c r="B111" t="s">
        <v>1036</v>
      </c>
      <c r="C111" t="s">
        <v>11</v>
      </c>
      <c r="D111">
        <v>1</v>
      </c>
      <c r="E111">
        <v>90</v>
      </c>
      <c r="F111">
        <f t="shared" si="1"/>
        <v>90</v>
      </c>
    </row>
    <row r="112" spans="2:6">
      <c r="B112" t="s">
        <v>167</v>
      </c>
      <c r="C112" t="s">
        <v>1026</v>
      </c>
      <c r="D112">
        <v>5.2999999999999999E-2</v>
      </c>
      <c r="E112">
        <f>+E101</f>
        <v>325</v>
      </c>
      <c r="F112">
        <f t="shared" si="1"/>
        <v>17.225000000000001</v>
      </c>
    </row>
    <row r="113" spans="2:6">
      <c r="C113" t="s">
        <v>1037</v>
      </c>
      <c r="E113" t="s">
        <v>1038</v>
      </c>
      <c r="F113">
        <f>SUM(F107:F112)</f>
        <v>488.97842680000002</v>
      </c>
    </row>
    <row r="115" spans="2:6">
      <c r="B115" t="s">
        <v>174</v>
      </c>
    </row>
    <row r="116" spans="2:6">
      <c r="B116" t="s">
        <v>175</v>
      </c>
      <c r="C116" t="s">
        <v>2</v>
      </c>
      <c r="D116">
        <v>6.3E-2</v>
      </c>
      <c r="E116">
        <f>SUM(F88)</f>
        <v>5506.4035999999996</v>
      </c>
      <c r="F116">
        <f>E116*D116</f>
        <v>346.90342679999998</v>
      </c>
    </row>
    <row r="117" spans="2:6">
      <c r="B117" t="s">
        <v>154</v>
      </c>
      <c r="C117" t="s">
        <v>155</v>
      </c>
      <c r="D117">
        <v>0.33</v>
      </c>
      <c r="E117">
        <v>45</v>
      </c>
      <c r="F117">
        <f>E117*D117</f>
        <v>14.85</v>
      </c>
    </row>
    <row r="118" spans="2:6">
      <c r="B118" t="s">
        <v>176</v>
      </c>
      <c r="C118" t="s">
        <v>42</v>
      </c>
      <c r="D118">
        <v>1</v>
      </c>
      <c r="E118">
        <v>10</v>
      </c>
      <c r="F118">
        <f>E118*D118</f>
        <v>10</v>
      </c>
    </row>
    <row r="119" spans="2:6">
      <c r="B119" t="s">
        <v>41</v>
      </c>
      <c r="C119" t="s">
        <v>11</v>
      </c>
      <c r="D119">
        <v>1</v>
      </c>
      <c r="E119">
        <v>103.91</v>
      </c>
      <c r="F119">
        <f>E119*D119</f>
        <v>103.91</v>
      </c>
    </row>
    <row r="120" spans="2:6">
      <c r="C120" t="s">
        <v>1037</v>
      </c>
      <c r="E120" t="s">
        <v>1038</v>
      </c>
      <c r="F120">
        <f>SUM(F116:F119)</f>
        <v>475.66342680000002</v>
      </c>
    </row>
    <row r="122" spans="2:6">
      <c r="B122" t="s">
        <v>177</v>
      </c>
    </row>
    <row r="123" spans="2:6">
      <c r="B123" t="s">
        <v>178</v>
      </c>
      <c r="C123" t="s">
        <v>2</v>
      </c>
      <c r="D123">
        <v>4.3E-3</v>
      </c>
      <c r="E123">
        <f>SUM(F80)</f>
        <v>5080.9930000000004</v>
      </c>
      <c r="F123">
        <f>E123*D123</f>
        <v>21.848269899999998</v>
      </c>
    </row>
    <row r="124" spans="2:6">
      <c r="B124" t="s">
        <v>154</v>
      </c>
      <c r="C124" t="s">
        <v>155</v>
      </c>
      <c r="D124">
        <v>0.109</v>
      </c>
      <c r="E124">
        <v>45</v>
      </c>
      <c r="F124">
        <f>E124*D124</f>
        <v>4.9050000000000002</v>
      </c>
    </row>
    <row r="125" spans="2:6">
      <c r="B125" t="s">
        <v>41</v>
      </c>
      <c r="C125" t="s">
        <v>2</v>
      </c>
      <c r="D125">
        <v>1</v>
      </c>
      <c r="E125">
        <v>51.74</v>
      </c>
      <c r="F125">
        <f>E125*D125</f>
        <v>51.74</v>
      </c>
    </row>
    <row r="126" spans="2:6">
      <c r="C126" t="s">
        <v>1037</v>
      </c>
      <c r="E126" t="s">
        <v>1039</v>
      </c>
      <c r="F126">
        <f>SUM(F123:F125)</f>
        <v>78.493269900000001</v>
      </c>
    </row>
    <row r="128" spans="2:6">
      <c r="B128" t="s">
        <v>1040</v>
      </c>
    </row>
    <row r="129" spans="2:6">
      <c r="B129" t="s">
        <v>1041</v>
      </c>
      <c r="C129" t="s">
        <v>2</v>
      </c>
      <c r="D129">
        <v>8.7999999999999995E-2</v>
      </c>
      <c r="E129">
        <v>75</v>
      </c>
      <c r="F129">
        <f>E129*D129</f>
        <v>6.6</v>
      </c>
    </row>
    <row r="130" spans="2:6">
      <c r="B130" t="s">
        <v>1042</v>
      </c>
      <c r="C130" t="s">
        <v>11</v>
      </c>
      <c r="D130">
        <v>1</v>
      </c>
      <c r="E130">
        <v>29.7</v>
      </c>
      <c r="F130">
        <f>E130*D130</f>
        <v>29.7</v>
      </c>
    </row>
    <row r="131" spans="2:6">
      <c r="E131" t="s">
        <v>1031</v>
      </c>
      <c r="F131">
        <f>SUM(F129:F130)</f>
        <v>36.299999999999997</v>
      </c>
    </row>
    <row r="133" spans="2:6">
      <c r="B133" t="s">
        <v>1043</v>
      </c>
    </row>
    <row r="134" spans="2:6">
      <c r="B134" t="s">
        <v>181</v>
      </c>
      <c r="C134" t="s">
        <v>126</v>
      </c>
      <c r="D134">
        <v>1</v>
      </c>
      <c r="E134">
        <v>2500</v>
      </c>
      <c r="F134">
        <f>E134*D134</f>
        <v>2500</v>
      </c>
    </row>
    <row r="135" spans="2:6">
      <c r="B135" t="s">
        <v>41</v>
      </c>
      <c r="C135" t="s">
        <v>126</v>
      </c>
      <c r="D135">
        <v>1</v>
      </c>
      <c r="E135">
        <v>323</v>
      </c>
      <c r="F135">
        <f>E135*D135</f>
        <v>323</v>
      </c>
    </row>
    <row r="136" spans="2:6">
      <c r="B136" t="s">
        <v>1044</v>
      </c>
      <c r="C136" t="s">
        <v>183</v>
      </c>
      <c r="D136">
        <v>2</v>
      </c>
      <c r="E136">
        <v>45</v>
      </c>
      <c r="F136">
        <f>E136*D136</f>
        <v>90</v>
      </c>
    </row>
    <row r="137" spans="2:6">
      <c r="E137" t="s">
        <v>1031</v>
      </c>
      <c r="F137">
        <f>SUM(F134:F136)</f>
        <v>2913</v>
      </c>
    </row>
    <row r="139" spans="2:6">
      <c r="B139" t="s">
        <v>1045</v>
      </c>
    </row>
    <row r="140" spans="2:6">
      <c r="B140" t="s">
        <v>181</v>
      </c>
      <c r="C140" t="s">
        <v>126</v>
      </c>
      <c r="D140">
        <v>1</v>
      </c>
      <c r="E140">
        <f>+E134</f>
        <v>2500</v>
      </c>
      <c r="F140">
        <f>E140*D140</f>
        <v>2500</v>
      </c>
    </row>
    <row r="141" spans="2:6">
      <c r="B141" t="s">
        <v>1044</v>
      </c>
      <c r="C141" t="s">
        <v>183</v>
      </c>
      <c r="D141">
        <v>2</v>
      </c>
      <c r="E141">
        <v>45</v>
      </c>
      <c r="F141">
        <f>E141*D141</f>
        <v>90</v>
      </c>
    </row>
    <row r="142" spans="2:6">
      <c r="E142" t="s">
        <v>1031</v>
      </c>
      <c r="F142">
        <f>SUM(F140:F141)</f>
        <v>2590</v>
      </c>
    </row>
    <row r="144" spans="2:6">
      <c r="B144" t="s">
        <v>186</v>
      </c>
    </row>
    <row r="145" spans="2:6">
      <c r="B145" t="s">
        <v>187</v>
      </c>
    </row>
    <row r="146" spans="2:6">
      <c r="B146" t="s">
        <v>122</v>
      </c>
      <c r="C146" t="s">
        <v>2</v>
      </c>
      <c r="D146">
        <v>0.52</v>
      </c>
      <c r="E146">
        <f>F16</f>
        <v>1115</v>
      </c>
      <c r="F146">
        <f>E146*D146</f>
        <v>579.79999999999995</v>
      </c>
    </row>
    <row r="147" spans="2:6">
      <c r="B147" t="s">
        <v>124</v>
      </c>
      <c r="C147" t="s">
        <v>2</v>
      </c>
      <c r="D147">
        <v>0.85</v>
      </c>
      <c r="E147">
        <f>F21</f>
        <v>1215</v>
      </c>
      <c r="F147">
        <f>E147*D147</f>
        <v>1032.75</v>
      </c>
    </row>
    <row r="148" spans="2:6">
      <c r="B148" t="s">
        <v>117</v>
      </c>
      <c r="C148" t="s">
        <v>118</v>
      </c>
      <c r="D148">
        <v>60</v>
      </c>
      <c r="E148">
        <f>F3</f>
        <v>2.5</v>
      </c>
      <c r="F148">
        <f>E148*D148</f>
        <v>150</v>
      </c>
    </row>
    <row r="149" spans="2:6">
      <c r="B149" t="s">
        <v>188</v>
      </c>
      <c r="C149" t="s">
        <v>1026</v>
      </c>
      <c r="D149">
        <v>6.4</v>
      </c>
      <c r="E149">
        <f>F4</f>
        <v>325</v>
      </c>
      <c r="F149">
        <f>E149*D149</f>
        <v>2080</v>
      </c>
    </row>
    <row r="150" spans="2:6">
      <c r="B150" t="s">
        <v>189</v>
      </c>
      <c r="C150" t="s">
        <v>148</v>
      </c>
      <c r="D150">
        <v>0.5</v>
      </c>
      <c r="E150">
        <v>659</v>
      </c>
      <c r="F150">
        <f>E150*D150</f>
        <v>329.5</v>
      </c>
    </row>
    <row r="151" spans="2:6">
      <c r="B151" t="s">
        <v>190</v>
      </c>
      <c r="F151">
        <f>SUM(F146+F147+F148+F149)*0.03</f>
        <v>115.2765</v>
      </c>
    </row>
    <row r="152" spans="2:6">
      <c r="E152" t="s">
        <v>1031</v>
      </c>
      <c r="F152">
        <f>SUM(F146:F151)</f>
        <v>4287.3265000000001</v>
      </c>
    </row>
    <row r="154" spans="2:6">
      <c r="B154" t="s">
        <v>191</v>
      </c>
    </row>
    <row r="155" spans="2:6">
      <c r="B155" t="s">
        <v>192</v>
      </c>
      <c r="C155" t="s">
        <v>3</v>
      </c>
      <c r="D155">
        <v>13</v>
      </c>
      <c r="E155">
        <v>28.5</v>
      </c>
      <c r="F155">
        <f t="shared" ref="F155:F162" si="2">E155*D155</f>
        <v>370.5</v>
      </c>
    </row>
    <row r="156" spans="2:6">
      <c r="B156" t="s">
        <v>193</v>
      </c>
      <c r="C156" t="s">
        <v>3</v>
      </c>
      <c r="D156">
        <v>13</v>
      </c>
      <c r="E156">
        <v>18</v>
      </c>
      <c r="F156">
        <f t="shared" si="2"/>
        <v>234</v>
      </c>
    </row>
    <row r="157" spans="2:6">
      <c r="B157" t="s">
        <v>194</v>
      </c>
      <c r="C157" t="s">
        <v>2</v>
      </c>
      <c r="D157">
        <v>3.1199999999999999E-2</v>
      </c>
      <c r="E157">
        <f>F88</f>
        <v>5506.4035999999996</v>
      </c>
      <c r="F157">
        <f t="shared" si="2"/>
        <v>171.79979231999999</v>
      </c>
    </row>
    <row r="158" spans="2:6">
      <c r="B158" t="s">
        <v>195</v>
      </c>
      <c r="C158" t="s">
        <v>2</v>
      </c>
      <c r="D158">
        <v>0.01</v>
      </c>
      <c r="E158">
        <f>SUM(F152)</f>
        <v>4287.3265000000001</v>
      </c>
      <c r="F158">
        <f t="shared" si="2"/>
        <v>42.873265000000004</v>
      </c>
    </row>
    <row r="159" spans="2:6">
      <c r="B159" t="s">
        <v>196</v>
      </c>
      <c r="C159" t="s">
        <v>126</v>
      </c>
      <c r="D159">
        <v>2.9600000000000001E-2</v>
      </c>
      <c r="E159">
        <f>F137</f>
        <v>2913</v>
      </c>
      <c r="F159">
        <f t="shared" si="2"/>
        <v>86.224800000000002</v>
      </c>
    </row>
    <row r="160" spans="2:6">
      <c r="B160" t="s">
        <v>197</v>
      </c>
      <c r="C160" t="s">
        <v>155</v>
      </c>
      <c r="D160">
        <v>0.18179999999999999</v>
      </c>
      <c r="E160">
        <v>45</v>
      </c>
      <c r="F160">
        <f t="shared" si="2"/>
        <v>8.1809999999999992</v>
      </c>
    </row>
    <row r="161" spans="2:6">
      <c r="B161" t="s">
        <v>198</v>
      </c>
      <c r="C161" t="s">
        <v>148</v>
      </c>
      <c r="D161">
        <v>2.3E-2</v>
      </c>
      <c r="E161">
        <v>659</v>
      </c>
      <c r="F161">
        <f t="shared" si="2"/>
        <v>15.157</v>
      </c>
    </row>
    <row r="162" spans="2:6">
      <c r="B162" t="s">
        <v>199</v>
      </c>
      <c r="C162" t="s">
        <v>2</v>
      </c>
      <c r="D162">
        <v>0.01</v>
      </c>
      <c r="E162">
        <v>659</v>
      </c>
      <c r="F162">
        <f t="shared" si="2"/>
        <v>6.59</v>
      </c>
    </row>
    <row r="163" spans="2:6">
      <c r="E163" t="s">
        <v>1031</v>
      </c>
      <c r="F163">
        <f>SUM(F155:F162)</f>
        <v>935.32585731999995</v>
      </c>
    </row>
    <row r="164" spans="2:6">
      <c r="B164" t="s">
        <v>1046</v>
      </c>
      <c r="F164">
        <f>+F163-F161</f>
        <v>920.16885732000003</v>
      </c>
    </row>
    <row r="166" spans="2:6">
      <c r="B166" t="s">
        <v>1047</v>
      </c>
    </row>
    <row r="167" spans="2:6">
      <c r="B167" t="s">
        <v>1048</v>
      </c>
      <c r="C167" t="s">
        <v>3</v>
      </c>
      <c r="D167">
        <v>13</v>
      </c>
      <c r="E167">
        <v>27</v>
      </c>
      <c r="F167">
        <f t="shared" ref="F167:F174" si="3">E167*D167</f>
        <v>351</v>
      </c>
    </row>
    <row r="168" spans="2:6">
      <c r="B168" t="s">
        <v>1049</v>
      </c>
      <c r="C168" t="s">
        <v>3</v>
      </c>
      <c r="D168">
        <v>13</v>
      </c>
      <c r="E168">
        <v>17</v>
      </c>
      <c r="F168">
        <f t="shared" si="3"/>
        <v>221</v>
      </c>
    </row>
    <row r="169" spans="2:6">
      <c r="B169" t="s">
        <v>1050</v>
      </c>
      <c r="C169" t="s">
        <v>2</v>
      </c>
      <c r="D169">
        <v>0.02</v>
      </c>
      <c r="E169">
        <f>F88</f>
        <v>5506.4035999999996</v>
      </c>
      <c r="F169">
        <f t="shared" si="3"/>
        <v>110.128072</v>
      </c>
    </row>
    <row r="170" spans="2:6">
      <c r="B170" t="s">
        <v>1051</v>
      </c>
      <c r="C170" t="s">
        <v>2</v>
      </c>
      <c r="D170">
        <v>9.1999999999999998E-3</v>
      </c>
      <c r="E170">
        <f>SUM(F152)</f>
        <v>4287.3265000000001</v>
      </c>
      <c r="F170">
        <f t="shared" si="3"/>
        <v>39.443403799999999</v>
      </c>
    </row>
    <row r="171" spans="2:6">
      <c r="B171" t="s">
        <v>1052</v>
      </c>
      <c r="C171" t="s">
        <v>126</v>
      </c>
      <c r="D171">
        <v>2.9600000000000001E-2</v>
      </c>
      <c r="E171">
        <f>F137</f>
        <v>2913</v>
      </c>
      <c r="F171">
        <f t="shared" si="3"/>
        <v>86.224800000000002</v>
      </c>
    </row>
    <row r="172" spans="2:6">
      <c r="B172" t="s">
        <v>1053</v>
      </c>
      <c r="C172" t="s">
        <v>155</v>
      </c>
      <c r="D172">
        <v>0.18179999999999999</v>
      </c>
      <c r="E172">
        <v>23.15</v>
      </c>
      <c r="F172">
        <f t="shared" si="3"/>
        <v>4.2086699999999997</v>
      </c>
    </row>
    <row r="173" spans="2:6">
      <c r="B173" t="s">
        <v>198</v>
      </c>
      <c r="C173" t="s">
        <v>148</v>
      </c>
      <c r="D173">
        <v>2.3E-2</v>
      </c>
      <c r="E173">
        <v>659</v>
      </c>
      <c r="F173">
        <f t="shared" si="3"/>
        <v>15.157</v>
      </c>
    </row>
    <row r="174" spans="2:6">
      <c r="B174" t="s">
        <v>199</v>
      </c>
      <c r="C174" t="s">
        <v>2</v>
      </c>
      <c r="D174">
        <v>0.01</v>
      </c>
      <c r="E174">
        <v>659</v>
      </c>
      <c r="F174">
        <f t="shared" si="3"/>
        <v>6.59</v>
      </c>
    </row>
    <row r="175" spans="2:6">
      <c r="E175" t="s">
        <v>1031</v>
      </c>
      <c r="F175">
        <f>SUM(F167:F174)</f>
        <v>833.75194580000004</v>
      </c>
    </row>
    <row r="177" spans="2:6">
      <c r="B177" t="s">
        <v>1054</v>
      </c>
    </row>
    <row r="178" spans="2:6">
      <c r="B178" t="s">
        <v>1055</v>
      </c>
      <c r="C178" t="s">
        <v>3</v>
      </c>
      <c r="D178">
        <v>13</v>
      </c>
      <c r="E178">
        <v>60</v>
      </c>
      <c r="F178">
        <f>E178*D178</f>
        <v>780</v>
      </c>
    </row>
    <row r="179" spans="2:6">
      <c r="B179" t="s">
        <v>1056</v>
      </c>
      <c r="C179" t="s">
        <v>3</v>
      </c>
      <c r="D179">
        <v>13</v>
      </c>
      <c r="E179">
        <v>20</v>
      </c>
      <c r="F179">
        <f>E179*D179</f>
        <v>260</v>
      </c>
    </row>
    <row r="180" spans="2:6">
      <c r="B180" t="s">
        <v>1057</v>
      </c>
      <c r="C180" t="s">
        <v>2</v>
      </c>
      <c r="D180">
        <v>8.6E-3</v>
      </c>
      <c r="E180">
        <f>F80</f>
        <v>5080.9930000000004</v>
      </c>
      <c r="F180">
        <f>E180*D180</f>
        <v>43.696539799999996</v>
      </c>
    </row>
    <row r="181" spans="2:6">
      <c r="B181" t="s">
        <v>1058</v>
      </c>
      <c r="C181" t="s">
        <v>3</v>
      </c>
      <c r="D181">
        <v>0.13</v>
      </c>
      <c r="E181">
        <v>60</v>
      </c>
      <c r="F181">
        <f>E181*D181</f>
        <v>7.8</v>
      </c>
    </row>
    <row r="182" spans="2:6">
      <c r="E182" t="s">
        <v>1031</v>
      </c>
      <c r="F182">
        <f>SUM(F178:F181)</f>
        <v>1091.4965397999999</v>
      </c>
    </row>
    <row r="184" spans="2:6">
      <c r="B184" t="s">
        <v>1222</v>
      </c>
    </row>
    <row r="185" spans="2:6">
      <c r="B185" t="s">
        <v>1059</v>
      </c>
      <c r="C185" t="s">
        <v>11</v>
      </c>
      <c r="D185">
        <v>1</v>
      </c>
      <c r="E185">
        <v>18</v>
      </c>
      <c r="F185">
        <f>E185*D185</f>
        <v>18</v>
      </c>
    </row>
    <row r="186" spans="2:6">
      <c r="B186" t="s">
        <v>1060</v>
      </c>
      <c r="C186" t="s">
        <v>2</v>
      </c>
      <c r="D186">
        <v>0.105</v>
      </c>
      <c r="E186">
        <f>F57</f>
        <v>5068.3010000000004</v>
      </c>
      <c r="F186">
        <f>E186*D186</f>
        <v>532.171605</v>
      </c>
    </row>
    <row r="187" spans="2:6">
      <c r="B187" t="s">
        <v>154</v>
      </c>
      <c r="C187" t="s">
        <v>155</v>
      </c>
      <c r="D187">
        <v>2.1999999999999999E-2</v>
      </c>
      <c r="E187">
        <v>45</v>
      </c>
      <c r="F187">
        <f>E187*D187</f>
        <v>0.99</v>
      </c>
    </row>
    <row r="188" spans="2:6">
      <c r="B188" t="s">
        <v>1061</v>
      </c>
      <c r="C188" t="s">
        <v>11</v>
      </c>
      <c r="D188">
        <v>1</v>
      </c>
      <c r="E188">
        <v>70</v>
      </c>
      <c r="F188">
        <f>E188*D188</f>
        <v>70</v>
      </c>
    </row>
    <row r="189" spans="2:6">
      <c r="B189" t="s">
        <v>1062</v>
      </c>
      <c r="C189" t="s">
        <v>13</v>
      </c>
      <c r="D189">
        <f>1/0.8</f>
        <v>1.25</v>
      </c>
      <c r="E189">
        <f>+F126</f>
        <v>78.493269900000001</v>
      </c>
      <c r="F189">
        <f>E189*D189</f>
        <v>98.116587374999995</v>
      </c>
    </row>
    <row r="190" spans="2:6">
      <c r="E190" t="s">
        <v>1031</v>
      </c>
      <c r="F190">
        <f>SUM(F185:F189)</f>
        <v>719.278192375</v>
      </c>
    </row>
    <row r="191" spans="2:6">
      <c r="E191">
        <v>0.5</v>
      </c>
      <c r="F191">
        <f>ROUND(F190-F189+E189*1/0.5,2)</f>
        <v>778.15</v>
      </c>
    </row>
    <row r="192" spans="2:6">
      <c r="B192" t="s">
        <v>1063</v>
      </c>
    </row>
    <row r="193" spans="2:6">
      <c r="B193" t="s">
        <v>1064</v>
      </c>
      <c r="C193" t="s">
        <v>2</v>
      </c>
      <c r="D193">
        <v>0.08</v>
      </c>
      <c r="E193">
        <f>F152</f>
        <v>4287.3265000000001</v>
      </c>
      <c r="F193">
        <f t="shared" ref="F193:F198" si="4">E193*D193</f>
        <v>342.98612000000003</v>
      </c>
    </row>
    <row r="194" spans="2:6">
      <c r="B194" t="s">
        <v>1065</v>
      </c>
      <c r="C194" t="s">
        <v>2</v>
      </c>
      <c r="D194">
        <v>2.1999999999999999E-2</v>
      </c>
      <c r="E194">
        <f>F80</f>
        <v>5080.9930000000004</v>
      </c>
      <c r="F194">
        <f t="shared" si="4"/>
        <v>111.781846</v>
      </c>
    </row>
    <row r="195" spans="2:6">
      <c r="B195" t="s">
        <v>154</v>
      </c>
      <c r="C195" t="s">
        <v>155</v>
      </c>
      <c r="D195">
        <v>8.7999999999999995E-2</v>
      </c>
      <c r="E195">
        <v>45</v>
      </c>
      <c r="F195">
        <f t="shared" si="4"/>
        <v>3.96</v>
      </c>
    </row>
    <row r="196" spans="2:6">
      <c r="B196" t="s">
        <v>1066</v>
      </c>
      <c r="C196" t="s">
        <v>11</v>
      </c>
      <c r="D196">
        <v>1</v>
      </c>
      <c r="E196">
        <v>70</v>
      </c>
      <c r="F196">
        <f t="shared" si="4"/>
        <v>70</v>
      </c>
    </row>
    <row r="197" spans="2:6">
      <c r="B197" t="s">
        <v>1062</v>
      </c>
      <c r="C197" t="s">
        <v>1</v>
      </c>
      <c r="D197">
        <v>0.8</v>
      </c>
      <c r="E197">
        <f>F126</f>
        <v>78.493269900000001</v>
      </c>
      <c r="F197">
        <f t="shared" si="4"/>
        <v>62.794615919999998</v>
      </c>
    </row>
    <row r="198" spans="2:6">
      <c r="B198" t="s">
        <v>1067</v>
      </c>
      <c r="C198" t="s">
        <v>1026</v>
      </c>
      <c r="D198">
        <v>0.04</v>
      </c>
      <c r="E198">
        <f>F4</f>
        <v>325</v>
      </c>
      <c r="F198">
        <f t="shared" si="4"/>
        <v>13</v>
      </c>
    </row>
    <row r="199" spans="2:6">
      <c r="E199" t="s">
        <v>1031</v>
      </c>
      <c r="F199">
        <f>SUM(F193:F198)</f>
        <v>604.52258191999999</v>
      </c>
    </row>
    <row r="201" spans="2:6">
      <c r="B201" t="s">
        <v>1068</v>
      </c>
    </row>
    <row r="202" spans="2:6">
      <c r="B202" t="s">
        <v>1069</v>
      </c>
      <c r="C202" t="s">
        <v>2</v>
      </c>
      <c r="D202">
        <v>0.8</v>
      </c>
      <c r="E202">
        <f>F66</f>
        <v>4782.6610000000001</v>
      </c>
      <c r="F202">
        <f>E202*D202</f>
        <v>3826.1288</v>
      </c>
    </row>
    <row r="203" spans="2:6">
      <c r="B203" t="s">
        <v>1070</v>
      </c>
      <c r="C203" t="s">
        <v>2</v>
      </c>
      <c r="D203">
        <v>0.45</v>
      </c>
      <c r="E203">
        <v>750</v>
      </c>
      <c r="F203">
        <f>E203*D203</f>
        <v>337.5</v>
      </c>
    </row>
    <row r="204" spans="2:6">
      <c r="B204" t="s">
        <v>41</v>
      </c>
      <c r="C204" t="s">
        <v>2</v>
      </c>
      <c r="D204">
        <v>1</v>
      </c>
      <c r="E204">
        <v>659</v>
      </c>
      <c r="F204">
        <f>E204*D204</f>
        <v>659</v>
      </c>
    </row>
    <row r="205" spans="2:6">
      <c r="F205">
        <f>SUM(F202:F204)</f>
        <v>4822.6288000000004</v>
      </c>
    </row>
    <row r="207" spans="2:6">
      <c r="B207" t="s">
        <v>862</v>
      </c>
    </row>
    <row r="208" spans="2:6">
      <c r="B208" t="s">
        <v>1071</v>
      </c>
      <c r="C208" t="s">
        <v>11</v>
      </c>
      <c r="D208">
        <v>0.2</v>
      </c>
      <c r="E208">
        <f>+F163</f>
        <v>935.32585731999995</v>
      </c>
      <c r="F208">
        <f>E208*D208</f>
        <v>187.065171464</v>
      </c>
    </row>
    <row r="209" spans="2:7">
      <c r="B209" t="s">
        <v>259</v>
      </c>
      <c r="C209" t="s">
        <v>11</v>
      </c>
      <c r="D209">
        <v>0.55000000000000004</v>
      </c>
      <c r="E209">
        <f>+F95</f>
        <v>294.78081800000001</v>
      </c>
      <c r="F209">
        <f>E209*D209</f>
        <v>162.1294499</v>
      </c>
    </row>
    <row r="210" spans="2:7">
      <c r="B210" t="s">
        <v>618</v>
      </c>
      <c r="C210" t="s">
        <v>1</v>
      </c>
      <c r="D210">
        <v>2</v>
      </c>
      <c r="E210">
        <f>+F126</f>
        <v>78.493269900000001</v>
      </c>
      <c r="F210">
        <f>E210*D210</f>
        <v>156.9865398</v>
      </c>
    </row>
    <row r="211" spans="2:7">
      <c r="E211" t="s">
        <v>1031</v>
      </c>
      <c r="F211">
        <f>SUM(F208:F210)</f>
        <v>506.181161164</v>
      </c>
    </row>
    <row r="213" spans="2:7">
      <c r="B213" t="s">
        <v>1072</v>
      </c>
    </row>
    <row r="214" spans="2:7">
      <c r="B214" t="s">
        <v>1073</v>
      </c>
      <c r="C214" t="s">
        <v>1074</v>
      </c>
      <c r="D214">
        <v>0.08</v>
      </c>
      <c r="E214">
        <v>650</v>
      </c>
      <c r="F214">
        <f>E214*D214</f>
        <v>52</v>
      </c>
    </row>
    <row r="215" spans="2:7">
      <c r="B215" t="s">
        <v>1075</v>
      </c>
      <c r="C215" t="s">
        <v>118</v>
      </c>
      <c r="D215">
        <v>0.02</v>
      </c>
      <c r="E215">
        <v>350</v>
      </c>
      <c r="F215">
        <f>E215*D215</f>
        <v>7</v>
      </c>
    </row>
    <row r="216" spans="2:7">
      <c r="B216" t="s">
        <v>1076</v>
      </c>
      <c r="C216" t="s">
        <v>11</v>
      </c>
      <c r="D216">
        <v>1</v>
      </c>
      <c r="E216">
        <v>58.5</v>
      </c>
      <c r="F216">
        <f>E216*D216</f>
        <v>58.5</v>
      </c>
    </row>
    <row r="217" spans="2:7">
      <c r="B217" t="s">
        <v>1077</v>
      </c>
      <c r="C217" t="s">
        <v>3</v>
      </c>
      <c r="D217">
        <v>1</v>
      </c>
      <c r="E217">
        <f>SUM(F214:F215)*0.15</f>
        <v>8.85</v>
      </c>
      <c r="F217">
        <f>E217*D217</f>
        <v>8.85</v>
      </c>
    </row>
    <row r="218" spans="2:7">
      <c r="B218" t="s">
        <v>1078</v>
      </c>
      <c r="E218" t="s">
        <v>1031</v>
      </c>
      <c r="F218">
        <f>ROUND(SUM(F214:F217),2)</f>
        <v>126.35</v>
      </c>
    </row>
    <row r="220" spans="2:7">
      <c r="B220" t="s">
        <v>1079</v>
      </c>
    </row>
    <row r="221" spans="2:7">
      <c r="B221" t="s">
        <v>1080</v>
      </c>
      <c r="C221" t="s">
        <v>118</v>
      </c>
      <c r="D221">
        <v>1</v>
      </c>
      <c r="E221">
        <f>6914/5</f>
        <v>1382.8</v>
      </c>
      <c r="F221">
        <f>E221*D221</f>
        <v>1382.8</v>
      </c>
    </row>
    <row r="222" spans="2:7">
      <c r="B222" t="s">
        <v>1076</v>
      </c>
      <c r="C222" t="s">
        <v>11</v>
      </c>
      <c r="D222">
        <v>25</v>
      </c>
      <c r="E222">
        <v>60</v>
      </c>
      <c r="F222">
        <f>E222*D222</f>
        <v>1500</v>
      </c>
      <c r="G222">
        <f>E222/2</f>
        <v>30</v>
      </c>
    </row>
    <row r="223" spans="2:7">
      <c r="B223" t="s">
        <v>1077</v>
      </c>
      <c r="C223" t="s">
        <v>3</v>
      </c>
      <c r="D223">
        <v>1</v>
      </c>
      <c r="E223">
        <f>SUM(F221:F221)*0.15</f>
        <v>207.42</v>
      </c>
      <c r="F223">
        <f>E223*D223</f>
        <v>207.42</v>
      </c>
    </row>
    <row r="224" spans="2:7">
      <c r="B224" t="s">
        <v>1078</v>
      </c>
      <c r="E224" t="s">
        <v>1031</v>
      </c>
      <c r="F224">
        <f>ROUND(SUM(F221:F223),2)</f>
        <v>3090.22</v>
      </c>
    </row>
    <row r="226" spans="2:13">
      <c r="B226" t="s">
        <v>3527</v>
      </c>
    </row>
    <row r="227" spans="2:13">
      <c r="B227" t="s">
        <v>166</v>
      </c>
      <c r="C227">
        <v>1.0999999999999999E-2</v>
      </c>
      <c r="D227" t="s">
        <v>2</v>
      </c>
      <c r="E227">
        <f>+F80</f>
        <v>5080.9930000000004</v>
      </c>
      <c r="F227">
        <f>C227*E227</f>
        <v>55.890923000000001</v>
      </c>
    </row>
    <row r="228" spans="2:13">
      <c r="B228" t="s">
        <v>1081</v>
      </c>
      <c r="C228">
        <v>1</v>
      </c>
      <c r="D228" t="s">
        <v>11</v>
      </c>
      <c r="E228">
        <v>35</v>
      </c>
      <c r="F228">
        <f>C228*E228</f>
        <v>35</v>
      </c>
    </row>
    <row r="229" spans="2:13">
      <c r="B229" t="s">
        <v>1082</v>
      </c>
      <c r="C229">
        <v>1.0999999999999999E-2</v>
      </c>
      <c r="D229" t="s">
        <v>2</v>
      </c>
      <c r="E229">
        <v>150</v>
      </c>
      <c r="F229">
        <f>C229*E229</f>
        <v>1.65</v>
      </c>
    </row>
    <row r="230" spans="2:13">
      <c r="E230" t="s">
        <v>1031</v>
      </c>
      <c r="F230">
        <f>SUM(F227:F229)</f>
        <v>92.540923000000006</v>
      </c>
    </row>
    <row r="233" spans="2:13">
      <c r="B233" t="s">
        <v>1083</v>
      </c>
    </row>
    <row r="235" spans="2:13">
      <c r="B235" t="s">
        <v>1084</v>
      </c>
    </row>
    <row r="236" spans="2:13">
      <c r="B236" t="s">
        <v>1085</v>
      </c>
      <c r="C236">
        <v>1.05</v>
      </c>
      <c r="D236" t="s">
        <v>2</v>
      </c>
      <c r="E236">
        <f>F30</f>
        <v>8034.1549999999997</v>
      </c>
      <c r="F236">
        <f>C236*E236</f>
        <v>8435.8627500000002</v>
      </c>
      <c r="I236" t="s">
        <v>1086</v>
      </c>
    </row>
    <row r="237" spans="2:13">
      <c r="B237" t="s">
        <v>1087</v>
      </c>
      <c r="C237">
        <v>0.86</v>
      </c>
      <c r="D237" t="s">
        <v>126</v>
      </c>
      <c r="E237">
        <f>+F137</f>
        <v>2913</v>
      </c>
      <c r="F237">
        <f>C237*E237</f>
        <v>2505.1799999999998</v>
      </c>
      <c r="I237" t="s">
        <v>1085</v>
      </c>
      <c r="J237">
        <v>1.05</v>
      </c>
      <c r="K237" t="s">
        <v>2</v>
      </c>
      <c r="L237">
        <f>+E236</f>
        <v>8034.1549999999997</v>
      </c>
      <c r="M237">
        <f>J237*L237</f>
        <v>8435.8627500000002</v>
      </c>
    </row>
    <row r="238" spans="2:13">
      <c r="E238" t="s">
        <v>1031</v>
      </c>
      <c r="F238">
        <f>ROUND(SUM(F236:F237),2)</f>
        <v>10941.04</v>
      </c>
      <c r="I238" t="s">
        <v>1087</v>
      </c>
      <c r="J238">
        <v>1</v>
      </c>
      <c r="K238" t="s">
        <v>126</v>
      </c>
      <c r="L238">
        <f>+E237</f>
        <v>2913</v>
      </c>
      <c r="M238">
        <f>J238*L238</f>
        <v>2913</v>
      </c>
    </row>
    <row r="239" spans="2:13">
      <c r="L239" t="s">
        <v>1031</v>
      </c>
      <c r="M239">
        <f>ROUND(SUM(M237:M238),2)</f>
        <v>11348.86</v>
      </c>
    </row>
    <row r="240" spans="2:13">
      <c r="B240" t="s">
        <v>1086</v>
      </c>
    </row>
    <row r="241" spans="2:13">
      <c r="B241" t="s">
        <v>1085</v>
      </c>
      <c r="C241">
        <v>1.05</v>
      </c>
      <c r="D241" t="s">
        <v>2</v>
      </c>
      <c r="E241">
        <f>+E236</f>
        <v>8034.1549999999997</v>
      </c>
      <c r="F241">
        <f>C241*E241</f>
        <v>8435.8627500000002</v>
      </c>
    </row>
    <row r="242" spans="2:13">
      <c r="B242" t="s">
        <v>1087</v>
      </c>
      <c r="C242">
        <v>1</v>
      </c>
      <c r="D242" t="s">
        <v>126</v>
      </c>
      <c r="E242">
        <f>+F142</f>
        <v>2590</v>
      </c>
      <c r="F242">
        <f>C242*E242</f>
        <v>2590</v>
      </c>
    </row>
    <row r="243" spans="2:13">
      <c r="E243" t="s">
        <v>1031</v>
      </c>
      <c r="F243">
        <f>ROUND(SUM(F241:F242),2)</f>
        <v>11025.86</v>
      </c>
    </row>
    <row r="245" spans="2:13">
      <c r="B245" t="s">
        <v>1088</v>
      </c>
    </row>
    <row r="246" spans="2:13">
      <c r="B246" t="s">
        <v>1085</v>
      </c>
      <c r="C246">
        <v>1.05</v>
      </c>
      <c r="D246" t="s">
        <v>2</v>
      </c>
      <c r="E246">
        <f>+E236</f>
        <v>8034.1549999999997</v>
      </c>
      <c r="F246">
        <f>C246*E246</f>
        <v>8435.8627500000002</v>
      </c>
    </row>
    <row r="247" spans="2:13">
      <c r="B247" t="s">
        <v>1087</v>
      </c>
      <c r="C247">
        <v>2.79</v>
      </c>
      <c r="D247" t="s">
        <v>126</v>
      </c>
      <c r="E247">
        <f>+E237</f>
        <v>2913</v>
      </c>
      <c r="F247">
        <f>C247*E247</f>
        <v>8127.27</v>
      </c>
    </row>
    <row r="248" spans="2:13">
      <c r="B248" t="s">
        <v>1089</v>
      </c>
      <c r="C248">
        <f>1/0.25</f>
        <v>4</v>
      </c>
      <c r="D248" t="s">
        <v>1</v>
      </c>
      <c r="E248">
        <v>1100</v>
      </c>
      <c r="F248">
        <f>C248*E248</f>
        <v>4400</v>
      </c>
      <c r="I248" t="s">
        <v>1090</v>
      </c>
    </row>
    <row r="249" spans="2:13">
      <c r="E249" t="s">
        <v>1031</v>
      </c>
      <c r="F249">
        <f>ROUND(SUM(F246:F248),2)</f>
        <v>20963.13</v>
      </c>
      <c r="I249" t="s">
        <v>1085</v>
      </c>
      <c r="J249">
        <v>1.05</v>
      </c>
      <c r="K249" t="s">
        <v>2</v>
      </c>
      <c r="L249">
        <f>+E248</f>
        <v>1100</v>
      </c>
      <c r="M249">
        <f>J249*L249</f>
        <v>1155</v>
      </c>
    </row>
    <row r="250" spans="2:13">
      <c r="I250" t="s">
        <v>1087</v>
      </c>
      <c r="J250">
        <v>3.55</v>
      </c>
      <c r="K250" t="s">
        <v>126</v>
      </c>
      <c r="L250">
        <f>+L238</f>
        <v>2913</v>
      </c>
      <c r="M250">
        <f>J250*L250</f>
        <v>10341.15</v>
      </c>
    </row>
    <row r="251" spans="2:13">
      <c r="B251" t="s">
        <v>1091</v>
      </c>
    </row>
    <row r="252" spans="2:13">
      <c r="B252" t="s">
        <v>1085</v>
      </c>
      <c r="C252">
        <v>1.05</v>
      </c>
      <c r="D252" t="s">
        <v>2</v>
      </c>
      <c r="E252">
        <f>+E246</f>
        <v>8034.1549999999997</v>
      </c>
      <c r="F252">
        <f>C252*E252</f>
        <v>8435.8627500000002</v>
      </c>
    </row>
    <row r="253" spans="2:13">
      <c r="B253" t="s">
        <v>1092</v>
      </c>
      <c r="C253">
        <v>5.0199999999999996</v>
      </c>
      <c r="D253" t="s">
        <v>126</v>
      </c>
      <c r="E253">
        <f>+F142</f>
        <v>2590</v>
      </c>
      <c r="F253">
        <f>C253*E253</f>
        <v>13001.8</v>
      </c>
    </row>
    <row r="254" spans="2:13">
      <c r="B254" t="s">
        <v>1089</v>
      </c>
      <c r="C254">
        <f>1/(0.4*0.4)</f>
        <v>6.25</v>
      </c>
      <c r="D254" t="s">
        <v>1</v>
      </c>
      <c r="E254">
        <v>400</v>
      </c>
      <c r="F254">
        <f>C254*E254</f>
        <v>2500</v>
      </c>
    </row>
    <row r="255" spans="2:13">
      <c r="B255" t="s">
        <v>1093</v>
      </c>
      <c r="C255">
        <f>+C254</f>
        <v>6.25</v>
      </c>
      <c r="D255" t="s">
        <v>1</v>
      </c>
      <c r="E255">
        <v>110</v>
      </c>
      <c r="F255">
        <f>C255*E255</f>
        <v>687.5</v>
      </c>
    </row>
    <row r="256" spans="2:13">
      <c r="E256" t="s">
        <v>1031</v>
      </c>
      <c r="F256">
        <f>ROUND(SUM(F252:F255),2)</f>
        <v>24625.16</v>
      </c>
    </row>
    <row r="258" spans="2:13">
      <c r="B258" t="s">
        <v>1094</v>
      </c>
      <c r="L258" t="s">
        <v>1031</v>
      </c>
      <c r="M258">
        <f>ROUND(SUM(M249:M250),2)</f>
        <v>11496.15</v>
      </c>
    </row>
    <row r="259" spans="2:13">
      <c r="B259" t="s">
        <v>1085</v>
      </c>
      <c r="C259">
        <v>1.05</v>
      </c>
      <c r="D259" t="s">
        <v>2</v>
      </c>
      <c r="E259">
        <f>+E246</f>
        <v>8034.1549999999997</v>
      </c>
      <c r="F259">
        <f>C259*E259</f>
        <v>8435.8627500000002</v>
      </c>
    </row>
    <row r="260" spans="2:13">
      <c r="B260" t="s">
        <v>1092</v>
      </c>
      <c r="C260">
        <v>2.71</v>
      </c>
      <c r="D260" t="s">
        <v>126</v>
      </c>
      <c r="E260">
        <f>+F142</f>
        <v>2590</v>
      </c>
      <c r="F260">
        <f>C260*E260</f>
        <v>7018.9</v>
      </c>
    </row>
    <row r="261" spans="2:13">
      <c r="B261" t="s">
        <v>1089</v>
      </c>
      <c r="C261">
        <f>1/(0.4*0.2)</f>
        <v>12.5</v>
      </c>
      <c r="D261" t="s">
        <v>1</v>
      </c>
      <c r="E261">
        <v>350</v>
      </c>
      <c r="F261">
        <f>C261*E261</f>
        <v>4375</v>
      </c>
    </row>
    <row r="262" spans="2:13">
      <c r="B262" t="s">
        <v>1093</v>
      </c>
      <c r="C262">
        <f>+C261</f>
        <v>12.5</v>
      </c>
      <c r="D262" t="s">
        <v>1</v>
      </c>
      <c r="E262">
        <f>+E255</f>
        <v>110</v>
      </c>
      <c r="F262">
        <f>C262*E262</f>
        <v>1375</v>
      </c>
    </row>
    <row r="263" spans="2:13">
      <c r="E263" t="s">
        <v>1031</v>
      </c>
      <c r="F263">
        <f>ROUND(SUM(F259:F262),2)</f>
        <v>21204.76</v>
      </c>
      <c r="I263" t="s">
        <v>1091</v>
      </c>
    </row>
    <row r="264" spans="2:13">
      <c r="I264" t="s">
        <v>1085</v>
      </c>
      <c r="J264">
        <v>1.05</v>
      </c>
      <c r="K264" t="s">
        <v>2</v>
      </c>
      <c r="L264">
        <v>600</v>
      </c>
      <c r="M264">
        <f>J264*L264</f>
        <v>630</v>
      </c>
    </row>
    <row r="265" spans="2:13">
      <c r="B265" t="s">
        <v>1095</v>
      </c>
      <c r="I265" t="s">
        <v>1087</v>
      </c>
      <c r="J265">
        <v>5.0199999999999996</v>
      </c>
      <c r="K265" t="s">
        <v>126</v>
      </c>
      <c r="L265">
        <f>+L250</f>
        <v>2913</v>
      </c>
      <c r="M265">
        <f>J265*L265</f>
        <v>14623.26</v>
      </c>
    </row>
    <row r="266" spans="2:13">
      <c r="B266" t="s">
        <v>1085</v>
      </c>
      <c r="C266">
        <v>1.05</v>
      </c>
      <c r="D266" t="s">
        <v>2</v>
      </c>
      <c r="E266">
        <f>+E259</f>
        <v>8034.1549999999997</v>
      </c>
      <c r="F266">
        <f>C266*E266</f>
        <v>8435.8627500000002</v>
      </c>
      <c r="L266" t="s">
        <v>1031</v>
      </c>
      <c r="M266">
        <f>ROUND(SUM(M264:M265),2)</f>
        <v>15253.26</v>
      </c>
    </row>
    <row r="267" spans="2:13">
      <c r="B267" t="s">
        <v>272</v>
      </c>
      <c r="C267">
        <v>1.1499999999999999</v>
      </c>
      <c r="D267" t="s">
        <v>126</v>
      </c>
      <c r="E267">
        <f>+E237</f>
        <v>2913</v>
      </c>
      <c r="F267">
        <f>C267*E267</f>
        <v>3349.95</v>
      </c>
    </row>
    <row r="268" spans="2:13">
      <c r="B268" t="s">
        <v>1089</v>
      </c>
      <c r="C268">
        <f>1/0.15</f>
        <v>6.6666666666666696</v>
      </c>
      <c r="D268" t="s">
        <v>11</v>
      </c>
      <c r="E268">
        <v>350</v>
      </c>
      <c r="F268">
        <f>C268*E268</f>
        <v>2333.3333333333298</v>
      </c>
    </row>
    <row r="269" spans="2:13">
      <c r="E269" t="s">
        <v>1031</v>
      </c>
      <c r="F269">
        <f>ROUND(SUM(F266:F268),2)</f>
        <v>14119.15</v>
      </c>
    </row>
    <row r="271" spans="2:13">
      <c r="B271" t="s">
        <v>1010</v>
      </c>
    </row>
    <row r="273" spans="2:6">
      <c r="B273" t="s">
        <v>1256</v>
      </c>
    </row>
    <row r="274" spans="2:6">
      <c r="B274" t="s">
        <v>1097</v>
      </c>
      <c r="C274">
        <v>1.05</v>
      </c>
      <c r="D274" t="s">
        <v>2</v>
      </c>
      <c r="E274">
        <f>+E236</f>
        <v>8034.1549999999997</v>
      </c>
      <c r="F274">
        <f>C274*E274</f>
        <v>8435.8627500000002</v>
      </c>
    </row>
    <row r="275" spans="2:6">
      <c r="B275" t="s">
        <v>1087</v>
      </c>
      <c r="C275">
        <v>1.03</v>
      </c>
      <c r="D275" t="s">
        <v>126</v>
      </c>
      <c r="E275">
        <f>+E237</f>
        <v>2913</v>
      </c>
      <c r="F275">
        <f>C275*E275</f>
        <v>3000.39</v>
      </c>
    </row>
    <row r="276" spans="2:6">
      <c r="E276" t="s">
        <v>1031</v>
      </c>
      <c r="F276">
        <f>ROUND(SUM(F274:F275),2)</f>
        <v>11436.25</v>
      </c>
    </row>
    <row r="279" spans="2:6">
      <c r="B279" t="s">
        <v>1257</v>
      </c>
    </row>
    <row r="280" spans="2:6">
      <c r="B280" t="s">
        <v>1097</v>
      </c>
      <c r="C280">
        <v>1.05</v>
      </c>
      <c r="D280" t="s">
        <v>2</v>
      </c>
      <c r="E280">
        <f>E274</f>
        <v>8034.1549999999997</v>
      </c>
      <c r="F280">
        <f>C280*E280</f>
        <v>8435.8627500000002</v>
      </c>
    </row>
    <row r="281" spans="2:6">
      <c r="B281" t="s">
        <v>1087</v>
      </c>
      <c r="C281">
        <v>1.91</v>
      </c>
      <c r="D281" t="s">
        <v>126</v>
      </c>
      <c r="E281">
        <f>E275</f>
        <v>2913</v>
      </c>
      <c r="F281">
        <f>C281*E281</f>
        <v>5563.83</v>
      </c>
    </row>
    <row r="282" spans="2:6">
      <c r="E282" t="s">
        <v>1031</v>
      </c>
      <c r="F282">
        <f>ROUND(SUM(F280:F281),2)</f>
        <v>13999.69</v>
      </c>
    </row>
    <row r="284" spans="2:6">
      <c r="B284" t="s">
        <v>1258</v>
      </c>
    </row>
    <row r="285" spans="2:6">
      <c r="B285" t="s">
        <v>1097</v>
      </c>
      <c r="C285">
        <v>1.05</v>
      </c>
      <c r="D285" t="s">
        <v>2</v>
      </c>
      <c r="E285">
        <f>+E280</f>
        <v>8034.1549999999997</v>
      </c>
      <c r="F285">
        <f>C285*E285</f>
        <v>8435.8627500000002</v>
      </c>
    </row>
    <row r="286" spans="2:6">
      <c r="B286" t="s">
        <v>272</v>
      </c>
      <c r="C286">
        <v>1.51</v>
      </c>
      <c r="D286" t="s">
        <v>126</v>
      </c>
      <c r="E286">
        <f>+E267</f>
        <v>2913</v>
      </c>
      <c r="F286">
        <f>C286*E286</f>
        <v>4398.63</v>
      </c>
    </row>
    <row r="287" spans="2:6">
      <c r="E287" t="s">
        <v>1031</v>
      </c>
      <c r="F287">
        <f>ROUND(SUM(F285:F286),2)</f>
        <v>12834.49</v>
      </c>
    </row>
    <row r="289" spans="2:6">
      <c r="B289" t="s">
        <v>1259</v>
      </c>
    </row>
    <row r="290" spans="2:6">
      <c r="B290" t="s">
        <v>1097</v>
      </c>
      <c r="C290">
        <v>1.05</v>
      </c>
      <c r="D290" t="s">
        <v>2</v>
      </c>
      <c r="E290">
        <f>+E303</f>
        <v>8034.1549999999997</v>
      </c>
      <c r="F290">
        <f>C290*E290</f>
        <v>8435.8627500000002</v>
      </c>
    </row>
    <row r="291" spans="2:6">
      <c r="B291" t="s">
        <v>1087</v>
      </c>
      <c r="C291">
        <v>2.29</v>
      </c>
      <c r="D291" t="s">
        <v>126</v>
      </c>
      <c r="E291">
        <f>+E247</f>
        <v>2913</v>
      </c>
      <c r="F291">
        <f>C291*E291</f>
        <v>6670.77</v>
      </c>
    </row>
    <row r="292" spans="2:6">
      <c r="B292" t="s">
        <v>1089</v>
      </c>
      <c r="C292">
        <f>1/0.25</f>
        <v>4</v>
      </c>
      <c r="D292" t="s">
        <v>1</v>
      </c>
      <c r="E292">
        <v>1200</v>
      </c>
      <c r="F292">
        <f>C292*E292</f>
        <v>4800</v>
      </c>
    </row>
    <row r="293" spans="2:6">
      <c r="E293" t="s">
        <v>1031</v>
      </c>
      <c r="F293">
        <f>ROUND(SUM(F290:F292),2)</f>
        <v>19906.63</v>
      </c>
    </row>
    <row r="295" spans="2:6">
      <c r="B295" t="s">
        <v>1260</v>
      </c>
    </row>
    <row r="296" spans="2:6">
      <c r="B296" t="s">
        <v>1097</v>
      </c>
      <c r="C296">
        <v>1.05</v>
      </c>
      <c r="D296" t="s">
        <v>2</v>
      </c>
      <c r="E296">
        <f>+E285</f>
        <v>8034.1549999999997</v>
      </c>
      <c r="F296">
        <f>C296*E296</f>
        <v>8435.8627500000002</v>
      </c>
    </row>
    <row r="297" spans="2:6">
      <c r="B297" t="s">
        <v>1092</v>
      </c>
      <c r="C297">
        <v>3.98</v>
      </c>
      <c r="D297" t="s">
        <v>126</v>
      </c>
      <c r="E297">
        <f>+E253</f>
        <v>2590</v>
      </c>
      <c r="F297">
        <f>C297*E297</f>
        <v>10308.200000000001</v>
      </c>
    </row>
    <row r="298" spans="2:6">
      <c r="B298" t="s">
        <v>1089</v>
      </c>
      <c r="C298">
        <f>1/(0.3*0.3)</f>
        <v>11.1111111111111</v>
      </c>
      <c r="D298" t="s">
        <v>1</v>
      </c>
      <c r="E298">
        <v>400</v>
      </c>
      <c r="F298">
        <f>C298*E298</f>
        <v>4444.4444444444398</v>
      </c>
    </row>
    <row r="299" spans="2:6">
      <c r="B299" t="s">
        <v>1093</v>
      </c>
      <c r="C299">
        <f>+C298</f>
        <v>11.1111111111111</v>
      </c>
      <c r="D299" t="s">
        <v>1</v>
      </c>
      <c r="E299">
        <v>110</v>
      </c>
      <c r="F299">
        <f>C299*E299</f>
        <v>1222.2222222222199</v>
      </c>
    </row>
    <row r="300" spans="2:6">
      <c r="E300" t="s">
        <v>1031</v>
      </c>
      <c r="F300">
        <f>ROUND(SUM(F296:F299),2)</f>
        <v>24410.73</v>
      </c>
    </row>
    <row r="302" spans="2:6">
      <c r="B302" t="s">
        <v>1261</v>
      </c>
    </row>
    <row r="303" spans="2:6">
      <c r="B303" t="s">
        <v>1097</v>
      </c>
      <c r="C303">
        <v>1.05</v>
      </c>
      <c r="D303" t="s">
        <v>2</v>
      </c>
      <c r="E303">
        <f>+E296</f>
        <v>8034.1549999999997</v>
      </c>
      <c r="F303">
        <f>C303*E303</f>
        <v>8435.8627500000002</v>
      </c>
    </row>
    <row r="304" spans="2:6">
      <c r="B304" t="s">
        <v>1092</v>
      </c>
      <c r="C304">
        <v>5.07</v>
      </c>
      <c r="D304" t="s">
        <v>126</v>
      </c>
      <c r="E304">
        <f>+E297</f>
        <v>2590</v>
      </c>
      <c r="F304">
        <f>C304*E304</f>
        <v>13131.3</v>
      </c>
    </row>
    <row r="305" spans="2:6">
      <c r="B305" t="s">
        <v>1089</v>
      </c>
      <c r="C305">
        <f>1/(0.25*0.5)</f>
        <v>8</v>
      </c>
      <c r="D305" t="s">
        <v>1</v>
      </c>
      <c r="E305">
        <v>400</v>
      </c>
      <c r="F305">
        <f>C305*E305</f>
        <v>3200</v>
      </c>
    </row>
    <row r="306" spans="2:6">
      <c r="B306" t="s">
        <v>1093</v>
      </c>
      <c r="C306">
        <f>+C305</f>
        <v>8</v>
      </c>
      <c r="D306" t="s">
        <v>1</v>
      </c>
      <c r="E306">
        <v>110</v>
      </c>
      <c r="F306">
        <f>C306*E306</f>
        <v>880</v>
      </c>
    </row>
    <row r="307" spans="2:6">
      <c r="E307" t="s">
        <v>1031</v>
      </c>
      <c r="F307">
        <f>ROUND(SUM(F303:F306),2)</f>
        <v>25647.16</v>
      </c>
    </row>
    <row r="309" spans="2:6">
      <c r="B309" t="s">
        <v>1262</v>
      </c>
    </row>
    <row r="310" spans="2:6">
      <c r="B310" t="s">
        <v>1097</v>
      </c>
      <c r="C310">
        <v>1.05</v>
      </c>
      <c r="D310" t="s">
        <v>2</v>
      </c>
      <c r="E310">
        <f>+E290</f>
        <v>8034.1549999999997</v>
      </c>
      <c r="F310">
        <f>C310*E310</f>
        <v>8435.8627500000002</v>
      </c>
    </row>
    <row r="311" spans="2:6">
      <c r="B311" t="s">
        <v>272</v>
      </c>
      <c r="C311">
        <v>1.29</v>
      </c>
      <c r="D311" t="s">
        <v>126</v>
      </c>
      <c r="E311">
        <f>+E267</f>
        <v>2913</v>
      </c>
      <c r="F311">
        <f>C311*E311</f>
        <v>3757.77</v>
      </c>
    </row>
    <row r="312" spans="2:6">
      <c r="B312" t="s">
        <v>1089</v>
      </c>
      <c r="C312">
        <f>1/0.15</f>
        <v>6.6666666666666696</v>
      </c>
      <c r="D312" t="s">
        <v>11</v>
      </c>
      <c r="E312">
        <v>350</v>
      </c>
      <c r="F312">
        <f>C312*E312</f>
        <v>2333.3333333333298</v>
      </c>
    </row>
    <row r="313" spans="2:6">
      <c r="E313" t="s">
        <v>1031</v>
      </c>
      <c r="F313">
        <f>ROUND(SUM(F310:F312),2)</f>
        <v>14526.97</v>
      </c>
    </row>
    <row r="315" spans="2:6">
      <c r="B315" t="s">
        <v>1014</v>
      </c>
    </row>
    <row r="316" spans="2:6">
      <c r="B316" t="s">
        <v>271</v>
      </c>
      <c r="C316">
        <v>1.05</v>
      </c>
      <c r="D316" t="s">
        <v>2</v>
      </c>
      <c r="E316">
        <f>+E310</f>
        <v>8034.1549999999997</v>
      </c>
      <c r="F316">
        <f>C316*E316</f>
        <v>8435.8627500000002</v>
      </c>
    </row>
    <row r="317" spans="2:6">
      <c r="B317" t="s">
        <v>1092</v>
      </c>
      <c r="C317">
        <v>3.06</v>
      </c>
      <c r="D317" t="s">
        <v>126</v>
      </c>
      <c r="E317">
        <f>+E260</f>
        <v>2590</v>
      </c>
      <c r="F317">
        <f>C317*E317</f>
        <v>7925.4</v>
      </c>
    </row>
    <row r="318" spans="2:6">
      <c r="B318" t="s">
        <v>1089</v>
      </c>
      <c r="C318">
        <f>1/(0.4*0.25)</f>
        <v>10</v>
      </c>
      <c r="D318" t="s">
        <v>1</v>
      </c>
      <c r="E318">
        <v>350</v>
      </c>
      <c r="F318">
        <f>C318*E318</f>
        <v>3500</v>
      </c>
    </row>
    <row r="319" spans="2:6">
      <c r="B319" t="s">
        <v>1093</v>
      </c>
      <c r="C319">
        <f>+C318</f>
        <v>10</v>
      </c>
      <c r="D319" t="s">
        <v>1</v>
      </c>
      <c r="E319">
        <v>110</v>
      </c>
      <c r="F319">
        <f>C319*E319</f>
        <v>1100</v>
      </c>
    </row>
    <row r="320" spans="2:6">
      <c r="E320" t="s">
        <v>1031</v>
      </c>
      <c r="F320">
        <f>ROUND(SUM(F316:F319),2)</f>
        <v>20961.259999999998</v>
      </c>
    </row>
    <row r="322" spans="2:6">
      <c r="B322" t="s">
        <v>1293</v>
      </c>
    </row>
    <row r="324" spans="2:6">
      <c r="B324" t="s">
        <v>1297</v>
      </c>
    </row>
    <row r="325" spans="2:6">
      <c r="B325" t="s">
        <v>271</v>
      </c>
      <c r="C325">
        <v>1.05</v>
      </c>
      <c r="D325" t="s">
        <v>2</v>
      </c>
      <c r="E325">
        <f>+E316</f>
        <v>8034.1549999999997</v>
      </c>
      <c r="F325">
        <f>C325*E325</f>
        <v>8435.8627500000002</v>
      </c>
    </row>
    <row r="326" spans="2:6">
      <c r="B326" t="s">
        <v>1092</v>
      </c>
      <c r="C326">
        <v>5.12</v>
      </c>
      <c r="D326" t="s">
        <v>126</v>
      </c>
      <c r="E326">
        <f>+E317</f>
        <v>2590</v>
      </c>
      <c r="F326">
        <f>C326*E326</f>
        <v>13260.8</v>
      </c>
    </row>
    <row r="327" spans="2:6">
      <c r="B327" t="s">
        <v>1089</v>
      </c>
      <c r="C327">
        <f>1/(0.15*0.3)</f>
        <v>22.2222222222222</v>
      </c>
      <c r="D327" t="s">
        <v>1</v>
      </c>
      <c r="E327">
        <v>350</v>
      </c>
      <c r="F327">
        <f>C327*E327</f>
        <v>7777.7777777777701</v>
      </c>
    </row>
    <row r="328" spans="2:6">
      <c r="B328" t="s">
        <v>1093</v>
      </c>
      <c r="C328">
        <f>+C327</f>
        <v>22.2222222222222</v>
      </c>
      <c r="D328" t="s">
        <v>1</v>
      </c>
      <c r="E328">
        <v>110</v>
      </c>
      <c r="F328">
        <f>C328*E328</f>
        <v>2444.4444444444398</v>
      </c>
    </row>
    <row r="329" spans="2:6">
      <c r="E329" t="s">
        <v>1031</v>
      </c>
      <c r="F329">
        <f>ROUND(SUM(F325:F328),2)</f>
        <v>31918.880000000001</v>
      </c>
    </row>
    <row r="331" spans="2:6">
      <c r="B331" t="s">
        <v>1667</v>
      </c>
    </row>
    <row r="332" spans="2:6">
      <c r="B332" t="s">
        <v>1097</v>
      </c>
      <c r="C332">
        <v>1.05</v>
      </c>
      <c r="D332" t="s">
        <v>2</v>
      </c>
      <c r="E332">
        <f>+E310</f>
        <v>8034.1549999999997</v>
      </c>
      <c r="F332">
        <f>C332*E332</f>
        <v>8435.8627500000002</v>
      </c>
    </row>
    <row r="333" spans="2:6">
      <c r="B333" t="s">
        <v>272</v>
      </c>
      <c r="C333">
        <v>1.69</v>
      </c>
      <c r="D333" t="s">
        <v>126</v>
      </c>
      <c r="E333">
        <f>+E311</f>
        <v>2913</v>
      </c>
      <c r="F333">
        <f>C333*E333</f>
        <v>4922.97</v>
      </c>
    </row>
    <row r="334" spans="2:6">
      <c r="B334" t="s">
        <v>1089</v>
      </c>
      <c r="C334">
        <f>1/0.15</f>
        <v>6.6666666666666696</v>
      </c>
      <c r="D334" t="s">
        <v>11</v>
      </c>
      <c r="E334">
        <v>350</v>
      </c>
      <c r="F334">
        <f>C334*E334</f>
        <v>2333.3333333333298</v>
      </c>
    </row>
    <row r="335" spans="2:6">
      <c r="E335" t="s">
        <v>1031</v>
      </c>
      <c r="F335">
        <f>ROUND(SUM(F332:F334),2)</f>
        <v>15692.17</v>
      </c>
    </row>
    <row r="337" spans="2:6">
      <c r="B337" t="s">
        <v>2261</v>
      </c>
    </row>
    <row r="339" spans="2:6">
      <c r="B339" t="s">
        <v>2262</v>
      </c>
    </row>
    <row r="340" spans="2:6">
      <c r="B340" t="s">
        <v>1085</v>
      </c>
      <c r="C340">
        <v>1.05</v>
      </c>
      <c r="D340" t="s">
        <v>2</v>
      </c>
      <c r="E340">
        <f>+E290</f>
        <v>8034.1549999999997</v>
      </c>
      <c r="F340">
        <f>C340*E340</f>
        <v>8435.8627500000002</v>
      </c>
    </row>
    <row r="341" spans="2:6">
      <c r="B341" t="s">
        <v>1087</v>
      </c>
      <c r="C341">
        <v>2.6</v>
      </c>
      <c r="D341" t="s">
        <v>126</v>
      </c>
      <c r="E341">
        <f>+E291</f>
        <v>2913</v>
      </c>
      <c r="F341">
        <f>C341*E341</f>
        <v>7573.8</v>
      </c>
    </row>
    <row r="342" spans="2:6">
      <c r="B342" t="s">
        <v>1089</v>
      </c>
      <c r="C342">
        <f>1/0.25</f>
        <v>4</v>
      </c>
      <c r="D342" t="s">
        <v>1</v>
      </c>
      <c r="E342">
        <f>+E292</f>
        <v>1200</v>
      </c>
      <c r="F342">
        <f>C342*E342</f>
        <v>4800</v>
      </c>
    </row>
    <row r="343" spans="2:6">
      <c r="E343" t="s">
        <v>1031</v>
      </c>
      <c r="F343">
        <f>ROUND(SUM(F340:F342),2)</f>
        <v>20809.66</v>
      </c>
    </row>
    <row r="345" spans="2:6">
      <c r="B345" t="s">
        <v>2311</v>
      </c>
    </row>
    <row r="346" spans="2:6">
      <c r="B346" t="s">
        <v>1097</v>
      </c>
      <c r="C346">
        <v>1.05</v>
      </c>
      <c r="D346" t="s">
        <v>2</v>
      </c>
      <c r="E346">
        <f>E340</f>
        <v>8034.1549999999997</v>
      </c>
      <c r="F346">
        <f>C346*E346</f>
        <v>8435.8627500000002</v>
      </c>
    </row>
    <row r="347" spans="2:6">
      <c r="B347" t="s">
        <v>1087</v>
      </c>
      <c r="C347">
        <v>1.6</v>
      </c>
      <c r="D347" t="s">
        <v>126</v>
      </c>
      <c r="E347">
        <f>E341</f>
        <v>2913</v>
      </c>
      <c r="F347">
        <f>C347*E347</f>
        <v>4660.8</v>
      </c>
    </row>
    <row r="348" spans="2:6">
      <c r="E348" t="s">
        <v>1031</v>
      </c>
      <c r="F348">
        <f>ROUND(SUM(F346:F347),2)</f>
        <v>13096.66</v>
      </c>
    </row>
    <row r="350" spans="2:6">
      <c r="B350" t="s">
        <v>2263</v>
      </c>
    </row>
    <row r="351" spans="2:6">
      <c r="B351" t="s">
        <v>1097</v>
      </c>
      <c r="C351">
        <v>1.05</v>
      </c>
      <c r="D351" t="s">
        <v>2</v>
      </c>
      <c r="E351">
        <f>+E346</f>
        <v>8034.1549999999997</v>
      </c>
      <c r="F351">
        <f>C351*E351</f>
        <v>8435.8627500000002</v>
      </c>
    </row>
    <row r="352" spans="2:6">
      <c r="B352" t="s">
        <v>272</v>
      </c>
      <c r="C352">
        <v>1</v>
      </c>
      <c r="D352" t="s">
        <v>126</v>
      </c>
      <c r="E352">
        <f>+E347</f>
        <v>2913</v>
      </c>
      <c r="F352">
        <f>C352*E352</f>
        <v>2913</v>
      </c>
    </row>
    <row r="353" spans="2:6">
      <c r="B353" t="s">
        <v>1089</v>
      </c>
      <c r="C353">
        <f>1/0.15</f>
        <v>6.6666666666666696</v>
      </c>
      <c r="D353" t="s">
        <v>11</v>
      </c>
      <c r="E353">
        <v>350</v>
      </c>
      <c r="F353">
        <f>C353*E353</f>
        <v>2333.3333333333298</v>
      </c>
    </row>
    <row r="354" spans="2:6">
      <c r="E354" t="s">
        <v>1031</v>
      </c>
      <c r="F354">
        <f>ROUND(SUM(F351:F353),2)</f>
        <v>13682.2</v>
      </c>
    </row>
    <row r="356" spans="2:6">
      <c r="B356" t="s">
        <v>2278</v>
      </c>
    </row>
    <row r="358" spans="2:6">
      <c r="B358" t="s">
        <v>2280</v>
      </c>
    </row>
    <row r="359" spans="2:6">
      <c r="B359" t="s">
        <v>1097</v>
      </c>
      <c r="C359">
        <v>1.05</v>
      </c>
      <c r="D359" t="s">
        <v>2</v>
      </c>
      <c r="E359">
        <f>+E351</f>
        <v>8034.1549999999997</v>
      </c>
      <c r="F359">
        <f>C359*E359</f>
        <v>8435.8627500000002</v>
      </c>
    </row>
    <row r="360" spans="2:6">
      <c r="B360" t="s">
        <v>272</v>
      </c>
      <c r="C360">
        <v>1.8</v>
      </c>
      <c r="D360" t="s">
        <v>126</v>
      </c>
      <c r="E360">
        <f>+E352</f>
        <v>2913</v>
      </c>
      <c r="F360">
        <f>C360*E360</f>
        <v>5243.4</v>
      </c>
    </row>
    <row r="361" spans="2:6">
      <c r="E361" t="s">
        <v>1031</v>
      </c>
      <c r="F361">
        <f>ROUND(SUM(F359:F360),2)</f>
        <v>13679.26</v>
      </c>
    </row>
    <row r="377" spans="2:6">
      <c r="B377" t="s">
        <v>1098</v>
      </c>
    </row>
    <row r="378" spans="2:6">
      <c r="B378" t="s">
        <v>1099</v>
      </c>
    </row>
    <row r="379" spans="2:6">
      <c r="B379" t="s">
        <v>1060</v>
      </c>
      <c r="C379">
        <v>1.05</v>
      </c>
      <c r="D379" t="s">
        <v>2</v>
      </c>
      <c r="E379">
        <f>F57</f>
        <v>5068.3010000000004</v>
      </c>
      <c r="F379">
        <f>ROUND(C379*E379,2)</f>
        <v>5321.72</v>
      </c>
    </row>
    <row r="380" spans="2:6">
      <c r="B380" t="s">
        <v>272</v>
      </c>
      <c r="C380">
        <v>0.6</v>
      </c>
      <c r="D380" t="s">
        <v>126</v>
      </c>
      <c r="E380">
        <f>+E311</f>
        <v>2913</v>
      </c>
      <c r="F380">
        <f>ROUND(C380*E380,2)</f>
        <v>1747.8</v>
      </c>
    </row>
    <row r="381" spans="2:6">
      <c r="F381">
        <f>SUM(F379:F380)</f>
        <v>7069.52</v>
      </c>
    </row>
    <row r="383" spans="2:6">
      <c r="B383" t="s">
        <v>37</v>
      </c>
      <c r="C383">
        <v>1</v>
      </c>
      <c r="D383" t="s">
        <v>1100</v>
      </c>
      <c r="E383">
        <v>500</v>
      </c>
      <c r="F383">
        <f>ROUND(C383*E383,2)</f>
        <v>500</v>
      </c>
    </row>
    <row r="384" spans="2:6">
      <c r="B384" t="s">
        <v>1101</v>
      </c>
      <c r="C384">
        <v>2.7</v>
      </c>
      <c r="D384" t="s">
        <v>2</v>
      </c>
      <c r="E384">
        <v>297.56</v>
      </c>
      <c r="F384">
        <f t="shared" ref="F384:F403" si="5">ROUND(C384*E384,2)</f>
        <v>803.41</v>
      </c>
    </row>
    <row r="385" spans="2:9">
      <c r="B385" t="s">
        <v>96</v>
      </c>
      <c r="C385">
        <v>0.86</v>
      </c>
      <c r="D385" t="s">
        <v>2</v>
      </c>
      <c r="E385">
        <v>70.16</v>
      </c>
      <c r="F385">
        <f t="shared" si="5"/>
        <v>60.34</v>
      </c>
    </row>
    <row r="386" spans="2:9">
      <c r="B386" t="s">
        <v>1102</v>
      </c>
      <c r="C386">
        <v>2.21</v>
      </c>
      <c r="D386" t="s">
        <v>2</v>
      </c>
      <c r="E386">
        <v>150</v>
      </c>
      <c r="F386">
        <f t="shared" si="5"/>
        <v>331.5</v>
      </c>
    </row>
    <row r="387" spans="2:9">
      <c r="B387" t="s">
        <v>1103</v>
      </c>
      <c r="C387">
        <v>1.35</v>
      </c>
      <c r="D387" t="s">
        <v>2</v>
      </c>
      <c r="E387">
        <f>+F381</f>
        <v>7069.52</v>
      </c>
      <c r="F387">
        <f t="shared" si="5"/>
        <v>9543.85</v>
      </c>
    </row>
    <row r="388" spans="2:9">
      <c r="B388" t="s">
        <v>1104</v>
      </c>
      <c r="C388">
        <v>7.2</v>
      </c>
      <c r="D388" t="s">
        <v>11</v>
      </c>
      <c r="E388">
        <f>+F163</f>
        <v>935.32585731999995</v>
      </c>
      <c r="F388">
        <f t="shared" si="5"/>
        <v>6734.35</v>
      </c>
    </row>
    <row r="389" spans="2:9">
      <c r="B389" t="s">
        <v>1105</v>
      </c>
      <c r="C389">
        <v>12</v>
      </c>
      <c r="D389" t="s">
        <v>13</v>
      </c>
      <c r="E389">
        <v>52</v>
      </c>
      <c r="F389">
        <f t="shared" si="5"/>
        <v>624</v>
      </c>
    </row>
    <row r="390" spans="2:9">
      <c r="B390" t="s">
        <v>43</v>
      </c>
      <c r="C390">
        <v>4</v>
      </c>
      <c r="D390" t="s">
        <v>3</v>
      </c>
      <c r="E390">
        <f>480.43*1.18</f>
        <v>566.90740000000005</v>
      </c>
      <c r="F390">
        <f t="shared" si="5"/>
        <v>2267.63</v>
      </c>
    </row>
    <row r="391" spans="2:9">
      <c r="B391" t="s">
        <v>1106</v>
      </c>
      <c r="C391">
        <v>2</v>
      </c>
      <c r="D391" t="s">
        <v>3</v>
      </c>
      <c r="E391">
        <f>546.71*1.18</f>
        <v>645.11779999999999</v>
      </c>
      <c r="F391">
        <f t="shared" si="5"/>
        <v>1290.24</v>
      </c>
    </row>
    <row r="392" spans="2:9">
      <c r="B392" t="s">
        <v>1107</v>
      </c>
      <c r="C392">
        <v>21.6</v>
      </c>
      <c r="D392" t="s">
        <v>11</v>
      </c>
      <c r="E392">
        <v>191.27</v>
      </c>
      <c r="F392">
        <f t="shared" si="5"/>
        <v>4131.43</v>
      </c>
      <c r="G392">
        <f>6/3.28</f>
        <v>1.82926829268293</v>
      </c>
    </row>
    <row r="393" spans="2:9">
      <c r="B393" t="s">
        <v>1108</v>
      </c>
      <c r="C393">
        <v>2</v>
      </c>
      <c r="D393" t="s">
        <v>3</v>
      </c>
      <c r="E393">
        <v>47.2</v>
      </c>
      <c r="F393">
        <f t="shared" si="5"/>
        <v>94.4</v>
      </c>
      <c r="G393">
        <f>50/3.28</f>
        <v>15.243902439024399</v>
      </c>
      <c r="H393">
        <f>G393*G392</f>
        <v>27.8851873884593</v>
      </c>
      <c r="I393">
        <f>4525/H393</f>
        <v>162.272533333333</v>
      </c>
    </row>
    <row r="394" spans="2:9">
      <c r="B394" t="s">
        <v>1109</v>
      </c>
      <c r="C394">
        <v>3</v>
      </c>
      <c r="D394" t="s">
        <v>3</v>
      </c>
      <c r="E394">
        <v>32.42</v>
      </c>
      <c r="F394">
        <f t="shared" si="5"/>
        <v>97.26</v>
      </c>
      <c r="I394">
        <f>I393*1.18</f>
        <v>191.48158933333301</v>
      </c>
    </row>
    <row r="395" spans="2:9">
      <c r="B395" t="s">
        <v>1110</v>
      </c>
      <c r="C395">
        <v>4</v>
      </c>
      <c r="D395" t="s">
        <v>3</v>
      </c>
      <c r="E395">
        <v>236</v>
      </c>
      <c r="F395">
        <f t="shared" si="5"/>
        <v>944</v>
      </c>
    </row>
    <row r="396" spans="2:9">
      <c r="B396" t="s">
        <v>1111</v>
      </c>
      <c r="C396">
        <v>72</v>
      </c>
      <c r="D396" t="s">
        <v>13</v>
      </c>
      <c r="E396">
        <v>5.2</v>
      </c>
      <c r="F396">
        <f t="shared" si="5"/>
        <v>374.4</v>
      </c>
      <c r="G396">
        <f>485/110</f>
        <v>4.4090909090909101</v>
      </c>
      <c r="H396">
        <f>G396*1.18</f>
        <v>5.2027272727272704</v>
      </c>
    </row>
    <row r="397" spans="2:9">
      <c r="B397" t="s">
        <v>1112</v>
      </c>
      <c r="C397">
        <v>1</v>
      </c>
      <c r="D397" t="s">
        <v>183</v>
      </c>
      <c r="E397">
        <v>32.5</v>
      </c>
      <c r="F397">
        <f t="shared" si="5"/>
        <v>32.5</v>
      </c>
    </row>
    <row r="398" spans="2:9">
      <c r="B398" t="s">
        <v>1113</v>
      </c>
      <c r="C398">
        <v>10.08</v>
      </c>
      <c r="D398" t="s">
        <v>11</v>
      </c>
      <c r="E398">
        <f>+F95</f>
        <v>294.78081800000001</v>
      </c>
      <c r="F398">
        <f t="shared" si="5"/>
        <v>2971.39</v>
      </c>
    </row>
    <row r="399" spans="2:9">
      <c r="B399" t="s">
        <v>1114</v>
      </c>
      <c r="C399">
        <v>34.200000000000003</v>
      </c>
      <c r="D399" t="s">
        <v>11</v>
      </c>
      <c r="E399">
        <v>130.5</v>
      </c>
      <c r="F399">
        <f t="shared" si="5"/>
        <v>4463.1000000000004</v>
      </c>
    </row>
    <row r="400" spans="2:9">
      <c r="B400" t="s">
        <v>1115</v>
      </c>
      <c r="C400">
        <v>2</v>
      </c>
      <c r="D400" t="s">
        <v>3</v>
      </c>
      <c r="E400">
        <v>180</v>
      </c>
      <c r="F400">
        <f t="shared" si="5"/>
        <v>360</v>
      </c>
    </row>
    <row r="401" spans="2:6">
      <c r="B401" t="s">
        <v>1116</v>
      </c>
      <c r="C401">
        <v>6</v>
      </c>
      <c r="D401" t="s">
        <v>3</v>
      </c>
      <c r="E401">
        <v>24.54</v>
      </c>
      <c r="F401">
        <f t="shared" si="5"/>
        <v>147.24</v>
      </c>
    </row>
    <row r="402" spans="2:6">
      <c r="B402" t="s">
        <v>41</v>
      </c>
      <c r="C402">
        <v>12</v>
      </c>
      <c r="D402" t="s">
        <v>13</v>
      </c>
      <c r="E402">
        <v>418.06</v>
      </c>
      <c r="F402">
        <f t="shared" si="5"/>
        <v>5016.72</v>
      </c>
    </row>
    <row r="403" spans="2:6">
      <c r="B403" t="s">
        <v>1117</v>
      </c>
      <c r="C403">
        <v>12.6</v>
      </c>
      <c r="D403" t="s">
        <v>11</v>
      </c>
      <c r="E403">
        <v>107.16</v>
      </c>
      <c r="F403">
        <f t="shared" si="5"/>
        <v>1350.22</v>
      </c>
    </row>
    <row r="404" spans="2:6">
      <c r="B404" t="s">
        <v>1118</v>
      </c>
      <c r="F404">
        <f>SUM(F383:F403)</f>
        <v>42137.98</v>
      </c>
    </row>
    <row r="405" spans="2:6">
      <c r="B405" t="s">
        <v>1119</v>
      </c>
      <c r="E405" t="s">
        <v>1120</v>
      </c>
      <c r="F405">
        <f>ROUND(F404/12,2)</f>
        <v>3511.5</v>
      </c>
    </row>
    <row r="407" spans="2:6">
      <c r="B407" t="s">
        <v>1121</v>
      </c>
    </row>
    <row r="408" spans="2:6">
      <c r="B408" t="s">
        <v>285</v>
      </c>
      <c r="C408" t="s">
        <v>286</v>
      </c>
      <c r="D408" t="s">
        <v>340</v>
      </c>
      <c r="E408" t="s">
        <v>288</v>
      </c>
      <c r="F408" t="s">
        <v>289</v>
      </c>
    </row>
    <row r="409" spans="2:6">
      <c r="B409" t="s">
        <v>1122</v>
      </c>
      <c r="C409">
        <v>4</v>
      </c>
      <c r="D409" t="s">
        <v>3</v>
      </c>
      <c r="E409">
        <f>E390</f>
        <v>566.90740000000005</v>
      </c>
      <c r="F409">
        <f t="shared" ref="F409:F426" si="6">C409*E409</f>
        <v>2267.6296000000002</v>
      </c>
    </row>
    <row r="410" spans="2:6">
      <c r="B410" t="s">
        <v>1123</v>
      </c>
      <c r="C410">
        <v>8</v>
      </c>
      <c r="D410" t="s">
        <v>3</v>
      </c>
      <c r="E410">
        <f>+E391</f>
        <v>645.11779999999999</v>
      </c>
      <c r="F410">
        <f t="shared" si="6"/>
        <v>5160.9423999999999</v>
      </c>
    </row>
    <row r="411" spans="2:6">
      <c r="B411" t="s">
        <v>1124</v>
      </c>
      <c r="C411">
        <v>2</v>
      </c>
      <c r="D411" t="s">
        <v>3</v>
      </c>
      <c r="E411">
        <f>+E393</f>
        <v>47.2</v>
      </c>
      <c r="F411">
        <f t="shared" si="6"/>
        <v>94.4</v>
      </c>
    </row>
    <row r="412" spans="2:6">
      <c r="B412" t="s">
        <v>1125</v>
      </c>
      <c r="C412">
        <v>4</v>
      </c>
      <c r="D412" t="s">
        <v>3</v>
      </c>
      <c r="E412">
        <f>+E394</f>
        <v>32.42</v>
      </c>
      <c r="F412">
        <f t="shared" si="6"/>
        <v>129.68</v>
      </c>
    </row>
    <row r="413" spans="2:6">
      <c r="B413" t="s">
        <v>977</v>
      </c>
      <c r="C413">
        <v>8.25</v>
      </c>
      <c r="D413" t="s">
        <v>11</v>
      </c>
      <c r="E413">
        <f>+E392</f>
        <v>191.27</v>
      </c>
      <c r="F413">
        <f t="shared" si="6"/>
        <v>1577.9775</v>
      </c>
    </row>
    <row r="414" spans="2:6">
      <c r="B414" t="s">
        <v>1126</v>
      </c>
      <c r="C414">
        <v>2</v>
      </c>
      <c r="D414" t="s">
        <v>3</v>
      </c>
      <c r="E414">
        <f>+E400</f>
        <v>180</v>
      </c>
      <c r="F414">
        <f t="shared" si="6"/>
        <v>360</v>
      </c>
    </row>
    <row r="415" spans="2:6">
      <c r="B415" t="s">
        <v>1116</v>
      </c>
      <c r="C415">
        <v>6</v>
      </c>
      <c r="D415" t="s">
        <v>3</v>
      </c>
      <c r="E415">
        <f>+E401</f>
        <v>24.54</v>
      </c>
      <c r="F415">
        <f t="shared" si="6"/>
        <v>147.24</v>
      </c>
    </row>
    <row r="416" spans="2:6">
      <c r="B416" t="s">
        <v>1127</v>
      </c>
      <c r="C416">
        <v>2</v>
      </c>
      <c r="D416" t="s">
        <v>1128</v>
      </c>
      <c r="E416">
        <f>+E397</f>
        <v>32.5</v>
      </c>
      <c r="F416">
        <f t="shared" si="6"/>
        <v>65</v>
      </c>
    </row>
    <row r="417" spans="2:6">
      <c r="B417" t="s">
        <v>1129</v>
      </c>
      <c r="C417">
        <v>1</v>
      </c>
      <c r="D417" t="s">
        <v>148</v>
      </c>
      <c r="E417">
        <v>2500</v>
      </c>
      <c r="F417">
        <f t="shared" si="6"/>
        <v>2500</v>
      </c>
    </row>
    <row r="418" spans="2:6">
      <c r="B418" t="s">
        <v>1130</v>
      </c>
      <c r="F418">
        <f t="shared" si="6"/>
        <v>0</v>
      </c>
    </row>
    <row r="419" spans="2:6">
      <c r="B419" t="s">
        <v>1131</v>
      </c>
      <c r="C419">
        <v>1</v>
      </c>
      <c r="D419" t="s">
        <v>148</v>
      </c>
      <c r="E419">
        <v>1500</v>
      </c>
      <c r="F419">
        <f t="shared" si="6"/>
        <v>1500</v>
      </c>
    </row>
    <row r="420" spans="2:6">
      <c r="B420" t="s">
        <v>1132</v>
      </c>
      <c r="C420">
        <v>1</v>
      </c>
      <c r="D420" t="s">
        <v>148</v>
      </c>
      <c r="E420">
        <v>850</v>
      </c>
      <c r="F420">
        <f t="shared" si="6"/>
        <v>850</v>
      </c>
    </row>
    <row r="421" spans="2:6">
      <c r="B421" t="s">
        <v>1133</v>
      </c>
      <c r="C421">
        <v>1</v>
      </c>
      <c r="D421" t="s">
        <v>148</v>
      </c>
      <c r="E421">
        <v>750</v>
      </c>
      <c r="F421">
        <f t="shared" si="6"/>
        <v>750</v>
      </c>
    </row>
    <row r="422" spans="2:6">
      <c r="B422" t="s">
        <v>1134</v>
      </c>
      <c r="C422">
        <v>1</v>
      </c>
      <c r="D422" t="s">
        <v>3</v>
      </c>
      <c r="E422">
        <v>450</v>
      </c>
      <c r="F422">
        <f t="shared" si="6"/>
        <v>450</v>
      </c>
    </row>
    <row r="423" spans="2:6">
      <c r="B423" t="s">
        <v>1135</v>
      </c>
      <c r="C423">
        <v>1</v>
      </c>
      <c r="D423" t="s">
        <v>3</v>
      </c>
      <c r="E423">
        <v>145</v>
      </c>
      <c r="F423">
        <f t="shared" si="6"/>
        <v>145</v>
      </c>
    </row>
    <row r="424" spans="2:6">
      <c r="B424" t="s">
        <v>1136</v>
      </c>
      <c r="C424">
        <v>6</v>
      </c>
      <c r="D424" t="s">
        <v>3</v>
      </c>
      <c r="E424">
        <v>87.65</v>
      </c>
      <c r="F424">
        <f t="shared" si="6"/>
        <v>525.9</v>
      </c>
    </row>
    <row r="425" spans="2:6">
      <c r="B425" t="s">
        <v>1137</v>
      </c>
      <c r="C425">
        <v>12</v>
      </c>
      <c r="D425" t="s">
        <v>13</v>
      </c>
      <c r="E425">
        <f>+E396</f>
        <v>5.2</v>
      </c>
      <c r="F425">
        <f t="shared" si="6"/>
        <v>62.4</v>
      </c>
    </row>
    <row r="426" spans="2:6">
      <c r="B426" t="s">
        <v>536</v>
      </c>
      <c r="C426">
        <v>16.34</v>
      </c>
      <c r="D426" t="s">
        <v>11</v>
      </c>
      <c r="E426">
        <f>+E403</f>
        <v>107.16</v>
      </c>
      <c r="F426">
        <f t="shared" si="6"/>
        <v>1750.9944</v>
      </c>
    </row>
    <row r="427" spans="2:6">
      <c r="B427" t="s">
        <v>1138</v>
      </c>
      <c r="E427" t="s">
        <v>42</v>
      </c>
      <c r="F427">
        <v>2500</v>
      </c>
    </row>
    <row r="428" spans="2:6">
      <c r="B428" t="s">
        <v>8</v>
      </c>
      <c r="E428" t="s">
        <v>42</v>
      </c>
      <c r="F428">
        <v>1500</v>
      </c>
    </row>
    <row r="429" spans="2:6">
      <c r="B429" t="s">
        <v>1139</v>
      </c>
      <c r="E429" t="s">
        <v>1039</v>
      </c>
      <c r="F429">
        <f>ROUND(SUM(F409:F428),2)</f>
        <v>22337.16</v>
      </c>
    </row>
    <row r="431" spans="2:6">
      <c r="B431" t="s">
        <v>1140</v>
      </c>
    </row>
    <row r="432" spans="2:6">
      <c r="B432" t="s">
        <v>1141</v>
      </c>
    </row>
    <row r="433" spans="2:6">
      <c r="B433" t="s">
        <v>1060</v>
      </c>
      <c r="C433">
        <v>1.05</v>
      </c>
      <c r="D433" t="s">
        <v>2</v>
      </c>
      <c r="E433">
        <f>+E379</f>
        <v>5068.3010000000004</v>
      </c>
      <c r="F433">
        <f>C433*E433</f>
        <v>5321.71605</v>
      </c>
    </row>
    <row r="434" spans="2:6">
      <c r="B434" t="s">
        <v>272</v>
      </c>
      <c r="C434">
        <v>8.15</v>
      </c>
      <c r="D434" t="s">
        <v>126</v>
      </c>
      <c r="E434">
        <f>+E380</f>
        <v>2913</v>
      </c>
      <c r="F434">
        <f>C434*E434</f>
        <v>23740.95</v>
      </c>
    </row>
    <row r="435" spans="2:6">
      <c r="B435" t="s">
        <v>1089</v>
      </c>
      <c r="C435">
        <f>1/(0.15*0.15)</f>
        <v>44.4444444444444</v>
      </c>
      <c r="D435" t="s">
        <v>13</v>
      </c>
      <c r="E435">
        <v>250</v>
      </c>
      <c r="F435">
        <f>C435*E435</f>
        <v>11111.1111111111</v>
      </c>
    </row>
    <row r="436" spans="2:6">
      <c r="F436">
        <f>ROUND((SUM(F433:F435)),2)</f>
        <v>40173.78</v>
      </c>
    </row>
    <row r="437" spans="2:6">
      <c r="B437" t="s">
        <v>1142</v>
      </c>
      <c r="C437">
        <v>1.2999999999999999E-2</v>
      </c>
      <c r="D437" t="s">
        <v>2</v>
      </c>
    </row>
    <row r="438" spans="2:6">
      <c r="B438" t="s">
        <v>1143</v>
      </c>
      <c r="C438">
        <v>1</v>
      </c>
      <c r="D438" t="s">
        <v>3</v>
      </c>
      <c r="E438">
        <f>C437*F436</f>
        <v>522.25914</v>
      </c>
      <c r="F438">
        <f>E438*C438</f>
        <v>522.25914</v>
      </c>
    </row>
    <row r="439" spans="2:6">
      <c r="B439" t="s">
        <v>978</v>
      </c>
      <c r="C439" t="s">
        <v>1144</v>
      </c>
      <c r="F439">
        <f>ROUND((SUM(F438:F438)),2)</f>
        <v>522.26</v>
      </c>
    </row>
    <row r="441" spans="2:6">
      <c r="B441" t="s">
        <v>1145</v>
      </c>
    </row>
    <row r="442" spans="2:6">
      <c r="B442" t="s">
        <v>1146</v>
      </c>
    </row>
    <row r="443" spans="2:6">
      <c r="B443" t="s">
        <v>1060</v>
      </c>
      <c r="C443">
        <v>1.05</v>
      </c>
      <c r="D443" t="s">
        <v>2</v>
      </c>
      <c r="E443">
        <f>E433</f>
        <v>5068.3010000000004</v>
      </c>
      <c r="F443">
        <f>C443*E443</f>
        <v>5321.71605</v>
      </c>
    </row>
    <row r="444" spans="2:6">
      <c r="B444" t="s">
        <v>272</v>
      </c>
      <c r="C444">
        <v>4.79</v>
      </c>
      <c r="D444" t="s">
        <v>126</v>
      </c>
      <c r="E444">
        <f>E434</f>
        <v>2913</v>
      </c>
      <c r="F444">
        <f>C444*E444</f>
        <v>13953.27</v>
      </c>
    </row>
    <row r="445" spans="2:6">
      <c r="B445" t="s">
        <v>1089</v>
      </c>
      <c r="C445">
        <f>1/(0.25*0.25)</f>
        <v>16</v>
      </c>
      <c r="D445" t="s">
        <v>13</v>
      </c>
      <c r="E445">
        <v>250</v>
      </c>
      <c r="F445">
        <f>C445*E445</f>
        <v>4000</v>
      </c>
    </row>
    <row r="446" spans="2:6">
      <c r="F446">
        <f>ROUND((SUM(F443:F445)),2)</f>
        <v>23274.99</v>
      </c>
    </row>
    <row r="447" spans="2:6">
      <c r="B447" t="s">
        <v>1147</v>
      </c>
      <c r="C447">
        <v>0.17499999999999999</v>
      </c>
      <c r="D447" t="s">
        <v>2</v>
      </c>
    </row>
    <row r="448" spans="2:6">
      <c r="B448" t="s">
        <v>1148</v>
      </c>
      <c r="C448">
        <f>F446*C447</f>
        <v>4073.1232500000001</v>
      </c>
      <c r="D448" t="s">
        <v>1149</v>
      </c>
    </row>
    <row r="450" spans="2:6">
      <c r="B450" t="s">
        <v>1150</v>
      </c>
    </row>
    <row r="451" spans="2:6">
      <c r="B451" t="s">
        <v>1060</v>
      </c>
      <c r="C451">
        <v>1.05</v>
      </c>
      <c r="D451" t="s">
        <v>2</v>
      </c>
      <c r="E451">
        <f>E443</f>
        <v>5068.3010000000004</v>
      </c>
      <c r="F451">
        <f>C451*E451</f>
        <v>5321.71605</v>
      </c>
    </row>
    <row r="452" spans="2:6">
      <c r="B452" t="s">
        <v>272</v>
      </c>
      <c r="C452">
        <v>1.43</v>
      </c>
      <c r="D452" t="s">
        <v>126</v>
      </c>
      <c r="E452">
        <f>E444</f>
        <v>2913</v>
      </c>
      <c r="F452">
        <f>C452*E452</f>
        <v>4165.59</v>
      </c>
    </row>
    <row r="453" spans="2:6">
      <c r="F453">
        <f>ROUND((SUM(F451:F452)),2)</f>
        <v>9487.31</v>
      </c>
    </row>
    <row r="454" spans="2:6">
      <c r="B454" t="s">
        <v>1151</v>
      </c>
      <c r="C454">
        <v>0.14000000000000001</v>
      </c>
      <c r="D454" t="s">
        <v>2</v>
      </c>
    </row>
    <row r="455" spans="2:6">
      <c r="B455" t="s">
        <v>1148</v>
      </c>
      <c r="C455">
        <f>F453*C454</f>
        <v>1328.2234000000001</v>
      </c>
      <c r="D455" t="s">
        <v>1149</v>
      </c>
    </row>
    <row r="456" spans="2:6">
      <c r="B456" t="s">
        <v>1152</v>
      </c>
      <c r="C456">
        <v>1</v>
      </c>
      <c r="D456" t="s">
        <v>3</v>
      </c>
      <c r="E456">
        <f>C455+C448</f>
        <v>5401.3466500000004</v>
      </c>
      <c r="F456">
        <f>E456*C456</f>
        <v>5401.3466500000004</v>
      </c>
    </row>
    <row r="457" spans="2:6">
      <c r="B457" t="s">
        <v>1153</v>
      </c>
      <c r="C457">
        <v>2.86</v>
      </c>
      <c r="D457" t="s">
        <v>11</v>
      </c>
      <c r="E457">
        <f>E398</f>
        <v>294.78081800000001</v>
      </c>
      <c r="F457">
        <f>E457*C457</f>
        <v>843.07313948000001</v>
      </c>
    </row>
    <row r="458" spans="2:6">
      <c r="B458" t="s">
        <v>177</v>
      </c>
      <c r="C458">
        <v>12.2</v>
      </c>
      <c r="D458" t="s">
        <v>13</v>
      </c>
      <c r="E458">
        <f>+F126</f>
        <v>78.493269900000001</v>
      </c>
      <c r="F458">
        <f>E458*C458</f>
        <v>957.61789278000003</v>
      </c>
    </row>
    <row r="459" spans="2:6">
      <c r="B459" t="s">
        <v>536</v>
      </c>
      <c r="C459">
        <v>1.76</v>
      </c>
      <c r="D459" t="s">
        <v>11</v>
      </c>
      <c r="E459">
        <f>+E426</f>
        <v>107.16</v>
      </c>
      <c r="F459">
        <f>E459*C459</f>
        <v>188.60159999999999</v>
      </c>
    </row>
    <row r="460" spans="2:6">
      <c r="B460" t="s">
        <v>1154</v>
      </c>
      <c r="C460" t="s">
        <v>1144</v>
      </c>
      <c r="F460">
        <f>ROUND((SUM(F456:F459)),2)</f>
        <v>7390.64</v>
      </c>
    </row>
    <row r="461" spans="2:6">
      <c r="B461" t="s">
        <v>1145</v>
      </c>
      <c r="C461" t="s">
        <v>1148</v>
      </c>
      <c r="E461">
        <f>F460</f>
        <v>7390.64</v>
      </c>
    </row>
    <row r="463" spans="2:6" hidden="1"/>
    <row r="464" spans="2:6" hidden="1"/>
    <row r="465" spans="2:6" hidden="1">
      <c r="B465" t="s">
        <v>1155</v>
      </c>
    </row>
    <row r="466" spans="2:6" hidden="1">
      <c r="B466" t="s">
        <v>271</v>
      </c>
      <c r="C466">
        <v>1.05</v>
      </c>
      <c r="D466" t="s">
        <v>2</v>
      </c>
      <c r="E466">
        <v>5525.27</v>
      </c>
      <c r="F466">
        <f>C466*E466</f>
        <v>5801.5334999999995</v>
      </c>
    </row>
    <row r="467" spans="2:6" hidden="1">
      <c r="B467" t="s">
        <v>1092</v>
      </c>
      <c r="C467">
        <v>6.38</v>
      </c>
      <c r="D467" t="s">
        <v>126</v>
      </c>
      <c r="E467">
        <f>+E260</f>
        <v>2590</v>
      </c>
      <c r="F467">
        <f>C467*E467</f>
        <v>16524.2</v>
      </c>
    </row>
    <row r="468" spans="2:6" hidden="1">
      <c r="B468" t="s">
        <v>1089</v>
      </c>
      <c r="C468">
        <v>25</v>
      </c>
      <c r="D468" t="s">
        <v>1</v>
      </c>
      <c r="E468">
        <v>250</v>
      </c>
      <c r="F468">
        <f>C468*E468</f>
        <v>6250</v>
      </c>
    </row>
    <row r="469" spans="2:6" hidden="1">
      <c r="B469" t="s">
        <v>1093</v>
      </c>
      <c r="C469">
        <v>25</v>
      </c>
      <c r="D469" t="s">
        <v>1</v>
      </c>
      <c r="E469">
        <v>85</v>
      </c>
      <c r="F469">
        <f>C469*E469</f>
        <v>2125</v>
      </c>
    </row>
    <row r="470" spans="2:6" hidden="1">
      <c r="E470" t="s">
        <v>1031</v>
      </c>
      <c r="F470">
        <f>ROUND(SUM(F466:F469),2)</f>
        <v>30700.73</v>
      </c>
    </row>
    <row r="471" spans="2:6" hidden="1"/>
    <row r="472" spans="2:6" hidden="1">
      <c r="B472" t="s">
        <v>1156</v>
      </c>
    </row>
    <row r="473" spans="2:6" hidden="1">
      <c r="B473" t="s">
        <v>271</v>
      </c>
      <c r="C473">
        <v>1.05</v>
      </c>
      <c r="D473" t="s">
        <v>2</v>
      </c>
      <c r="E473">
        <f>+E466</f>
        <v>5525.27</v>
      </c>
      <c r="F473">
        <f>C473*E473</f>
        <v>5801.5334999999995</v>
      </c>
    </row>
    <row r="474" spans="2:6" hidden="1">
      <c r="B474" t="s">
        <v>272</v>
      </c>
      <c r="C474">
        <v>1.35</v>
      </c>
      <c r="D474" t="s">
        <v>126</v>
      </c>
      <c r="E474">
        <f>+E267</f>
        <v>2913</v>
      </c>
      <c r="F474">
        <f>C474*E474</f>
        <v>3932.55</v>
      </c>
    </row>
    <row r="475" spans="2:6" hidden="1">
      <c r="B475" t="s">
        <v>1089</v>
      </c>
      <c r="C475">
        <v>7.69</v>
      </c>
      <c r="D475" t="s">
        <v>11</v>
      </c>
      <c r="E475">
        <v>225</v>
      </c>
      <c r="F475">
        <f>C475*E475</f>
        <v>1730.25</v>
      </c>
    </row>
    <row r="476" spans="2:6" hidden="1">
      <c r="E476" t="s">
        <v>1031</v>
      </c>
      <c r="F476">
        <f>ROUND(SUM(F473:F475),2)</f>
        <v>11464.33</v>
      </c>
    </row>
    <row r="478" spans="2:6">
      <c r="B478" t="s">
        <v>1157</v>
      </c>
    </row>
    <row r="480" spans="2:6">
      <c r="B480" t="s">
        <v>268</v>
      </c>
      <c r="C480">
        <v>3.11</v>
      </c>
      <c r="D480" t="s">
        <v>269</v>
      </c>
    </row>
    <row r="481" spans="2:6">
      <c r="B481" t="s">
        <v>270</v>
      </c>
    </row>
    <row r="482" spans="2:6">
      <c r="B482" t="s">
        <v>271</v>
      </c>
      <c r="C482">
        <v>1.05</v>
      </c>
      <c r="D482" t="s">
        <v>2</v>
      </c>
      <c r="E482">
        <f>+F30</f>
        <v>8034.1549999999997</v>
      </c>
      <c r="F482">
        <f>C482*E482</f>
        <v>8435.8627500000002</v>
      </c>
    </row>
    <row r="483" spans="2:6">
      <c r="B483" t="s">
        <v>272</v>
      </c>
      <c r="C483">
        <f>+C480</f>
        <v>3.11</v>
      </c>
      <c r="D483" t="s">
        <v>126</v>
      </c>
      <c r="E483">
        <f>+F137</f>
        <v>2913</v>
      </c>
      <c r="F483">
        <f>C483*E483</f>
        <v>9059.43</v>
      </c>
    </row>
    <row r="484" spans="2:6">
      <c r="E484" t="s">
        <v>274</v>
      </c>
      <c r="F484">
        <f>SUM(F482:F483)</f>
        <v>17495.292750000001</v>
      </c>
    </row>
    <row r="485" spans="2:6">
      <c r="E485" t="s">
        <v>275</v>
      </c>
      <c r="F485">
        <v>9272.5051574999998</v>
      </c>
    </row>
    <row r="486" spans="2:6">
      <c r="B486" t="s">
        <v>276</v>
      </c>
    </row>
    <row r="487" spans="2:6">
      <c r="B487" t="s">
        <v>1158</v>
      </c>
      <c r="C487">
        <v>0.25</v>
      </c>
      <c r="D487" t="s">
        <v>3</v>
      </c>
      <c r="E487">
        <v>1770.16</v>
      </c>
      <c r="F487">
        <f>C487*E487</f>
        <v>442.54</v>
      </c>
    </row>
    <row r="488" spans="2:6">
      <c r="B488" t="s">
        <v>280</v>
      </c>
      <c r="C488">
        <v>0.1</v>
      </c>
      <c r="D488" t="s">
        <v>183</v>
      </c>
      <c r="E488">
        <v>35</v>
      </c>
      <c r="F488">
        <f>C488*E488</f>
        <v>3.5</v>
      </c>
    </row>
    <row r="489" spans="2:6">
      <c r="B489" t="s">
        <v>63</v>
      </c>
      <c r="C489">
        <v>30</v>
      </c>
      <c r="D489" t="s">
        <v>46</v>
      </c>
      <c r="E489">
        <f>+SUM(F487:F488)</f>
        <v>446.04</v>
      </c>
      <c r="F489">
        <f>+(C489/100)*E489</f>
        <v>133.81200000000001</v>
      </c>
    </row>
    <row r="490" spans="2:6">
      <c r="E490" t="s">
        <v>275</v>
      </c>
      <c r="F490">
        <f>SUM(F487:F489)</f>
        <v>579.85199999999998</v>
      </c>
    </row>
    <row r="492" spans="2:6">
      <c r="C492" t="s">
        <v>281</v>
      </c>
      <c r="F492">
        <f>+F485+F490</f>
        <v>9852.3571575000005</v>
      </c>
    </row>
    <row r="495" spans="2:6">
      <c r="B495" t="s">
        <v>1159</v>
      </c>
    </row>
    <row r="497" spans="2:6">
      <c r="B497" t="s">
        <v>268</v>
      </c>
      <c r="C497">
        <v>2.2599999999999998</v>
      </c>
      <c r="D497" t="s">
        <v>269</v>
      </c>
    </row>
    <row r="498" spans="2:6">
      <c r="B498" t="s">
        <v>270</v>
      </c>
    </row>
    <row r="499" spans="2:6">
      <c r="B499" t="s">
        <v>271</v>
      </c>
      <c r="C499">
        <v>1.05</v>
      </c>
      <c r="D499" t="s">
        <v>2</v>
      </c>
      <c r="E499">
        <f>+E482</f>
        <v>8034.1549999999997</v>
      </c>
      <c r="F499">
        <f>C499*E499</f>
        <v>8435.8627500000002</v>
      </c>
    </row>
    <row r="500" spans="2:6">
      <c r="B500" t="s">
        <v>272</v>
      </c>
      <c r="C500">
        <f>+C497</f>
        <v>2.2599999999999998</v>
      </c>
      <c r="D500" t="s">
        <v>126</v>
      </c>
      <c r="E500">
        <f>+E483</f>
        <v>2913</v>
      </c>
      <c r="F500">
        <f>C500*E500</f>
        <v>6583.38</v>
      </c>
    </row>
    <row r="501" spans="2:6">
      <c r="E501" t="s">
        <v>274</v>
      </c>
      <c r="F501">
        <f>SUM(F499:F500)</f>
        <v>15019.242749999999</v>
      </c>
    </row>
    <row r="502" spans="2:6">
      <c r="E502" t="s">
        <v>275</v>
      </c>
      <c r="F502">
        <v>6908.8516650000001</v>
      </c>
    </row>
    <row r="503" spans="2:6">
      <c r="B503" t="s">
        <v>276</v>
      </c>
    </row>
    <row r="504" spans="2:6">
      <c r="B504" t="s">
        <v>1158</v>
      </c>
      <c r="C504">
        <v>0.25</v>
      </c>
      <c r="D504" t="s">
        <v>3</v>
      </c>
      <c r="E504">
        <v>1770.16</v>
      </c>
      <c r="F504">
        <f>C504*E504</f>
        <v>442.54</v>
      </c>
    </row>
    <row r="505" spans="2:6">
      <c r="B505" t="s">
        <v>280</v>
      </c>
      <c r="C505">
        <v>0.1</v>
      </c>
      <c r="D505" t="s">
        <v>183</v>
      </c>
      <c r="E505">
        <v>35</v>
      </c>
      <c r="F505">
        <f>C505*E505</f>
        <v>3.5</v>
      </c>
    </row>
    <row r="506" spans="2:6">
      <c r="B506" t="s">
        <v>63</v>
      </c>
      <c r="C506">
        <v>30</v>
      </c>
      <c r="D506" t="s">
        <v>46</v>
      </c>
      <c r="E506">
        <f>+SUM(F504:F505)</f>
        <v>446.04</v>
      </c>
      <c r="F506">
        <f>+(C506/100)*E506</f>
        <v>133.81200000000001</v>
      </c>
    </row>
    <row r="507" spans="2:6">
      <c r="E507" t="s">
        <v>275</v>
      </c>
      <c r="F507">
        <f>SUM(F504:F506)</f>
        <v>579.85199999999998</v>
      </c>
    </row>
    <row r="509" spans="2:6">
      <c r="C509" t="s">
        <v>281</v>
      </c>
      <c r="F509">
        <f>+F502+F507</f>
        <v>7488.703665</v>
      </c>
    </row>
    <row r="511" spans="2:6">
      <c r="B511" t="s">
        <v>1160</v>
      </c>
    </row>
    <row r="513" spans="2:6">
      <c r="B513" t="s">
        <v>268</v>
      </c>
      <c r="C513">
        <v>3.26</v>
      </c>
      <c r="D513" t="s">
        <v>269</v>
      </c>
    </row>
    <row r="514" spans="2:6">
      <c r="B514" t="s">
        <v>270</v>
      </c>
    </row>
    <row r="515" spans="2:6">
      <c r="B515" t="s">
        <v>271</v>
      </c>
      <c r="C515">
        <v>1.05</v>
      </c>
      <c r="D515" t="s">
        <v>2</v>
      </c>
      <c r="E515">
        <f>+E499</f>
        <v>8034.1549999999997</v>
      </c>
      <c r="F515">
        <f>C515*E515</f>
        <v>8435.8627500000002</v>
      </c>
    </row>
    <row r="516" spans="2:6">
      <c r="B516" t="s">
        <v>272</v>
      </c>
      <c r="C516">
        <f>+C513</f>
        <v>3.26</v>
      </c>
      <c r="D516" t="s">
        <v>126</v>
      </c>
      <c r="E516">
        <f>+E500</f>
        <v>2913</v>
      </c>
      <c r="F516">
        <f>C516*E516</f>
        <v>9496.3799999999992</v>
      </c>
    </row>
    <row r="517" spans="2:6">
      <c r="E517" t="s">
        <v>274</v>
      </c>
      <c r="F517">
        <f>SUM(F515:F516)</f>
        <v>17932.242750000001</v>
      </c>
    </row>
    <row r="518" spans="2:6">
      <c r="E518" t="s">
        <v>275</v>
      </c>
      <c r="F518">
        <v>6276.2849624999999</v>
      </c>
    </row>
    <row r="519" spans="2:6">
      <c r="B519" t="s">
        <v>276</v>
      </c>
    </row>
    <row r="520" spans="2:6">
      <c r="B520" t="s">
        <v>1158</v>
      </c>
      <c r="C520">
        <v>0.25</v>
      </c>
      <c r="D520" t="s">
        <v>3</v>
      </c>
      <c r="E520">
        <v>1770.16</v>
      </c>
      <c r="F520">
        <f>C520*E520</f>
        <v>442.54</v>
      </c>
    </row>
    <row r="521" spans="2:6">
      <c r="B521" t="s">
        <v>280</v>
      </c>
      <c r="C521">
        <v>0.1</v>
      </c>
      <c r="D521" t="s">
        <v>183</v>
      </c>
      <c r="E521">
        <v>35</v>
      </c>
      <c r="F521">
        <f>C521*E521</f>
        <v>3.5</v>
      </c>
    </row>
    <row r="522" spans="2:6">
      <c r="B522" t="s">
        <v>63</v>
      </c>
      <c r="C522">
        <v>30</v>
      </c>
      <c r="D522" t="s">
        <v>46</v>
      </c>
      <c r="E522">
        <f>+SUM(F520:F521)</f>
        <v>446.04</v>
      </c>
      <c r="F522">
        <f>+(C522/100)*E522</f>
        <v>133.81200000000001</v>
      </c>
    </row>
    <row r="523" spans="2:6">
      <c r="E523" t="s">
        <v>275</v>
      </c>
      <c r="F523">
        <f>SUM(F520:F522)</f>
        <v>579.85199999999998</v>
      </c>
    </row>
    <row r="525" spans="2:6">
      <c r="C525" t="s">
        <v>281</v>
      </c>
      <c r="F525">
        <f>+F518+F523</f>
        <v>6856.1369624999998</v>
      </c>
    </row>
    <row r="527" spans="2:6">
      <c r="B527" t="s">
        <v>1161</v>
      </c>
    </row>
    <row r="528" spans="2:6">
      <c r="B528" t="s">
        <v>358</v>
      </c>
      <c r="C528">
        <v>1</v>
      </c>
      <c r="D528" t="s">
        <v>47</v>
      </c>
      <c r="E528">
        <v>425</v>
      </c>
      <c r="F528">
        <f>C528*E528</f>
        <v>425</v>
      </c>
    </row>
    <row r="529" spans="2:6">
      <c r="B529" t="s">
        <v>331</v>
      </c>
      <c r="C529">
        <v>2</v>
      </c>
      <c r="D529" t="s">
        <v>138</v>
      </c>
      <c r="E529">
        <v>196.87</v>
      </c>
      <c r="F529">
        <f>C529*E529</f>
        <v>393.74</v>
      </c>
    </row>
    <row r="530" spans="2:6">
      <c r="B530" t="s">
        <v>1162</v>
      </c>
      <c r="F530">
        <f>0.15*F529</f>
        <v>59.061</v>
      </c>
    </row>
    <row r="531" spans="2:6">
      <c r="B531" t="s">
        <v>1163</v>
      </c>
      <c r="C531">
        <v>1</v>
      </c>
      <c r="D531" t="s">
        <v>47</v>
      </c>
      <c r="E531">
        <f>1100/8</f>
        <v>137.5</v>
      </c>
      <c r="F531">
        <f>C531*E531</f>
        <v>137.5</v>
      </c>
    </row>
    <row r="532" spans="2:6">
      <c r="B532" t="s">
        <v>1163</v>
      </c>
      <c r="C532">
        <v>1</v>
      </c>
      <c r="D532" t="s">
        <v>47</v>
      </c>
      <c r="E532">
        <f>+E531</f>
        <v>137.5</v>
      </c>
      <c r="F532">
        <f>C532*E532</f>
        <v>137.5</v>
      </c>
    </row>
    <row r="533" spans="2:6">
      <c r="B533" t="s">
        <v>330</v>
      </c>
      <c r="C533">
        <v>1</v>
      </c>
      <c r="D533" t="s">
        <v>47</v>
      </c>
      <c r="E533">
        <f>750/8</f>
        <v>93.75</v>
      </c>
      <c r="F533">
        <f>C533*E533</f>
        <v>93.75</v>
      </c>
    </row>
    <row r="534" spans="2:6">
      <c r="B534" t="s">
        <v>330</v>
      </c>
      <c r="C534">
        <v>1</v>
      </c>
      <c r="D534" t="s">
        <v>47</v>
      </c>
      <c r="E534">
        <f>+E533</f>
        <v>93.75</v>
      </c>
      <c r="F534">
        <f>C534*E534</f>
        <v>93.75</v>
      </c>
    </row>
    <row r="535" spans="2:6">
      <c r="B535" t="s">
        <v>1164</v>
      </c>
      <c r="F535">
        <f>250/8</f>
        <v>31.25</v>
      </c>
    </row>
    <row r="536" spans="2:6">
      <c r="B536" t="s">
        <v>1165</v>
      </c>
      <c r="F536">
        <f>200/8/1.035</f>
        <v>24.154589371980698</v>
      </c>
    </row>
    <row r="537" spans="2:6">
      <c r="E537" t="s">
        <v>296</v>
      </c>
      <c r="F537">
        <f>SUM(F528:F536)</f>
        <v>1395.7055893719801</v>
      </c>
    </row>
    <row r="538" spans="2:6">
      <c r="B538" t="s">
        <v>1166</v>
      </c>
      <c r="C538">
        <v>0.64</v>
      </c>
    </row>
    <row r="539" spans="2:6">
      <c r="E539" t="s">
        <v>298</v>
      </c>
      <c r="F539">
        <f>ROUND(F537/C538,2)</f>
        <v>2180.79</v>
      </c>
    </row>
    <row r="541" spans="2:6">
      <c r="E541" t="s">
        <v>1167</v>
      </c>
      <c r="F541">
        <f>+F537*8</f>
        <v>11165.644714975801</v>
      </c>
    </row>
    <row r="543" spans="2:6">
      <c r="B543" t="s">
        <v>1192</v>
      </c>
    </row>
    <row r="545" spans="2:6">
      <c r="B545" t="s">
        <v>268</v>
      </c>
      <c r="C545">
        <v>0.84</v>
      </c>
      <c r="D545" t="s">
        <v>269</v>
      </c>
    </row>
    <row r="546" spans="2:6">
      <c r="B546" t="s">
        <v>270</v>
      </c>
    </row>
    <row r="547" spans="2:6">
      <c r="B547" t="s">
        <v>271</v>
      </c>
      <c r="C547">
        <v>1.05</v>
      </c>
      <c r="D547" t="s">
        <v>2</v>
      </c>
      <c r="E547">
        <f>+F48</f>
        <v>5713.6549999999997</v>
      </c>
      <c r="F547">
        <f>C547*E547</f>
        <v>5999.3377499999997</v>
      </c>
    </row>
    <row r="548" spans="2:6">
      <c r="B548" t="s">
        <v>272</v>
      </c>
      <c r="C548">
        <f>+C545</f>
        <v>0.84</v>
      </c>
      <c r="D548" t="s">
        <v>126</v>
      </c>
      <c r="E548">
        <f>+F137</f>
        <v>2913</v>
      </c>
      <c r="F548">
        <f>C548*E548</f>
        <v>2446.92</v>
      </c>
    </row>
    <row r="549" spans="2:6">
      <c r="E549" t="s">
        <v>274</v>
      </c>
      <c r="F549">
        <f>SUM(F547:F548)</f>
        <v>8446.2577500000007</v>
      </c>
    </row>
    <row r="550" spans="2:6">
      <c r="C550">
        <v>1.64</v>
      </c>
      <c r="E550" t="s">
        <v>1194</v>
      </c>
      <c r="F550">
        <f>+C550*F549</f>
        <v>13851.862709999999</v>
      </c>
    </row>
    <row r="551" spans="2:6">
      <c r="B551" t="s">
        <v>276</v>
      </c>
    </row>
    <row r="552" spans="2:6" ht="27.75" customHeight="1">
      <c r="B552" t="s">
        <v>1158</v>
      </c>
      <c r="C552">
        <v>0.5</v>
      </c>
      <c r="D552" t="s">
        <v>3</v>
      </c>
      <c r="E552">
        <v>1950</v>
      </c>
      <c r="F552">
        <f>C552*E552</f>
        <v>975</v>
      </c>
    </row>
    <row r="553" spans="2:6">
      <c r="B553" t="s">
        <v>278</v>
      </c>
      <c r="C553">
        <v>1.03</v>
      </c>
      <c r="D553" t="s">
        <v>279</v>
      </c>
      <c r="E553">
        <v>45</v>
      </c>
      <c r="F553">
        <f>+E553*C553</f>
        <v>46.35</v>
      </c>
    </row>
    <row r="554" spans="2:6">
      <c r="B554" t="s">
        <v>280</v>
      </c>
      <c r="C554">
        <v>2</v>
      </c>
      <c r="D554" t="s">
        <v>183</v>
      </c>
      <c r="E554">
        <v>45</v>
      </c>
      <c r="F554">
        <f>+E554*C554</f>
        <v>90</v>
      </c>
    </row>
    <row r="555" spans="2:6">
      <c r="B555" t="s">
        <v>63</v>
      </c>
      <c r="C555">
        <v>1</v>
      </c>
      <c r="D555" t="s">
        <v>42</v>
      </c>
      <c r="E555">
        <v>1200</v>
      </c>
      <c r="F555">
        <f>+(C555)*E555</f>
        <v>1200</v>
      </c>
    </row>
    <row r="556" spans="2:6">
      <c r="E556" t="s">
        <v>1195</v>
      </c>
      <c r="F556">
        <f>SUM(F552:F555)</f>
        <v>2311.35</v>
      </c>
    </row>
    <row r="558" spans="2:6">
      <c r="C558" t="s">
        <v>281</v>
      </c>
      <c r="F558">
        <f>+F550+F556</f>
        <v>16163.21271</v>
      </c>
    </row>
    <row r="560" spans="2:6">
      <c r="B560" t="s">
        <v>38</v>
      </c>
    </row>
    <row r="561" spans="2:6">
      <c r="B561" t="s">
        <v>282</v>
      </c>
      <c r="C561">
        <v>0.77</v>
      </c>
      <c r="D561" t="s">
        <v>2</v>
      </c>
      <c r="E561">
        <v>240.23</v>
      </c>
      <c r="F561">
        <f>C561*E561</f>
        <v>184.97710000000001</v>
      </c>
    </row>
    <row r="562" spans="2:6">
      <c r="B562" t="s">
        <v>2221</v>
      </c>
      <c r="C562">
        <f>C561*1.25</f>
        <v>0.96250000000000002</v>
      </c>
      <c r="D562" t="s">
        <v>2</v>
      </c>
      <c r="E562">
        <v>70</v>
      </c>
      <c r="F562">
        <f>C562*E562</f>
        <v>67.375</v>
      </c>
    </row>
    <row r="563" spans="2:6">
      <c r="F563">
        <f>F561+F562</f>
        <v>252.35210000000001</v>
      </c>
    </row>
    <row r="566" spans="2:6">
      <c r="E566" t="s">
        <v>1196</v>
      </c>
      <c r="F566">
        <f>F563+F558</f>
        <v>16415.56481</v>
      </c>
    </row>
    <row r="569" spans="2:6" ht="18" customHeight="1">
      <c r="B569" t="s">
        <v>1168</v>
      </c>
    </row>
    <row r="571" spans="2:6">
      <c r="B571" t="s">
        <v>268</v>
      </c>
      <c r="C571">
        <v>0.51</v>
      </c>
      <c r="D571" t="s">
        <v>269</v>
      </c>
    </row>
    <row r="572" spans="2:6">
      <c r="B572" t="s">
        <v>270</v>
      </c>
    </row>
    <row r="573" spans="2:6">
      <c r="B573" t="s">
        <v>271</v>
      </c>
      <c r="C573">
        <v>1.05</v>
      </c>
      <c r="D573" t="s">
        <v>2</v>
      </c>
      <c r="E573">
        <f>+F507</f>
        <v>579.85199999999998</v>
      </c>
      <c r="F573">
        <f>C573*E573</f>
        <v>608.84460000000001</v>
      </c>
    </row>
    <row r="574" spans="2:6">
      <c r="B574" t="s">
        <v>272</v>
      </c>
      <c r="C574">
        <v>0.51</v>
      </c>
      <c r="D574" t="s">
        <v>126</v>
      </c>
      <c r="E574">
        <f>+F508</f>
        <v>0</v>
      </c>
      <c r="F574">
        <f>C574*E574</f>
        <v>0</v>
      </c>
    </row>
    <row r="575" spans="2:6">
      <c r="B575" t="s">
        <v>273</v>
      </c>
      <c r="C575">
        <v>0.97</v>
      </c>
      <c r="D575" t="s">
        <v>118</v>
      </c>
      <c r="E575">
        <f>+F509</f>
        <v>7488.703665</v>
      </c>
      <c r="F575">
        <f>C575*E575</f>
        <v>7264.0425550500004</v>
      </c>
    </row>
    <row r="576" spans="2:6">
      <c r="E576" t="s">
        <v>274</v>
      </c>
      <c r="F576">
        <f>SUM(F573:F575)</f>
        <v>7872.8871550499998</v>
      </c>
    </row>
    <row r="577" spans="2:6">
      <c r="E577" t="s">
        <v>275</v>
      </c>
      <c r="F577">
        <f>(0.6*0.75+0.3*0.45)/2*1.45*F576</f>
        <v>3339.0882646355799</v>
      </c>
    </row>
    <row r="578" spans="2:6">
      <c r="B578" t="s">
        <v>276</v>
      </c>
    </row>
    <row r="579" spans="2:6">
      <c r="B579" t="s">
        <v>1158</v>
      </c>
      <c r="C579">
        <v>1</v>
      </c>
      <c r="D579" t="s">
        <v>3</v>
      </c>
      <c r="E579">
        <v>1850</v>
      </c>
      <c r="F579">
        <f>C579*E579</f>
        <v>1850</v>
      </c>
    </row>
    <row r="580" spans="2:6">
      <c r="B580" t="s">
        <v>278</v>
      </c>
      <c r="C580">
        <v>3.46</v>
      </c>
      <c r="D580" t="s">
        <v>279</v>
      </c>
      <c r="E580">
        <v>45</v>
      </c>
      <c r="F580">
        <f>C580*E580</f>
        <v>155.69999999999999</v>
      </c>
    </row>
    <row r="581" spans="2:6">
      <c r="B581" t="s">
        <v>280</v>
      </c>
      <c r="C581">
        <v>0.1</v>
      </c>
      <c r="D581" t="s">
        <v>183</v>
      </c>
      <c r="E581">
        <v>15.78</v>
      </c>
      <c r="F581">
        <f>C581*E581</f>
        <v>1.5780000000000001</v>
      </c>
    </row>
    <row r="582" spans="2:6">
      <c r="B582" t="s">
        <v>63</v>
      </c>
      <c r="C582">
        <v>30</v>
      </c>
      <c r="D582" t="s">
        <v>46</v>
      </c>
      <c r="E582">
        <f>+SUM(F579:F581)</f>
        <v>2007.278</v>
      </c>
      <c r="F582">
        <f>+(C582/100)*E582</f>
        <v>602.18340000000001</v>
      </c>
    </row>
    <row r="583" spans="2:6">
      <c r="E583" t="s">
        <v>275</v>
      </c>
      <c r="F583">
        <f>SUM(F579:F582)</f>
        <v>2609.4614000000001</v>
      </c>
    </row>
    <row r="585" spans="2:6">
      <c r="B585" t="s">
        <v>1169</v>
      </c>
    </row>
    <row r="586" spans="2:6">
      <c r="B586" t="s">
        <v>1170</v>
      </c>
      <c r="C586">
        <v>0.42</v>
      </c>
      <c r="D586" t="s">
        <v>2</v>
      </c>
      <c r="E586">
        <f>+F520</f>
        <v>442.54</v>
      </c>
      <c r="F586">
        <f>C586*E586</f>
        <v>185.86680000000001</v>
      </c>
    </row>
    <row r="587" spans="2:6">
      <c r="B587" t="s">
        <v>1171</v>
      </c>
      <c r="C587">
        <f>C586*1.2</f>
        <v>0.504</v>
      </c>
      <c r="D587" t="s">
        <v>2</v>
      </c>
      <c r="E587">
        <v>90</v>
      </c>
      <c r="F587">
        <f>C587*E587</f>
        <v>45.36</v>
      </c>
    </row>
    <row r="588" spans="2:6">
      <c r="E588" t="s">
        <v>275</v>
      </c>
      <c r="F588">
        <f>SUM(F586:F587)</f>
        <v>231.2268</v>
      </c>
    </row>
    <row r="590" spans="2:6">
      <c r="B590" t="s">
        <v>1172</v>
      </c>
    </row>
    <row r="592" spans="2:6">
      <c r="B592" t="s">
        <v>1173</v>
      </c>
    </row>
    <row r="593" spans="2:6">
      <c r="B593" t="s">
        <v>151</v>
      </c>
      <c r="C593">
        <f>0.42*0.45</f>
        <v>0.189</v>
      </c>
      <c r="D593" t="s">
        <v>2</v>
      </c>
      <c r="E593">
        <f>935.52</f>
        <v>935.52</v>
      </c>
      <c r="F593">
        <f>ROUND(E593*C593,2)</f>
        <v>176.81</v>
      </c>
    </row>
    <row r="594" spans="2:6">
      <c r="B594" t="s">
        <v>124</v>
      </c>
      <c r="C594">
        <f>0.42*0.9</f>
        <v>0.378</v>
      </c>
      <c r="D594" t="s">
        <v>2</v>
      </c>
      <c r="E594">
        <f>+E593</f>
        <v>935.52</v>
      </c>
      <c r="F594">
        <f>ROUND(E594*C594,2)</f>
        <v>353.63</v>
      </c>
    </row>
    <row r="595" spans="2:6">
      <c r="B595" t="s">
        <v>142</v>
      </c>
      <c r="C595">
        <f>0.42*13</f>
        <v>5.46</v>
      </c>
      <c r="D595" t="s">
        <v>1026</v>
      </c>
      <c r="E595">
        <f>49.77</f>
        <v>49.77</v>
      </c>
      <c r="F595">
        <f>ROUND(E595*C595,2)</f>
        <v>271.74</v>
      </c>
    </row>
    <row r="596" spans="2:6">
      <c r="B596" t="s">
        <v>1174</v>
      </c>
      <c r="C596">
        <f>0.42*0.51</f>
        <v>0.2142</v>
      </c>
      <c r="D596" t="s">
        <v>126</v>
      </c>
      <c r="E596">
        <f>111.8</f>
        <v>111.8</v>
      </c>
      <c r="F596">
        <f>ROUND(E596*C596,2)</f>
        <v>23.95</v>
      </c>
    </row>
    <row r="599" spans="2:6">
      <c r="B599" t="s">
        <v>1175</v>
      </c>
    </row>
    <row r="600" spans="2:6">
      <c r="B600" t="s">
        <v>151</v>
      </c>
      <c r="C600">
        <f>+C593</f>
        <v>0.189</v>
      </c>
      <c r="D600" t="s">
        <v>2</v>
      </c>
      <c r="E600">
        <v>2069.1999999999998</v>
      </c>
      <c r="F600">
        <f>ROUND(E600*C600,2)</f>
        <v>391.08</v>
      </c>
    </row>
    <row r="601" spans="2:6">
      <c r="B601" t="s">
        <v>124</v>
      </c>
      <c r="C601">
        <f>+C594</f>
        <v>0.378</v>
      </c>
      <c r="D601" t="s">
        <v>2</v>
      </c>
      <c r="E601">
        <f>+E600</f>
        <v>2069.1999999999998</v>
      </c>
      <c r="F601">
        <f>ROUND(E601*C601,2)</f>
        <v>782.16</v>
      </c>
    </row>
    <row r="602" spans="2:6">
      <c r="B602" t="s">
        <v>142</v>
      </c>
      <c r="C602">
        <f>+C595</f>
        <v>5.46</v>
      </c>
      <c r="D602" t="s">
        <v>2</v>
      </c>
      <c r="E602">
        <v>62.08</v>
      </c>
      <c r="F602">
        <f>ROUND(E602*C602,2)</f>
        <v>338.96</v>
      </c>
    </row>
    <row r="603" spans="2:6">
      <c r="B603" t="s">
        <v>1174</v>
      </c>
      <c r="C603">
        <f>+C596</f>
        <v>0.2142</v>
      </c>
      <c r="D603" t="s">
        <v>2</v>
      </c>
      <c r="E603">
        <v>135.69</v>
      </c>
      <c r="F603">
        <f>ROUND(E603*C603,2)</f>
        <v>29.06</v>
      </c>
    </row>
    <row r="604" spans="2:6">
      <c r="F604">
        <f>SUM(F593:F603)</f>
        <v>2367.39</v>
      </c>
    </row>
    <row r="606" spans="2:6">
      <c r="C606" t="s">
        <v>281</v>
      </c>
      <c r="F606">
        <f>F604+F588+F583+F577</f>
        <v>8547.1664646355803</v>
      </c>
    </row>
  </sheetData>
  <customSheetViews>
    <customSheetView guid="{43BC9397-3E8C-478C-B548-E4A845A7F82B}" hiddenRows="1" topLeftCell="A312">
      <selection activeCell="F346" sqref="F346"/>
      <pageMargins left="0.7" right="0.7" top="0.75" bottom="0.75" header="0.3" footer="0.3"/>
      <pageSetup orientation="portrait" r:id="rId1"/>
    </customSheetView>
  </customSheetView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E582"/>
  <sheetViews>
    <sheetView workbookViewId="0">
      <selection activeCell="F36" sqref="F36"/>
    </sheetView>
  </sheetViews>
  <sheetFormatPr baseColWidth="10" defaultColWidth="11.42578125" defaultRowHeight="12.75"/>
  <cols>
    <col min="1" max="1" width="31.85546875" style="3154" customWidth="1"/>
    <col min="2" max="2" width="10.42578125" style="3154" bestFit="1" customWidth="1"/>
    <col min="3" max="3" width="22.85546875" style="3154" customWidth="1"/>
    <col min="4" max="4" width="13.7109375" style="3154" customWidth="1"/>
    <col min="5" max="5" width="13.140625" style="3154" customWidth="1"/>
    <col min="6" max="16384" width="11.42578125" style="3154"/>
  </cols>
  <sheetData>
    <row r="1" spans="1:5">
      <c r="A1" s="4933" t="s">
        <v>1354</v>
      </c>
      <c r="B1" s="4933"/>
      <c r="C1" s="4933"/>
      <c r="D1" s="4933"/>
      <c r="E1" s="4933"/>
    </row>
    <row r="2" spans="1:5">
      <c r="A2" s="3765"/>
      <c r="B2" s="3766"/>
      <c r="C2" s="3767"/>
      <c r="D2" s="3768"/>
      <c r="E2" s="3768"/>
    </row>
    <row r="3" spans="1:5">
      <c r="A3" s="3769" t="s">
        <v>1355</v>
      </c>
      <c r="B3" s="3770"/>
      <c r="C3" s="3771"/>
      <c r="D3" s="3770"/>
      <c r="E3" s="3770"/>
    </row>
    <row r="4" spans="1:5">
      <c r="A4" s="3772" t="s">
        <v>1356</v>
      </c>
      <c r="B4" s="3773">
        <v>2</v>
      </c>
      <c r="C4" s="3771" t="s">
        <v>1357</v>
      </c>
      <c r="D4" s="3770"/>
      <c r="E4" s="3770"/>
    </row>
    <row r="5" spans="1:5">
      <c r="A5" s="3774"/>
      <c r="B5" s="3770"/>
      <c r="C5" s="3771"/>
      <c r="D5" s="3770"/>
      <c r="E5" s="3770"/>
    </row>
    <row r="6" spans="1:5">
      <c r="A6" s="3775" t="s">
        <v>1358</v>
      </c>
      <c r="B6" s="3773">
        <f>1/((B4*2.54/100)*1.3)</f>
        <v>15.14</v>
      </c>
      <c r="C6" s="3776" t="s">
        <v>11</v>
      </c>
      <c r="D6" s="3770"/>
      <c r="E6" s="3770"/>
    </row>
    <row r="7" spans="1:5">
      <c r="A7" s="3775"/>
      <c r="B7" s="3773"/>
      <c r="C7" s="3776"/>
      <c r="D7" s="3770"/>
      <c r="E7" s="3770"/>
    </row>
    <row r="8" spans="1:5">
      <c r="A8" s="3775"/>
      <c r="B8" s="3773"/>
      <c r="C8" s="3776"/>
      <c r="D8" s="3770"/>
      <c r="E8" s="3770"/>
    </row>
    <row r="9" spans="1:5">
      <c r="A9" s="3777" t="s">
        <v>436</v>
      </c>
      <c r="B9" s="3778"/>
      <c r="C9" s="3776"/>
      <c r="D9" s="3778"/>
      <c r="E9" s="3778"/>
    </row>
    <row r="10" spans="1:5">
      <c r="A10" s="3774" t="s">
        <v>437</v>
      </c>
      <c r="B10" s="3779">
        <v>1</v>
      </c>
      <c r="C10" s="3771" t="s">
        <v>215</v>
      </c>
      <c r="D10" s="3779">
        <v>1500</v>
      </c>
      <c r="E10" s="3779">
        <f t="shared" ref="E10:E15" si="0">+D10*B10</f>
        <v>1500</v>
      </c>
    </row>
    <row r="11" spans="1:5">
      <c r="A11" s="3774" t="s">
        <v>1359</v>
      </c>
      <c r="B11" s="3779">
        <v>1</v>
      </c>
      <c r="C11" s="3771" t="s">
        <v>215</v>
      </c>
      <c r="D11" s="3779">
        <v>1100</v>
      </c>
      <c r="E11" s="3779">
        <f t="shared" si="0"/>
        <v>1100</v>
      </c>
    </row>
    <row r="12" spans="1:5">
      <c r="A12" s="3774" t="s">
        <v>1360</v>
      </c>
      <c r="B12" s="3779">
        <v>1</v>
      </c>
      <c r="C12" s="3771" t="s">
        <v>215</v>
      </c>
      <c r="D12" s="3779">
        <v>659</v>
      </c>
      <c r="E12" s="3779">
        <f t="shared" si="0"/>
        <v>659</v>
      </c>
    </row>
    <row r="13" spans="1:5">
      <c r="A13" s="3774" t="s">
        <v>1361</v>
      </c>
      <c r="B13" s="3779">
        <v>1</v>
      </c>
      <c r="C13" s="3771" t="s">
        <v>440</v>
      </c>
      <c r="D13" s="3779">
        <v>1950</v>
      </c>
      <c r="E13" s="3779">
        <f t="shared" si="0"/>
        <v>1950</v>
      </c>
    </row>
    <row r="14" spans="1:5">
      <c r="A14" s="3774" t="s">
        <v>1362</v>
      </c>
      <c r="B14" s="3779">
        <v>1</v>
      </c>
      <c r="C14" s="3771" t="s">
        <v>440</v>
      </c>
      <c r="D14" s="3779">
        <v>1300</v>
      </c>
      <c r="E14" s="3779">
        <f t="shared" si="0"/>
        <v>1300</v>
      </c>
    </row>
    <row r="15" spans="1:5">
      <c r="A15" s="3774" t="s">
        <v>1363</v>
      </c>
      <c r="B15" s="3779">
        <v>1</v>
      </c>
      <c r="C15" s="3771" t="s">
        <v>440</v>
      </c>
      <c r="D15" s="3779">
        <v>1300</v>
      </c>
      <c r="E15" s="3779">
        <f t="shared" si="0"/>
        <v>1300</v>
      </c>
    </row>
    <row r="16" spans="1:5">
      <c r="A16" s="3774"/>
      <c r="B16" s="3770"/>
      <c r="C16" s="3771"/>
      <c r="D16" s="3780" t="s">
        <v>442</v>
      </c>
      <c r="E16" s="3778">
        <f>SUM(E10:E15)</f>
        <v>7809</v>
      </c>
    </row>
    <row r="17" spans="1:5">
      <c r="A17" s="3774"/>
      <c r="B17" s="3770"/>
      <c r="C17" s="3771"/>
      <c r="D17" s="3780"/>
      <c r="E17" s="3778"/>
    </row>
    <row r="18" spans="1:5">
      <c r="A18" s="3777" t="s">
        <v>1364</v>
      </c>
      <c r="B18" s="3778"/>
      <c r="C18" s="3776"/>
      <c r="D18" s="3778"/>
      <c r="E18" s="3778"/>
    </row>
    <row r="19" spans="1:5">
      <c r="A19" s="3781" t="s">
        <v>1365</v>
      </c>
      <c r="B19" s="3782">
        <v>8</v>
      </c>
      <c r="C19" s="3783" t="s">
        <v>47</v>
      </c>
      <c r="D19" s="3782">
        <v>459.29</v>
      </c>
      <c r="E19" s="3782">
        <f>D19*B19</f>
        <v>3674.32</v>
      </c>
    </row>
    <row r="20" spans="1:5">
      <c r="A20" s="3784" t="s">
        <v>1366</v>
      </c>
      <c r="B20" s="3782">
        <v>1</v>
      </c>
      <c r="C20" s="3783" t="s">
        <v>1100</v>
      </c>
      <c r="D20" s="3782">
        <v>225</v>
      </c>
      <c r="E20" s="3782">
        <f>D20*B20</f>
        <v>225</v>
      </c>
    </row>
    <row r="21" spans="1:5">
      <c r="A21" s="3785"/>
      <c r="B21" s="3786"/>
      <c r="C21" s="3787"/>
      <c r="D21" s="3786"/>
      <c r="E21" s="3786"/>
    </row>
    <row r="22" spans="1:5">
      <c r="A22" s="3769"/>
      <c r="B22" s="3778"/>
      <c r="C22" s="3776"/>
      <c r="D22" s="3778" t="s">
        <v>1367</v>
      </c>
      <c r="E22" s="3778">
        <f>SUM(E19:E20)</f>
        <v>3899.32</v>
      </c>
    </row>
    <row r="23" spans="1:5">
      <c r="A23" s="3774"/>
      <c r="B23" s="3770"/>
      <c r="C23" s="3771"/>
      <c r="D23" s="3780"/>
      <c r="E23" s="3778"/>
    </row>
    <row r="24" spans="1:5">
      <c r="A24" s="3769" t="s">
        <v>1368</v>
      </c>
      <c r="B24" s="3778"/>
      <c r="C24" s="3776"/>
      <c r="D24" s="3778"/>
      <c r="E24" s="3778">
        <f>E22+E16</f>
        <v>11708.32</v>
      </c>
    </row>
    <row r="25" spans="1:5">
      <c r="A25" s="3774"/>
      <c r="B25" s="3770"/>
      <c r="C25" s="3771"/>
      <c r="D25" s="3780"/>
      <c r="E25" s="3778"/>
    </row>
    <row r="26" spans="1:5">
      <c r="A26" s="3774" t="s">
        <v>1369</v>
      </c>
      <c r="B26" s="3770">
        <v>18</v>
      </c>
      <c r="C26" s="3771" t="s">
        <v>1370</v>
      </c>
      <c r="D26" s="3780"/>
      <c r="E26" s="3778"/>
    </row>
    <row r="27" spans="1:5">
      <c r="A27" s="3774" t="s">
        <v>1371</v>
      </c>
      <c r="B27" s="3770"/>
      <c r="C27" s="3771"/>
      <c r="D27" s="3780"/>
      <c r="E27" s="3778">
        <f>E24/B26</f>
        <v>650.46</v>
      </c>
    </row>
    <row r="28" spans="1:5">
      <c r="A28" s="3774"/>
      <c r="B28" s="3770"/>
      <c r="C28" s="3771"/>
      <c r="D28" s="3780"/>
      <c r="E28" s="3778"/>
    </row>
    <row r="29" spans="1:5">
      <c r="A29" s="3769" t="s">
        <v>1372</v>
      </c>
      <c r="B29" s="3770"/>
      <c r="C29" s="3771"/>
      <c r="D29" s="3780"/>
      <c r="E29" s="3780"/>
    </row>
    <row r="30" spans="1:5">
      <c r="A30" s="3774" t="s">
        <v>1373</v>
      </c>
      <c r="B30" s="3779">
        <v>1.25</v>
      </c>
      <c r="C30" s="3771" t="s">
        <v>1374</v>
      </c>
      <c r="D30" s="3779">
        <v>8850</v>
      </c>
      <c r="E30" s="3788">
        <f>D30*B30</f>
        <v>11062.5</v>
      </c>
    </row>
    <row r="31" spans="1:5">
      <c r="A31" s="3774" t="s">
        <v>1375</v>
      </c>
      <c r="B31" s="3779">
        <v>1</v>
      </c>
      <c r="C31" s="3771" t="s">
        <v>1374</v>
      </c>
      <c r="D31" s="3779">
        <f>E27</f>
        <v>650.46</v>
      </c>
      <c r="E31" s="3779">
        <f>+D31*B31</f>
        <v>650.46</v>
      </c>
    </row>
    <row r="32" spans="1:5">
      <c r="A32" s="3774"/>
      <c r="B32" s="3770"/>
      <c r="C32" s="3771"/>
      <c r="D32" s="3780" t="s">
        <v>1376</v>
      </c>
      <c r="E32" s="3778">
        <f>SUM(E30:E31)</f>
        <v>11712.96</v>
      </c>
    </row>
    <row r="33" spans="1:5">
      <c r="A33" s="3774"/>
      <c r="B33" s="3770"/>
      <c r="C33" s="3771"/>
      <c r="D33" s="3770"/>
      <c r="E33" s="3770"/>
    </row>
    <row r="34" spans="1:5" ht="18.75">
      <c r="A34" s="3789" t="s">
        <v>1377</v>
      </c>
      <c r="B34" s="3790"/>
      <c r="C34" s="3791"/>
      <c r="D34" s="3770"/>
      <c r="E34" s="3790">
        <f>E32/B6</f>
        <v>773.64</v>
      </c>
    </row>
    <row r="35" spans="1:5">
      <c r="A35" s="3792"/>
      <c r="B35" s="3768"/>
      <c r="C35" s="3767"/>
      <c r="D35" s="3768"/>
      <c r="E35" s="3768"/>
    </row>
    <row r="36" spans="1:5">
      <c r="A36" s="4933" t="s">
        <v>1378</v>
      </c>
      <c r="B36" s="4933"/>
      <c r="C36" s="4933"/>
      <c r="D36" s="4933"/>
      <c r="E36" s="4933"/>
    </row>
    <row r="37" spans="1:5">
      <c r="A37" s="3793"/>
      <c r="B37" s="3793"/>
      <c r="C37" s="3793"/>
      <c r="D37" s="3793"/>
      <c r="E37" s="3793"/>
    </row>
    <row r="38" spans="1:5">
      <c r="A38" s="3793"/>
      <c r="B38" s="3793"/>
      <c r="C38" s="3793"/>
      <c r="D38" s="3793"/>
      <c r="E38" s="3793"/>
    </row>
    <row r="39" spans="1:5">
      <c r="A39" s="1548" t="s">
        <v>1379</v>
      </c>
      <c r="B39" s="1549"/>
      <c r="C39" s="1549" t="s">
        <v>1380</v>
      </c>
      <c r="D39" s="1550"/>
      <c r="E39" s="1551"/>
    </row>
    <row r="40" spans="1:5">
      <c r="A40" s="1552" t="s">
        <v>214</v>
      </c>
      <c r="B40" s="1553">
        <v>1</v>
      </c>
      <c r="C40" s="1554" t="s">
        <v>3</v>
      </c>
      <c r="D40" s="1555">
        <v>2000</v>
      </c>
      <c r="E40" s="1555">
        <f t="shared" ref="E40:E46" si="1">B40*D40</f>
        <v>2000</v>
      </c>
    </row>
    <row r="41" spans="1:5">
      <c r="A41" s="1549" t="s">
        <v>1381</v>
      </c>
      <c r="B41" s="1553">
        <v>1</v>
      </c>
      <c r="C41" s="1554" t="s">
        <v>3</v>
      </c>
      <c r="D41" s="1555">
        <v>850</v>
      </c>
      <c r="E41" s="1555">
        <f t="shared" si="1"/>
        <v>850</v>
      </c>
    </row>
    <row r="42" spans="1:5">
      <c r="A42" s="1549" t="s">
        <v>1382</v>
      </c>
      <c r="B42" s="1553">
        <v>1</v>
      </c>
      <c r="C42" s="1554" t="s">
        <v>3</v>
      </c>
      <c r="D42" s="1555">
        <v>659</v>
      </c>
      <c r="E42" s="1555">
        <f t="shared" si="1"/>
        <v>659</v>
      </c>
    </row>
    <row r="43" spans="1:5">
      <c r="A43" s="1549" t="s">
        <v>218</v>
      </c>
      <c r="B43" s="1553">
        <v>3</v>
      </c>
      <c r="C43" s="1556" t="s">
        <v>118</v>
      </c>
      <c r="D43" s="1555">
        <v>193.5</v>
      </c>
      <c r="E43" s="1555">
        <f t="shared" si="1"/>
        <v>580.5</v>
      </c>
    </row>
    <row r="44" spans="1:5">
      <c r="A44" s="1549" t="s">
        <v>1383</v>
      </c>
      <c r="B44" s="1553">
        <v>75</v>
      </c>
      <c r="C44" s="1556" t="s">
        <v>118</v>
      </c>
      <c r="D44" s="1555">
        <v>2.5</v>
      </c>
      <c r="E44" s="1555">
        <f t="shared" si="1"/>
        <v>187.5</v>
      </c>
    </row>
    <row r="45" spans="1:5">
      <c r="A45" s="1549" t="s">
        <v>1384</v>
      </c>
      <c r="B45" s="1553">
        <v>2</v>
      </c>
      <c r="C45" s="1556" t="s">
        <v>1385</v>
      </c>
      <c r="D45" s="1555">
        <v>250</v>
      </c>
      <c r="E45" s="1555">
        <f t="shared" si="1"/>
        <v>500</v>
      </c>
    </row>
    <row r="46" spans="1:5">
      <c r="A46" s="1549" t="s">
        <v>1386</v>
      </c>
      <c r="B46" s="1553">
        <v>1</v>
      </c>
      <c r="C46" s="1556" t="s">
        <v>3</v>
      </c>
      <c r="D46" s="1555">
        <v>80</v>
      </c>
      <c r="E46" s="1555">
        <f t="shared" si="1"/>
        <v>80</v>
      </c>
    </row>
    <row r="47" spans="1:5">
      <c r="A47" s="1549" t="s">
        <v>219</v>
      </c>
      <c r="B47" s="1553">
        <v>1</v>
      </c>
      <c r="C47" s="1556" t="s">
        <v>46</v>
      </c>
      <c r="D47" s="1555">
        <f>0.2*E43</f>
        <v>116.1</v>
      </c>
      <c r="E47" s="1551">
        <f>D47*B47</f>
        <v>116.1</v>
      </c>
    </row>
    <row r="48" spans="1:5">
      <c r="A48" s="1549"/>
      <c r="B48" s="1549"/>
      <c r="C48" s="1549"/>
      <c r="D48" s="1550"/>
      <c r="E48" s="1557">
        <f>SUM(E40:E47)</f>
        <v>4973.1000000000004</v>
      </c>
    </row>
    <row r="49" spans="1:5">
      <c r="A49" s="1550" t="s">
        <v>1387</v>
      </c>
      <c r="B49" s="1553">
        <v>150</v>
      </c>
      <c r="C49" s="1549" t="s">
        <v>1388</v>
      </c>
      <c r="D49" s="1550"/>
      <c r="E49" s="1557"/>
    </row>
    <row r="50" spans="1:5">
      <c r="A50" s="1550"/>
      <c r="B50" s="1553"/>
      <c r="C50" s="1549"/>
      <c r="D50" s="1550"/>
      <c r="E50" s="1557"/>
    </row>
    <row r="51" spans="1:5">
      <c r="A51" s="1558" t="s">
        <v>1389</v>
      </c>
      <c r="B51" s="1559">
        <f>+E48/B49</f>
        <v>33.15</v>
      </c>
      <c r="C51" s="1549"/>
      <c r="D51" s="1550"/>
      <c r="E51" s="1557"/>
    </row>
    <row r="52" spans="1:5">
      <c r="A52" s="1549"/>
      <c r="B52" s="1549"/>
      <c r="C52" s="1549"/>
      <c r="D52" s="1550"/>
      <c r="E52" s="1557"/>
    </row>
    <row r="53" spans="1:5">
      <c r="A53" s="1548" t="s">
        <v>220</v>
      </c>
      <c r="B53" s="1549"/>
      <c r="C53" s="1549"/>
      <c r="D53" s="1550"/>
      <c r="E53" s="1557"/>
    </row>
    <row r="54" spans="1:5" ht="25.5">
      <c r="A54" s="1552" t="s">
        <v>1390</v>
      </c>
      <c r="B54" s="1553">
        <v>1</v>
      </c>
      <c r="C54" s="1554" t="s">
        <v>3</v>
      </c>
      <c r="D54" s="1555">
        <v>11.14</v>
      </c>
      <c r="E54" s="1560">
        <f>B54*D54</f>
        <v>11.14</v>
      </c>
    </row>
    <row r="55" spans="1:5">
      <c r="A55" s="1549"/>
      <c r="B55" s="1549"/>
      <c r="C55" s="1549"/>
      <c r="D55" s="1550"/>
      <c r="E55" s="1557"/>
    </row>
    <row r="56" spans="1:5" ht="13.5" thickBot="1">
      <c r="A56" s="1549"/>
      <c r="B56" s="1549"/>
      <c r="C56" s="1549"/>
      <c r="D56" s="1550"/>
      <c r="E56" s="1557"/>
    </row>
    <row r="57" spans="1:5" ht="14.25" thickTop="1" thickBot="1">
      <c r="A57" s="3794" t="s">
        <v>1391</v>
      </c>
      <c r="B57" s="3795">
        <f>+B51+E54</f>
        <v>44.29</v>
      </c>
      <c r="C57" s="1549"/>
      <c r="D57" s="1550"/>
      <c r="E57" s="1557"/>
    </row>
    <row r="58" spans="1:5" ht="16.5" thickTop="1">
      <c r="A58" s="3792"/>
      <c r="B58" s="3768"/>
      <c r="C58" s="3767"/>
      <c r="D58" s="3768"/>
      <c r="E58" s="3796"/>
    </row>
    <row r="59" spans="1:5" ht="51">
      <c r="A59" s="3797" t="s">
        <v>1392</v>
      </c>
      <c r="B59" s="3797"/>
      <c r="C59" s="3797"/>
      <c r="D59" s="3797"/>
      <c r="E59" s="3798"/>
    </row>
    <row r="60" spans="1:5">
      <c r="A60" s="3792"/>
      <c r="B60" s="3799" t="s">
        <v>286</v>
      </c>
      <c r="C60" s="3799" t="s">
        <v>287</v>
      </c>
      <c r="D60" s="3799" t="s">
        <v>288</v>
      </c>
      <c r="E60" s="3799" t="s">
        <v>289</v>
      </c>
    </row>
    <row r="61" spans="1:5">
      <c r="A61" s="3800" t="s">
        <v>301</v>
      </c>
      <c r="B61" s="3801">
        <v>1</v>
      </c>
      <c r="C61" s="3802" t="s">
        <v>302</v>
      </c>
      <c r="D61" s="3803">
        <v>2200</v>
      </c>
      <c r="E61" s="3803">
        <f t="shared" ref="E61:E66" si="2">+D61*B61</f>
        <v>2200</v>
      </c>
    </row>
    <row r="62" spans="1:5">
      <c r="A62" s="3804" t="s">
        <v>1393</v>
      </c>
      <c r="B62" s="3805">
        <v>1</v>
      </c>
      <c r="C62" s="3802" t="s">
        <v>302</v>
      </c>
      <c r="D62" s="3803">
        <v>750</v>
      </c>
      <c r="E62" s="3803">
        <f t="shared" si="2"/>
        <v>750</v>
      </c>
    </row>
    <row r="63" spans="1:5">
      <c r="A63" s="3804" t="s">
        <v>1394</v>
      </c>
      <c r="B63" s="3805">
        <v>1</v>
      </c>
      <c r="C63" s="3802" t="s">
        <v>302</v>
      </c>
      <c r="D63" s="3803">
        <v>659</v>
      </c>
      <c r="E63" s="3803">
        <f t="shared" si="2"/>
        <v>659</v>
      </c>
    </row>
    <row r="64" spans="1:5">
      <c r="A64" s="3804" t="s">
        <v>1395</v>
      </c>
      <c r="B64" s="3805">
        <v>1</v>
      </c>
      <c r="C64" s="3802" t="s">
        <v>302</v>
      </c>
      <c r="D64" s="3803">
        <v>659</v>
      </c>
      <c r="E64" s="3803">
        <f t="shared" si="2"/>
        <v>659</v>
      </c>
    </row>
    <row r="65" spans="1:5">
      <c r="A65" s="3804" t="s">
        <v>304</v>
      </c>
      <c r="B65" s="3805">
        <v>1</v>
      </c>
      <c r="C65" s="3802" t="s">
        <v>302</v>
      </c>
      <c r="D65" s="3803">
        <v>659</v>
      </c>
      <c r="E65" s="3803">
        <f t="shared" si="2"/>
        <v>659</v>
      </c>
    </row>
    <row r="66" spans="1:5">
      <c r="A66" s="3804" t="s">
        <v>305</v>
      </c>
      <c r="B66" s="3805">
        <v>1</v>
      </c>
      <c r="C66" s="3802" t="s">
        <v>302</v>
      </c>
      <c r="D66" s="3803">
        <v>96</v>
      </c>
      <c r="E66" s="3803">
        <f t="shared" si="2"/>
        <v>96</v>
      </c>
    </row>
    <row r="67" spans="1:5">
      <c r="A67" s="3792"/>
      <c r="B67" s="3792"/>
      <c r="C67" s="3802"/>
      <c r="D67" s="3806" t="s">
        <v>306</v>
      </c>
      <c r="E67" s="3807">
        <f>SUM(E61:E66)</f>
        <v>5023</v>
      </c>
    </row>
    <row r="68" spans="1:5">
      <c r="A68" s="3808" t="s">
        <v>297</v>
      </c>
      <c r="B68" s="3809">
        <f>32*0.85</f>
        <v>27.2</v>
      </c>
      <c r="C68" s="3807" t="s">
        <v>1396</v>
      </c>
      <c r="D68" s="3810"/>
      <c r="E68" s="3810"/>
    </row>
    <row r="69" spans="1:5">
      <c r="A69" s="3811"/>
      <c r="B69" s="3810"/>
      <c r="C69" s="3810"/>
      <c r="D69" s="3806" t="s">
        <v>307</v>
      </c>
      <c r="E69" s="3812">
        <f>+ROUND(E67/B68,2)</f>
        <v>184.67</v>
      </c>
    </row>
    <row r="70" spans="1:5">
      <c r="A70" s="3813"/>
      <c r="B70" s="3768"/>
      <c r="C70" s="3767"/>
      <c r="D70" s="3768"/>
      <c r="E70" s="3768"/>
    </row>
    <row r="71" spans="1:5" ht="13.5" thickBot="1">
      <c r="A71" s="2985" t="s">
        <v>1397</v>
      </c>
      <c r="B71" s="2368" t="s">
        <v>1398</v>
      </c>
      <c r="C71" s="2985">
        <v>12</v>
      </c>
      <c r="D71" s="3814" t="s">
        <v>1399</v>
      </c>
      <c r="E71" s="3815">
        <v>2</v>
      </c>
    </row>
    <row r="72" spans="1:5" ht="13.5" thickTop="1">
      <c r="A72" s="2246" t="s">
        <v>314</v>
      </c>
      <c r="B72" s="2990">
        <v>1</v>
      </c>
      <c r="C72" s="2145" t="s">
        <v>2</v>
      </c>
      <c r="D72" s="2990">
        <v>900</v>
      </c>
      <c r="E72" s="3011">
        <f>ROUND(B72*D72,2)</f>
        <v>900</v>
      </c>
    </row>
    <row r="73" spans="1:5">
      <c r="A73" s="2068" t="s">
        <v>1400</v>
      </c>
      <c r="B73" s="2831">
        <v>1</v>
      </c>
      <c r="C73" s="2146" t="s">
        <v>2</v>
      </c>
      <c r="D73" s="2831">
        <f>3*54.9166666666667</f>
        <v>164.75</v>
      </c>
      <c r="E73" s="2992">
        <f>ROUND(B73*D73,2)</f>
        <v>164.75</v>
      </c>
    </row>
    <row r="74" spans="1:5">
      <c r="A74" s="3816" t="s">
        <v>1401</v>
      </c>
      <c r="B74" s="2831">
        <v>3</v>
      </c>
      <c r="C74" s="2146" t="s">
        <v>46</v>
      </c>
      <c r="D74" s="2831">
        <f>E73</f>
        <v>164.75</v>
      </c>
      <c r="E74" s="2992">
        <f>ROUND(B74*D74,2)/100</f>
        <v>4.9400000000000004</v>
      </c>
    </row>
    <row r="75" spans="1:5" ht="13.5" thickBot="1">
      <c r="A75" s="2099"/>
      <c r="B75" s="2993"/>
      <c r="C75" s="2105"/>
      <c r="D75" s="2994" t="s">
        <v>1402</v>
      </c>
      <c r="E75" s="2995">
        <f>SUM(E72:E74)</f>
        <v>1069.69</v>
      </c>
    </row>
    <row r="76" spans="1:5" ht="13.5" thickTop="1">
      <c r="A76" s="3792"/>
      <c r="B76" s="3768"/>
      <c r="C76" s="3767"/>
      <c r="D76" s="3768"/>
      <c r="E76" s="3817"/>
    </row>
    <row r="77" spans="1:5" ht="13.5" thickBot="1">
      <c r="A77" s="4933" t="s">
        <v>1403</v>
      </c>
      <c r="B77" s="4933"/>
      <c r="C77" s="4933"/>
      <c r="D77" s="4933"/>
      <c r="E77" s="4933"/>
    </row>
    <row r="78" spans="1:5" ht="13.5" thickTop="1">
      <c r="A78" s="2246" t="s">
        <v>1404</v>
      </c>
      <c r="B78" s="2990">
        <v>1</v>
      </c>
      <c r="C78" s="2145" t="s">
        <v>47</v>
      </c>
      <c r="D78" s="2990">
        <v>1229.5999999999999</v>
      </c>
      <c r="E78" s="3011">
        <f>ROUND(B78*D78,2)</f>
        <v>1229.5999999999999</v>
      </c>
    </row>
    <row r="79" spans="1:5">
      <c r="A79" s="2068" t="s">
        <v>1405</v>
      </c>
      <c r="B79" s="2831">
        <v>3.2</v>
      </c>
      <c r="C79" s="2146" t="s">
        <v>1406</v>
      </c>
      <c r="D79" s="2831">
        <v>193.5</v>
      </c>
      <c r="E79" s="2992">
        <f>ROUND(B79*D79,2)</f>
        <v>619.20000000000005</v>
      </c>
    </row>
    <row r="80" spans="1:5">
      <c r="A80" s="2068" t="s">
        <v>1407</v>
      </c>
      <c r="B80" s="2831">
        <v>20</v>
      </c>
      <c r="C80" s="2146" t="s">
        <v>46</v>
      </c>
      <c r="D80" s="2831">
        <f>E79</f>
        <v>619.20000000000005</v>
      </c>
      <c r="E80" s="2992">
        <f>ROUND(B80*D80,2)/100</f>
        <v>123.84</v>
      </c>
    </row>
    <row r="81" spans="1:5">
      <c r="A81" s="2068" t="s">
        <v>1408</v>
      </c>
      <c r="B81" s="2831">
        <v>1</v>
      </c>
      <c r="C81" s="2146" t="s">
        <v>47</v>
      </c>
      <c r="D81" s="2831">
        <v>162.5</v>
      </c>
      <c r="E81" s="2992">
        <f>ROUND(B81*D81,2)</f>
        <v>162.5</v>
      </c>
    </row>
    <row r="82" spans="1:5">
      <c r="A82" s="2068"/>
      <c r="B82" s="2831"/>
      <c r="C82" s="2146"/>
      <c r="D82" s="3818" t="s">
        <v>1409</v>
      </c>
      <c r="E82" s="3819">
        <f>SUM(E78:E81)</f>
        <v>2135.14</v>
      </c>
    </row>
    <row r="83" spans="1:5" ht="13.5" thickBot="1">
      <c r="A83" s="2099" t="s">
        <v>297</v>
      </c>
      <c r="B83" s="2993">
        <v>14.07</v>
      </c>
      <c r="C83" s="2105" t="s">
        <v>1410</v>
      </c>
      <c r="D83" s="2994" t="s">
        <v>1402</v>
      </c>
      <c r="E83" s="3820">
        <f>ROUND(E82/B83,2)</f>
        <v>151.75</v>
      </c>
    </row>
    <row r="84" spans="1:5" ht="13.5" thickTop="1">
      <c r="A84" s="3813"/>
      <c r="B84" s="3768"/>
      <c r="C84" s="3767"/>
      <c r="D84" s="3768"/>
      <c r="E84" s="3768"/>
    </row>
    <row r="85" spans="1:5" ht="13.5" thickBot="1">
      <c r="A85" s="4933" t="s">
        <v>428</v>
      </c>
      <c r="B85" s="4933"/>
      <c r="C85" s="4933"/>
      <c r="D85" s="4933"/>
      <c r="E85" s="4933"/>
    </row>
    <row r="86" spans="1:5" ht="13.5" thickTop="1">
      <c r="A86" s="2246" t="s">
        <v>1404</v>
      </c>
      <c r="B86" s="2990">
        <v>1</v>
      </c>
      <c r="C86" s="2145" t="s">
        <v>47</v>
      </c>
      <c r="D86" s="2990">
        <v>1229.5999999999999</v>
      </c>
      <c r="E86" s="3011">
        <f>ROUND(B86*D86,2)</f>
        <v>1229.5999999999999</v>
      </c>
    </row>
    <row r="87" spans="1:5">
      <c r="A87" s="2068" t="s">
        <v>1405</v>
      </c>
      <c r="B87" s="2831">
        <v>3.2</v>
      </c>
      <c r="C87" s="2146" t="s">
        <v>1406</v>
      </c>
      <c r="D87" s="2831">
        <v>193.5</v>
      </c>
      <c r="E87" s="2992">
        <f>ROUND(B87*D87,2)</f>
        <v>619.20000000000005</v>
      </c>
    </row>
    <row r="88" spans="1:5">
      <c r="A88" s="2068" t="s">
        <v>1407</v>
      </c>
      <c r="B88" s="2831">
        <v>20</v>
      </c>
      <c r="C88" s="2146" t="s">
        <v>46</v>
      </c>
      <c r="D88" s="2831">
        <f>E87</f>
        <v>619.20000000000005</v>
      </c>
      <c r="E88" s="2992">
        <f>ROUND(B88*D88,2)/100</f>
        <v>123.84</v>
      </c>
    </row>
    <row r="89" spans="1:5">
      <c r="A89" s="2068" t="s">
        <v>1411</v>
      </c>
      <c r="B89" s="2831">
        <v>1</v>
      </c>
      <c r="C89" s="2146" t="s">
        <v>47</v>
      </c>
      <c r="D89" s="2831">
        <v>162.5</v>
      </c>
      <c r="E89" s="2992">
        <f>ROUND(B89*D89,2)</f>
        <v>162.5</v>
      </c>
    </row>
    <row r="90" spans="1:5">
      <c r="A90" s="2068"/>
      <c r="B90" s="2831"/>
      <c r="C90" s="2146"/>
      <c r="D90" s="3818" t="s">
        <v>1409</v>
      </c>
      <c r="E90" s="3819">
        <f>SUM(E86:E89)</f>
        <v>2135.14</v>
      </c>
    </row>
    <row r="91" spans="1:5" ht="13.5" thickBot="1">
      <c r="A91" s="2099" t="s">
        <v>297</v>
      </c>
      <c r="B91" s="2993">
        <f>90*0.6</f>
        <v>54</v>
      </c>
      <c r="C91" s="2105" t="s">
        <v>1412</v>
      </c>
      <c r="D91" s="2994" t="s">
        <v>1402</v>
      </c>
      <c r="E91" s="3820">
        <f>ROUND(E90/B91,2)</f>
        <v>39.54</v>
      </c>
    </row>
    <row r="92" spans="1:5" ht="13.5" thickTop="1">
      <c r="A92" s="3792"/>
      <c r="B92" s="3821"/>
      <c r="C92" s="3767"/>
      <c r="D92" s="3821"/>
      <c r="E92" s="3821"/>
    </row>
    <row r="93" spans="1:5">
      <c r="A93" s="2985" t="s">
        <v>1413</v>
      </c>
      <c r="B93" s="2368" t="s">
        <v>1398</v>
      </c>
      <c r="C93" s="2985">
        <f>90*0.6</f>
        <v>54</v>
      </c>
      <c r="D93" s="3814" t="s">
        <v>1414</v>
      </c>
      <c r="E93" s="3815"/>
    </row>
    <row r="94" spans="1:5">
      <c r="A94" s="2068" t="s">
        <v>1415</v>
      </c>
      <c r="B94" s="2831">
        <v>1</v>
      </c>
      <c r="C94" s="2146" t="s">
        <v>148</v>
      </c>
      <c r="D94" s="2831">
        <v>1300</v>
      </c>
      <c r="E94" s="2992">
        <f>ROUND(B94*D94,2)</f>
        <v>1300</v>
      </c>
    </row>
    <row r="95" spans="1:5">
      <c r="A95" s="3816" t="s">
        <v>1401</v>
      </c>
      <c r="B95" s="2831">
        <v>3</v>
      </c>
      <c r="C95" s="2146" t="s">
        <v>46</v>
      </c>
      <c r="D95" s="2831">
        <f>E94</f>
        <v>1300</v>
      </c>
      <c r="E95" s="2992">
        <f>ROUND(B95*D95,2)/100</f>
        <v>39</v>
      </c>
    </row>
    <row r="96" spans="1:5" ht="13.5" thickBot="1">
      <c r="A96" s="2099"/>
      <c r="B96" s="2993"/>
      <c r="C96" s="2105"/>
      <c r="D96" s="2994" t="s">
        <v>1416</v>
      </c>
      <c r="E96" s="2995">
        <f>SUM(E94:E95)</f>
        <v>1339</v>
      </c>
    </row>
    <row r="97" spans="1:5" ht="14.25" thickTop="1" thickBot="1">
      <c r="A97" s="3792"/>
      <c r="B97" s="3768"/>
      <c r="C97" s="3767"/>
      <c r="D97" s="2994" t="s">
        <v>1417</v>
      </c>
      <c r="E97" s="2995">
        <f>E96/C93</f>
        <v>24.8</v>
      </c>
    </row>
    <row r="98" spans="1:5" ht="13.5" thickTop="1">
      <c r="A98" s="3813"/>
      <c r="B98" s="3768"/>
      <c r="C98" s="3767"/>
      <c r="D98" s="3768"/>
      <c r="E98" s="3768"/>
    </row>
    <row r="99" spans="1:5" ht="13.5" thickBot="1">
      <c r="A99" s="4933" t="s">
        <v>1418</v>
      </c>
      <c r="B99" s="4933"/>
      <c r="C99" s="4933"/>
      <c r="D99" s="4933"/>
      <c r="E99" s="4933"/>
    </row>
    <row r="100" spans="1:5" ht="13.5" thickTop="1">
      <c r="A100" s="1561" t="s">
        <v>1405</v>
      </c>
      <c r="B100" s="1562">
        <v>12</v>
      </c>
      <c r="C100" s="1563" t="s">
        <v>292</v>
      </c>
      <c r="D100" s="1564">
        <v>193.5</v>
      </c>
      <c r="E100" s="3011">
        <f>ROUND(B100*D100,2)</f>
        <v>2322</v>
      </c>
    </row>
    <row r="101" spans="1:5">
      <c r="A101" s="1565" t="s">
        <v>1419</v>
      </c>
      <c r="B101" s="1566">
        <v>20</v>
      </c>
      <c r="C101" s="1567" t="s">
        <v>46</v>
      </c>
      <c r="D101" s="1568">
        <f>E100</f>
        <v>2322</v>
      </c>
      <c r="E101" s="2992">
        <f>ROUND(B101*D101,2)/100</f>
        <v>464.4</v>
      </c>
    </row>
    <row r="102" spans="1:5">
      <c r="A102" s="1569" t="s">
        <v>385</v>
      </c>
      <c r="B102" s="1566">
        <v>1</v>
      </c>
      <c r="C102" s="1567" t="s">
        <v>47</v>
      </c>
      <c r="D102" s="1568">
        <v>162.5</v>
      </c>
      <c r="E102" s="2992">
        <f>ROUND(B102*D102,2)</f>
        <v>162.5</v>
      </c>
    </row>
    <row r="103" spans="1:5" ht="13.5" thickBot="1">
      <c r="A103" s="1570" t="s">
        <v>1420</v>
      </c>
      <c r="B103" s="1571">
        <v>1</v>
      </c>
      <c r="C103" s="1572" t="s">
        <v>47</v>
      </c>
      <c r="D103" s="1573">
        <v>3888.82</v>
      </c>
      <c r="E103" s="2992">
        <f>ROUND(B103*D103,2)</f>
        <v>3888.82</v>
      </c>
    </row>
    <row r="104" spans="1:5" ht="13.5" thickTop="1">
      <c r="A104" s="3822"/>
      <c r="B104" s="3823"/>
      <c r="C104" s="3824"/>
      <c r="D104" s="1574" t="s">
        <v>1409</v>
      </c>
      <c r="E104" s="1575">
        <f>SUM(E100:E103)</f>
        <v>6837.72</v>
      </c>
    </row>
    <row r="105" spans="1:5" ht="13.5" thickBot="1">
      <c r="A105" s="2099" t="s">
        <v>297</v>
      </c>
      <c r="B105" s="2993">
        <v>112</v>
      </c>
      <c r="C105" s="3825" t="s">
        <v>337</v>
      </c>
      <c r="D105" s="2994" t="s">
        <v>1402</v>
      </c>
      <c r="E105" s="3820">
        <f>ROUND(E104/B105,2)</f>
        <v>61.05</v>
      </c>
    </row>
    <row r="106" spans="1:5" ht="13.5" thickTop="1">
      <c r="A106" s="3792"/>
      <c r="B106" s="3821"/>
      <c r="C106" s="3767"/>
      <c r="D106" s="3821"/>
      <c r="E106" s="3821"/>
    </row>
    <row r="107" spans="1:5">
      <c r="A107" s="3826" t="s">
        <v>382</v>
      </c>
      <c r="B107" s="3826"/>
      <c r="C107" s="3826"/>
      <c r="D107" s="3826"/>
      <c r="E107" s="3826"/>
    </row>
    <row r="108" spans="1:5">
      <c r="A108" s="3827"/>
      <c r="B108" s="3828" t="s">
        <v>286</v>
      </c>
      <c r="C108" s="3828" t="s">
        <v>287</v>
      </c>
      <c r="D108" s="3828" t="s">
        <v>288</v>
      </c>
      <c r="E108" s="3828" t="s">
        <v>289</v>
      </c>
    </row>
    <row r="109" spans="1:5">
      <c r="A109" s="3827" t="s">
        <v>383</v>
      </c>
      <c r="B109" s="3829">
        <v>1</v>
      </c>
      <c r="C109" s="3830" t="s">
        <v>12</v>
      </c>
      <c r="D109" s="3831">
        <v>1899.6</v>
      </c>
      <c r="E109" s="3829">
        <f>+D109*B109</f>
        <v>1899.6</v>
      </c>
    </row>
    <row r="110" spans="1:5">
      <c r="A110" s="3827" t="s">
        <v>384</v>
      </c>
      <c r="B110" s="3829">
        <v>5.2</v>
      </c>
      <c r="C110" s="3830" t="s">
        <v>292</v>
      </c>
      <c r="D110" s="3829">
        <f>+D100</f>
        <v>193.5</v>
      </c>
      <c r="E110" s="3829">
        <f>+D110*B110</f>
        <v>1006.2</v>
      </c>
    </row>
    <row r="111" spans="1:5">
      <c r="A111" s="3827" t="s">
        <v>293</v>
      </c>
      <c r="B111" s="3829">
        <v>0.2</v>
      </c>
      <c r="C111" s="3830" t="s">
        <v>46</v>
      </c>
      <c r="D111" s="3829">
        <f>E110</f>
        <v>1006.2</v>
      </c>
      <c r="E111" s="3829">
        <f>+D111*B111</f>
        <v>201.24</v>
      </c>
    </row>
    <row r="112" spans="1:5">
      <c r="A112" s="3827" t="s">
        <v>1421</v>
      </c>
      <c r="B112" s="3829">
        <v>1</v>
      </c>
      <c r="C112" s="3830" t="s">
        <v>12</v>
      </c>
      <c r="D112" s="3831">
        <f>1000/8</f>
        <v>125</v>
      </c>
      <c r="E112" s="3829">
        <f>+D112*B112</f>
        <v>125</v>
      </c>
    </row>
    <row r="113" spans="1:5">
      <c r="A113" s="3832"/>
      <c r="B113" s="3832"/>
      <c r="C113" s="3833"/>
      <c r="D113" s="3834" t="s">
        <v>222</v>
      </c>
      <c r="E113" s="3835">
        <f>SUM(E109:E112)</f>
        <v>3232.04</v>
      </c>
    </row>
    <row r="114" spans="1:5">
      <c r="A114" s="3832"/>
      <c r="B114" s="3832"/>
      <c r="C114" s="3832"/>
      <c r="D114" s="3832"/>
      <c r="E114" s="3832"/>
    </row>
    <row r="115" spans="1:5">
      <c r="A115" s="3832" t="s">
        <v>386</v>
      </c>
      <c r="B115" s="3836">
        <v>112</v>
      </c>
      <c r="C115" s="3832" t="s">
        <v>337</v>
      </c>
      <c r="D115" s="3832"/>
      <c r="E115" s="3832"/>
    </row>
    <row r="116" spans="1:5" ht="13.5" thickBot="1">
      <c r="A116" s="3832"/>
      <c r="B116" s="3832"/>
      <c r="C116" s="3832"/>
      <c r="D116" s="3832"/>
      <c r="E116" s="3832"/>
    </row>
    <row r="117" spans="1:5" ht="13.5" thickBot="1">
      <c r="A117" s="3832"/>
      <c r="B117" s="3832"/>
      <c r="C117" s="3832"/>
      <c r="D117" s="3837" t="s">
        <v>388</v>
      </c>
      <c r="E117" s="3838">
        <f>E113/B115</f>
        <v>28.86</v>
      </c>
    </row>
    <row r="118" spans="1:5">
      <c r="A118" s="3813"/>
      <c r="B118" s="3768"/>
      <c r="C118" s="3767"/>
      <c r="D118" s="3768"/>
      <c r="E118" s="3768"/>
    </row>
    <row r="119" spans="1:5">
      <c r="A119" s="3839" t="s">
        <v>399</v>
      </c>
      <c r="B119" s="3839"/>
      <c r="C119" s="3839"/>
      <c r="D119" s="3839"/>
      <c r="E119" s="3840"/>
    </row>
    <row r="120" spans="1:5">
      <c r="A120" s="3841"/>
      <c r="B120" s="3842" t="s">
        <v>286</v>
      </c>
      <c r="C120" s="3842" t="s">
        <v>287</v>
      </c>
      <c r="D120" s="3842" t="s">
        <v>288</v>
      </c>
      <c r="E120" s="3842" t="s">
        <v>289</v>
      </c>
    </row>
    <row r="121" spans="1:5">
      <c r="A121" s="3843" t="s">
        <v>1422</v>
      </c>
      <c r="B121" s="3844">
        <v>1</v>
      </c>
      <c r="C121" s="3845" t="s">
        <v>2</v>
      </c>
      <c r="D121" s="3844">
        <v>75</v>
      </c>
      <c r="E121" s="3846">
        <f>B121*D121</f>
        <v>75</v>
      </c>
    </row>
    <row r="122" spans="1:5">
      <c r="A122" s="3843" t="s">
        <v>402</v>
      </c>
      <c r="B122" s="3844">
        <v>15</v>
      </c>
      <c r="C122" s="3845" t="s">
        <v>127</v>
      </c>
      <c r="D122" s="3847">
        <v>20</v>
      </c>
      <c r="E122" s="3846">
        <f>B122*D122</f>
        <v>300</v>
      </c>
    </row>
    <row r="123" spans="1:5">
      <c r="A123" s="3843" t="s">
        <v>404</v>
      </c>
      <c r="B123" s="3844">
        <v>1</v>
      </c>
      <c r="C123" s="3845" t="s">
        <v>2</v>
      </c>
      <c r="D123" s="3847">
        <f>+E105</f>
        <v>61.05</v>
      </c>
      <c r="E123" s="3846">
        <f>B123*D123</f>
        <v>61.05</v>
      </c>
    </row>
    <row r="124" spans="1:5">
      <c r="A124" s="3843" t="s">
        <v>405</v>
      </c>
      <c r="B124" s="3844">
        <v>1</v>
      </c>
      <c r="C124" s="3845" t="s">
        <v>2</v>
      </c>
      <c r="D124" s="3844">
        <v>15</v>
      </c>
      <c r="E124" s="3846">
        <f>B124*D124</f>
        <v>15</v>
      </c>
    </row>
    <row r="125" spans="1:5">
      <c r="A125" s="3843" t="s">
        <v>406</v>
      </c>
      <c r="B125" s="3844">
        <v>1</v>
      </c>
      <c r="C125" s="3845" t="s">
        <v>2</v>
      </c>
      <c r="D125" s="3844">
        <f>+E117</f>
        <v>28.86</v>
      </c>
      <c r="E125" s="3846">
        <f>B125*D125</f>
        <v>28.86</v>
      </c>
    </row>
    <row r="126" spans="1:5">
      <c r="A126" s="3848" t="s">
        <v>398</v>
      </c>
      <c r="B126" s="3841"/>
      <c r="C126" s="3849"/>
      <c r="D126" s="3846"/>
      <c r="E126" s="3850">
        <f>SUM(E121:E125)</f>
        <v>479.91</v>
      </c>
    </row>
    <row r="127" spans="1:5">
      <c r="A127" s="3792"/>
      <c r="B127" s="3821"/>
      <c r="C127" s="3767"/>
      <c r="D127" s="3821"/>
      <c r="E127" s="3821"/>
    </row>
    <row r="128" spans="1:5" ht="13.5" thickBot="1">
      <c r="A128" s="659" t="s">
        <v>1423</v>
      </c>
      <c r="B128" s="656">
        <v>300</v>
      </c>
      <c r="C128" s="1909" t="s">
        <v>1</v>
      </c>
      <c r="D128" s="3851"/>
      <c r="E128" s="3851"/>
    </row>
    <row r="129" spans="1:5">
      <c r="A129" s="3852" t="s">
        <v>1424</v>
      </c>
      <c r="B129" s="3853"/>
      <c r="C129" s="3854"/>
      <c r="D129" s="3853"/>
      <c r="E129" s="3855"/>
    </row>
    <row r="130" spans="1:5">
      <c r="A130" s="3856" t="s">
        <v>1425</v>
      </c>
      <c r="B130" s="3857">
        <v>1</v>
      </c>
      <c r="C130" s="3858" t="s">
        <v>215</v>
      </c>
      <c r="D130" s="3857">
        <v>1300</v>
      </c>
      <c r="E130" s="3859">
        <f>ROUND((B130*D130),2)</f>
        <v>1300</v>
      </c>
    </row>
    <row r="131" spans="1:5">
      <c r="A131" s="3856" t="s">
        <v>1426</v>
      </c>
      <c r="B131" s="3857">
        <v>1</v>
      </c>
      <c r="C131" s="3858" t="s">
        <v>42</v>
      </c>
      <c r="D131" s="3857">
        <v>75</v>
      </c>
      <c r="E131" s="3859">
        <f>ROUND((B131*D131),2)</f>
        <v>75</v>
      </c>
    </row>
    <row r="132" spans="1:5">
      <c r="A132" s="3856" t="s">
        <v>1427</v>
      </c>
      <c r="B132" s="3857">
        <v>2</v>
      </c>
      <c r="C132" s="3858" t="s">
        <v>3</v>
      </c>
      <c r="D132" s="3857">
        <v>125</v>
      </c>
      <c r="E132" s="3859">
        <f>ROUND((B132*D132),2)</f>
        <v>250</v>
      </c>
    </row>
    <row r="133" spans="1:5">
      <c r="A133" s="3856"/>
      <c r="B133" s="3857"/>
      <c r="C133" s="3858"/>
      <c r="D133" s="3857"/>
      <c r="E133" s="3859"/>
    </row>
    <row r="134" spans="1:5">
      <c r="A134" s="3860" t="s">
        <v>1428</v>
      </c>
      <c r="B134" s="3857"/>
      <c r="C134" s="3858"/>
      <c r="D134" s="3857"/>
      <c r="E134" s="3859"/>
    </row>
    <row r="135" spans="1:5">
      <c r="A135" s="3856" t="s">
        <v>1429</v>
      </c>
      <c r="B135" s="3857">
        <v>4</v>
      </c>
      <c r="C135" s="3858" t="s">
        <v>3</v>
      </c>
      <c r="D135" s="3857">
        <v>185</v>
      </c>
      <c r="E135" s="3859">
        <f>ROUND((B135*D135),2)</f>
        <v>740</v>
      </c>
    </row>
    <row r="136" spans="1:5">
      <c r="A136" s="3856" t="s">
        <v>1430</v>
      </c>
      <c r="B136" s="3857">
        <v>1</v>
      </c>
      <c r="C136" s="3858" t="s">
        <v>3</v>
      </c>
      <c r="D136" s="3857">
        <v>465</v>
      </c>
      <c r="E136" s="3859">
        <f>ROUND((B136*D136),2)</f>
        <v>465</v>
      </c>
    </row>
    <row r="137" spans="1:5" ht="13.5" thickBot="1">
      <c r="A137" s="3861" t="s">
        <v>1431</v>
      </c>
      <c r="B137" s="3862">
        <v>60</v>
      </c>
      <c r="C137" s="3863" t="s">
        <v>800</v>
      </c>
      <c r="D137" s="3862">
        <v>22.5</v>
      </c>
      <c r="E137" s="3864">
        <f>ROUND((B137*D137),2)</f>
        <v>1350</v>
      </c>
    </row>
    <row r="138" spans="1:5">
      <c r="A138" s="1909"/>
      <c r="B138" s="656"/>
      <c r="C138" s="656"/>
      <c r="D138" s="3865" t="s">
        <v>1432</v>
      </c>
      <c r="E138" s="3866">
        <f>SUM(E129:E137)</f>
        <v>4180</v>
      </c>
    </row>
    <row r="139" spans="1:5">
      <c r="A139" s="3867" t="s">
        <v>386</v>
      </c>
      <c r="B139" s="656">
        <v>300</v>
      </c>
      <c r="C139" s="656" t="s">
        <v>1</v>
      </c>
      <c r="D139" s="2659" t="s">
        <v>1433</v>
      </c>
      <c r="E139" s="3866">
        <f>ROUND(E138/B128,2)</f>
        <v>13.93</v>
      </c>
    </row>
    <row r="140" spans="1:5">
      <c r="A140" s="3792"/>
      <c r="B140" s="3821"/>
      <c r="C140" s="3767"/>
      <c r="D140" s="3821"/>
      <c r="E140" s="3821"/>
    </row>
    <row r="141" spans="1:5">
      <c r="A141" s="3792"/>
      <c r="B141" s="3821"/>
      <c r="C141" s="3767"/>
      <c r="D141" s="3821"/>
      <c r="E141" s="3821"/>
    </row>
    <row r="142" spans="1:5" ht="13.5" thickBot="1">
      <c r="A142" s="3868" t="s">
        <v>1434</v>
      </c>
      <c r="B142" s="2244"/>
      <c r="C142" s="2352"/>
      <c r="D142" s="2244"/>
      <c r="E142" s="2244"/>
    </row>
    <row r="143" spans="1:5" ht="13.5" thickTop="1">
      <c r="A143" s="2246" t="s">
        <v>130</v>
      </c>
      <c r="B143" s="2990">
        <v>1</v>
      </c>
      <c r="C143" s="2081" t="s">
        <v>2</v>
      </c>
      <c r="D143" s="3869">
        <v>1100</v>
      </c>
      <c r="E143" s="2991">
        <f>ROUND(B143*D143,2)</f>
        <v>1100</v>
      </c>
    </row>
    <row r="144" spans="1:5">
      <c r="A144" s="2068" t="s">
        <v>131</v>
      </c>
      <c r="B144" s="2831">
        <v>1</v>
      </c>
      <c r="C144" s="2083" t="s">
        <v>2</v>
      </c>
      <c r="D144" s="3870">
        <v>15</v>
      </c>
      <c r="E144" s="2992">
        <f>ROUND(B144*D144,2)</f>
        <v>15</v>
      </c>
    </row>
    <row r="145" spans="1:5" ht="13.5" thickBot="1">
      <c r="A145" s="3871"/>
      <c r="B145" s="3872"/>
      <c r="C145" s="3873"/>
      <c r="D145" s="3874" t="s">
        <v>315</v>
      </c>
      <c r="E145" s="3875">
        <f>SUM(E143:E144)</f>
        <v>1115</v>
      </c>
    </row>
    <row r="146" spans="1:5" ht="13.5" thickTop="1">
      <c r="A146" s="2352"/>
      <c r="B146" s="2244"/>
      <c r="C146" s="2226"/>
      <c r="D146" s="2244"/>
      <c r="E146" s="2244"/>
    </row>
    <row r="147" spans="1:5" ht="13.5" thickBot="1">
      <c r="A147" s="3868" t="s">
        <v>1435</v>
      </c>
      <c r="B147" s="2244"/>
      <c r="C147" s="2352"/>
      <c r="D147" s="2244"/>
      <c r="E147" s="2244"/>
    </row>
    <row r="148" spans="1:5" ht="13.5" thickTop="1">
      <c r="A148" s="2246" t="s">
        <v>130</v>
      </c>
      <c r="B148" s="2990">
        <v>1</v>
      </c>
      <c r="C148" s="2081" t="s">
        <v>2</v>
      </c>
      <c r="D148" s="3869">
        <v>1200</v>
      </c>
      <c r="E148" s="3011">
        <f>ROUND(B148*D148,2)</f>
        <v>1200</v>
      </c>
    </row>
    <row r="149" spans="1:5">
      <c r="A149" s="2068" t="s">
        <v>131</v>
      </c>
      <c r="B149" s="2831">
        <v>1</v>
      </c>
      <c r="C149" s="2083" t="s">
        <v>2</v>
      </c>
      <c r="D149" s="3870">
        <v>15</v>
      </c>
      <c r="E149" s="2992">
        <f>ROUND(B149*D149,2)</f>
        <v>15</v>
      </c>
    </row>
    <row r="150" spans="1:5" ht="13.5" thickBot="1">
      <c r="A150" s="2099"/>
      <c r="B150" s="3872"/>
      <c r="C150" s="3873"/>
      <c r="D150" s="3874" t="s">
        <v>315</v>
      </c>
      <c r="E150" s="2995">
        <f>SUM(E148:E149)</f>
        <v>1215</v>
      </c>
    </row>
    <row r="151" spans="1:5" ht="13.5" thickTop="1">
      <c r="A151" s="3792"/>
      <c r="B151" s="3821"/>
      <c r="C151" s="3767"/>
      <c r="D151" s="3821"/>
      <c r="E151" s="3821"/>
    </row>
    <row r="152" spans="1:5" ht="13.5" thickBot="1">
      <c r="A152" s="3868" t="s">
        <v>1436</v>
      </c>
      <c r="B152" s="2244"/>
      <c r="C152" s="2352"/>
      <c r="D152" s="2244"/>
      <c r="E152" s="2244"/>
    </row>
    <row r="153" spans="1:5" ht="13.5" thickTop="1">
      <c r="A153" s="2246" t="s">
        <v>122</v>
      </c>
      <c r="B153" s="2990">
        <v>0.45</v>
      </c>
      <c r="C153" s="3876" t="s">
        <v>2</v>
      </c>
      <c r="D153" s="3869">
        <f>+$E$145</f>
        <v>1115</v>
      </c>
      <c r="E153" s="3011">
        <f>ROUND(B153*D153,2)</f>
        <v>501.75</v>
      </c>
    </row>
    <row r="154" spans="1:5">
      <c r="A154" s="2068" t="s">
        <v>124</v>
      </c>
      <c r="B154" s="2831">
        <v>0.9</v>
      </c>
      <c r="C154" s="3877" t="s">
        <v>2</v>
      </c>
      <c r="D154" s="3870">
        <f>+$E$151</f>
        <v>0</v>
      </c>
      <c r="E154" s="2992">
        <f>ROUND(B154*D154,2)</f>
        <v>0</v>
      </c>
    </row>
    <row r="155" spans="1:5">
      <c r="A155" s="2068" t="s">
        <v>135</v>
      </c>
      <c r="B155" s="2831">
        <v>15</v>
      </c>
      <c r="C155" s="3877" t="s">
        <v>144</v>
      </c>
      <c r="D155" s="3870">
        <v>325</v>
      </c>
      <c r="E155" s="2992">
        <f>ROUND(B155*D155,2)</f>
        <v>4875</v>
      </c>
    </row>
    <row r="156" spans="1:5">
      <c r="A156" s="2068" t="s">
        <v>117</v>
      </c>
      <c r="B156" s="2831">
        <v>60</v>
      </c>
      <c r="C156" s="3877" t="s">
        <v>138</v>
      </c>
      <c r="D156" s="3870">
        <v>2.5</v>
      </c>
      <c r="E156" s="2992">
        <f>ROUND(B156*D156,2)</f>
        <v>150</v>
      </c>
    </row>
    <row r="157" spans="1:5">
      <c r="A157" s="2068" t="s">
        <v>139</v>
      </c>
      <c r="B157" s="2831">
        <v>1</v>
      </c>
      <c r="C157" s="3877" t="s">
        <v>2</v>
      </c>
      <c r="D157" s="3870">
        <v>950</v>
      </c>
      <c r="E157" s="2992">
        <f>ROUND(B157*D157,2)</f>
        <v>950</v>
      </c>
    </row>
    <row r="158" spans="1:5">
      <c r="A158" s="2068" t="s">
        <v>140</v>
      </c>
      <c r="B158" s="2831"/>
      <c r="C158" s="3877"/>
      <c r="D158" s="2831"/>
      <c r="E158" s="3878">
        <f>+SUM(E153:E156)*0.02</f>
        <v>110.54</v>
      </c>
    </row>
    <row r="159" spans="1:5" ht="13.5" thickBot="1">
      <c r="A159" s="2099"/>
      <c r="B159" s="2993"/>
      <c r="C159" s="3879"/>
      <c r="D159" s="3880" t="s">
        <v>1031</v>
      </c>
      <c r="E159" s="3881">
        <f>SUM(E153:E158)</f>
        <v>6587.29</v>
      </c>
    </row>
    <row r="160" spans="1:5" ht="13.5" thickTop="1">
      <c r="A160" s="3792"/>
      <c r="B160" s="3821"/>
      <c r="C160" s="3767"/>
      <c r="D160" s="3821"/>
      <c r="E160" s="3821"/>
    </row>
    <row r="161" spans="1:5" ht="13.5" thickBot="1">
      <c r="A161" s="3868" t="s">
        <v>1437</v>
      </c>
      <c r="B161" s="2244"/>
      <c r="C161" s="2352"/>
      <c r="D161" s="2244"/>
      <c r="E161" s="2244"/>
    </row>
    <row r="162" spans="1:5" ht="13.5" thickTop="1">
      <c r="A162" s="2246" t="s">
        <v>122</v>
      </c>
      <c r="B162" s="2990">
        <v>0.45</v>
      </c>
      <c r="C162" s="3876" t="s">
        <v>2</v>
      </c>
      <c r="D162" s="3869">
        <f>+$E$146</f>
        <v>0</v>
      </c>
      <c r="E162" s="3011">
        <f>ROUND(B162*D162,2)</f>
        <v>0</v>
      </c>
    </row>
    <row r="163" spans="1:5" ht="13.5" thickBot="1">
      <c r="A163" s="2068" t="s">
        <v>124</v>
      </c>
      <c r="B163" s="2831">
        <v>0.9</v>
      </c>
      <c r="C163" s="3877" t="s">
        <v>2</v>
      </c>
      <c r="D163" s="3870">
        <f>+$E$151</f>
        <v>0</v>
      </c>
      <c r="E163" s="2992">
        <f>ROUND(B163*D163,2)</f>
        <v>0</v>
      </c>
    </row>
    <row r="164" spans="1:5" ht="14.25" thickTop="1" thickBot="1">
      <c r="A164" s="2068" t="s">
        <v>135</v>
      </c>
      <c r="B164" s="2831">
        <v>13</v>
      </c>
      <c r="C164" s="3877" t="s">
        <v>144</v>
      </c>
      <c r="D164" s="3869">
        <f>+D155</f>
        <v>325</v>
      </c>
      <c r="E164" s="2992">
        <f>ROUND(B164*D164,2)</f>
        <v>4225</v>
      </c>
    </row>
    <row r="165" spans="1:5" ht="14.25" thickTop="1" thickBot="1">
      <c r="A165" s="2068" t="s">
        <v>117</v>
      </c>
      <c r="B165" s="2831">
        <v>60</v>
      </c>
      <c r="C165" s="3877" t="s">
        <v>138</v>
      </c>
      <c r="D165" s="3869">
        <f>+D156</f>
        <v>2.5</v>
      </c>
      <c r="E165" s="2992">
        <f>ROUND(B165*D165,2)</f>
        <v>150</v>
      </c>
    </row>
    <row r="166" spans="1:5" ht="13.5" thickTop="1">
      <c r="A166" s="2068" t="s">
        <v>139</v>
      </c>
      <c r="B166" s="2831">
        <v>1</v>
      </c>
      <c r="C166" s="3877" t="s">
        <v>2</v>
      </c>
      <c r="D166" s="3869">
        <f>+D157</f>
        <v>950</v>
      </c>
      <c r="E166" s="2992">
        <f>ROUND(B166*D166,2)</f>
        <v>950</v>
      </c>
    </row>
    <row r="167" spans="1:5">
      <c r="A167" s="2068" t="s">
        <v>140</v>
      </c>
      <c r="B167" s="2831"/>
      <c r="C167" s="3877"/>
      <c r="D167" s="2831"/>
      <c r="E167" s="3878">
        <f>SUM(E162+E163+E164+E165)*0.02</f>
        <v>87.5</v>
      </c>
    </row>
    <row r="168" spans="1:5" ht="13.5" thickBot="1">
      <c r="A168" s="2099"/>
      <c r="B168" s="2993"/>
      <c r="C168" s="3879"/>
      <c r="D168" s="3880" t="s">
        <v>1031</v>
      </c>
      <c r="E168" s="3881">
        <f>SUM(E162:E167)</f>
        <v>5412.5</v>
      </c>
    </row>
    <row r="169" spans="1:5" ht="13.5" thickTop="1">
      <c r="A169" s="3792"/>
      <c r="B169" s="3821"/>
      <c r="C169" s="3767"/>
      <c r="D169" s="3821"/>
      <c r="E169" s="3821"/>
    </row>
    <row r="170" spans="1:5" ht="13.5" thickBot="1">
      <c r="A170" s="3868" t="s">
        <v>1438</v>
      </c>
      <c r="B170" s="2244"/>
      <c r="C170" s="2352"/>
      <c r="D170" s="2244"/>
      <c r="E170" s="2244"/>
    </row>
    <row r="171" spans="1:5" ht="13.5" thickTop="1">
      <c r="A171" s="2246" t="s">
        <v>122</v>
      </c>
      <c r="B171" s="2990">
        <v>0.45</v>
      </c>
      <c r="C171" s="3876" t="s">
        <v>2</v>
      </c>
      <c r="D171" s="3869">
        <f>+$E$146</f>
        <v>0</v>
      </c>
      <c r="E171" s="3011">
        <f>ROUND(B171*D171,2)</f>
        <v>0</v>
      </c>
    </row>
    <row r="172" spans="1:5" ht="13.5" thickBot="1">
      <c r="A172" s="2068" t="s">
        <v>124</v>
      </c>
      <c r="B172" s="2831">
        <v>0.9</v>
      </c>
      <c r="C172" s="3877" t="s">
        <v>2</v>
      </c>
      <c r="D172" s="3870">
        <f>+$E$151</f>
        <v>0</v>
      </c>
      <c r="E172" s="2992">
        <f>ROUND(B172*D172,2)</f>
        <v>0</v>
      </c>
    </row>
    <row r="173" spans="1:5" ht="14.25" thickTop="1" thickBot="1">
      <c r="A173" s="2068" t="s">
        <v>135</v>
      </c>
      <c r="B173" s="2831">
        <v>9</v>
      </c>
      <c r="C173" s="3877" t="s">
        <v>144</v>
      </c>
      <c r="D173" s="3869">
        <f>+D164</f>
        <v>325</v>
      </c>
      <c r="E173" s="2992">
        <f>ROUND(B173*D173,2)</f>
        <v>2925</v>
      </c>
    </row>
    <row r="174" spans="1:5" ht="14.25" thickTop="1" thickBot="1">
      <c r="A174" s="2068" t="s">
        <v>117</v>
      </c>
      <c r="B174" s="2831">
        <v>60</v>
      </c>
      <c r="C174" s="3877" t="s">
        <v>138</v>
      </c>
      <c r="D174" s="3869">
        <f>+D165</f>
        <v>2.5</v>
      </c>
      <c r="E174" s="2992">
        <f>ROUND(B174*D174,2)</f>
        <v>150</v>
      </c>
    </row>
    <row r="175" spans="1:5" ht="13.5" thickTop="1">
      <c r="A175" s="2068" t="s">
        <v>139</v>
      </c>
      <c r="B175" s="2831">
        <v>1</v>
      </c>
      <c r="C175" s="3877" t="s">
        <v>2</v>
      </c>
      <c r="D175" s="3869">
        <f>+D166</f>
        <v>950</v>
      </c>
      <c r="E175" s="2992">
        <f>ROUND(B175*D175,2)</f>
        <v>950</v>
      </c>
    </row>
    <row r="176" spans="1:5">
      <c r="A176" s="2068" t="s">
        <v>140</v>
      </c>
      <c r="B176" s="2831"/>
      <c r="C176" s="3877"/>
      <c r="D176" s="2831"/>
      <c r="E176" s="3878">
        <f>SUM(E171+E172+E173+E174)*0.02</f>
        <v>61.5</v>
      </c>
    </row>
    <row r="177" spans="1:5" ht="13.5" thickBot="1">
      <c r="A177" s="2099"/>
      <c r="B177" s="2993"/>
      <c r="C177" s="3879"/>
      <c r="D177" s="3880" t="s">
        <v>1031</v>
      </c>
      <c r="E177" s="3881">
        <f>SUM(E171:E176)</f>
        <v>4086.5</v>
      </c>
    </row>
    <row r="178" spans="1:5" ht="13.5" thickTop="1">
      <c r="A178" s="3792"/>
      <c r="B178" s="3821"/>
      <c r="C178" s="3767"/>
      <c r="D178" s="3821"/>
      <c r="E178" s="3821"/>
    </row>
    <row r="179" spans="1:5" ht="13.5" thickBot="1">
      <c r="A179" s="3868" t="s">
        <v>143</v>
      </c>
      <c r="B179" s="2244"/>
      <c r="C179" s="2352"/>
      <c r="D179" s="2244"/>
      <c r="E179" s="2244"/>
    </row>
    <row r="180" spans="1:5" ht="13.5" thickTop="1">
      <c r="A180" s="2246" t="s">
        <v>122</v>
      </c>
      <c r="B180" s="2990">
        <v>0.52</v>
      </c>
      <c r="C180" s="3876" t="s">
        <v>2</v>
      </c>
      <c r="D180" s="3869">
        <f>+$E$146</f>
        <v>0</v>
      </c>
      <c r="E180" s="3011">
        <f>ROUND(B180*D180,2)</f>
        <v>0</v>
      </c>
    </row>
    <row r="181" spans="1:5">
      <c r="A181" s="2068" t="s">
        <v>124</v>
      </c>
      <c r="B181" s="2831">
        <v>0.85</v>
      </c>
      <c r="C181" s="3877" t="s">
        <v>2</v>
      </c>
      <c r="D181" s="3870">
        <f>+$E$151</f>
        <v>0</v>
      </c>
      <c r="E181" s="2992">
        <f>ROUND(B181*D181,2)</f>
        <v>0</v>
      </c>
    </row>
    <row r="182" spans="1:5">
      <c r="A182" s="2068" t="s">
        <v>135</v>
      </c>
      <c r="B182" s="2831">
        <v>7</v>
      </c>
      <c r="C182" s="3877" t="s">
        <v>144</v>
      </c>
      <c r="D182" s="2831">
        <f>+D155</f>
        <v>325</v>
      </c>
      <c r="E182" s="2992">
        <f>ROUND(B182*D182,2)</f>
        <v>2275</v>
      </c>
    </row>
    <row r="183" spans="1:5">
      <c r="A183" s="2068" t="s">
        <v>117</v>
      </c>
      <c r="B183" s="2831">
        <v>60</v>
      </c>
      <c r="C183" s="3877" t="s">
        <v>138</v>
      </c>
      <c r="D183" s="2831">
        <f>+D156</f>
        <v>2.5</v>
      </c>
      <c r="E183" s="2992">
        <f>ROUND(B183*D183,2)</f>
        <v>150</v>
      </c>
    </row>
    <row r="184" spans="1:5">
      <c r="A184" s="2068" t="s">
        <v>139</v>
      </c>
      <c r="B184" s="2831">
        <v>1</v>
      </c>
      <c r="C184" s="3877" t="s">
        <v>2</v>
      </c>
      <c r="D184" s="2831">
        <v>950</v>
      </c>
      <c r="E184" s="2992">
        <f>ROUND(B184*D184,2)</f>
        <v>950</v>
      </c>
    </row>
    <row r="185" spans="1:5">
      <c r="A185" s="2068" t="s">
        <v>140</v>
      </c>
      <c r="B185" s="2831"/>
      <c r="C185" s="3877"/>
      <c r="D185" s="2831"/>
      <c r="E185" s="3878">
        <f>SUM(E180+E181+E182+E183)*0.02</f>
        <v>48.5</v>
      </c>
    </row>
    <row r="186" spans="1:5" ht="13.5" thickBot="1">
      <c r="A186" s="2099"/>
      <c r="B186" s="2993"/>
      <c r="C186" s="3879"/>
      <c r="D186" s="3880" t="s">
        <v>1031</v>
      </c>
      <c r="E186" s="3881">
        <f>SUM(E180:E185)</f>
        <v>3423.5</v>
      </c>
    </row>
    <row r="187" spans="1:5" ht="13.5" thickTop="1">
      <c r="A187" s="2147"/>
      <c r="B187" s="2225"/>
      <c r="C187" s="2226"/>
      <c r="D187" s="2227" t="s">
        <v>1439</v>
      </c>
      <c r="E187" s="2227">
        <f>E186*1.05</f>
        <v>3594.68</v>
      </c>
    </row>
    <row r="188" spans="1:5">
      <c r="A188" s="3792"/>
      <c r="B188" s="3821"/>
      <c r="C188" s="3767"/>
      <c r="D188" s="3821"/>
      <c r="E188" s="3821"/>
    </row>
    <row r="189" spans="1:5">
      <c r="A189" s="3792"/>
      <c r="B189" s="3821"/>
      <c r="C189" s="3767"/>
      <c r="D189" s="3821"/>
      <c r="E189" s="3821"/>
    </row>
    <row r="190" spans="1:5">
      <c r="A190" s="3792"/>
      <c r="B190" s="3821"/>
      <c r="C190" s="3767"/>
      <c r="D190" s="3821"/>
      <c r="E190" s="3821"/>
    </row>
    <row r="191" spans="1:5">
      <c r="A191" s="3792"/>
      <c r="B191" s="3821"/>
      <c r="C191" s="3767"/>
      <c r="D191" s="3821"/>
      <c r="E191" s="3821"/>
    </row>
    <row r="192" spans="1:5">
      <c r="A192" s="3792"/>
      <c r="B192" s="3821"/>
      <c r="C192" s="3767"/>
      <c r="D192" s="3821"/>
      <c r="E192" s="3821"/>
    </row>
    <row r="193" spans="1:5">
      <c r="A193" s="3792"/>
      <c r="B193" s="3821"/>
      <c r="C193" s="3767"/>
      <c r="D193" s="3821"/>
      <c r="E193" s="3821"/>
    </row>
    <row r="194" spans="1:5">
      <c r="A194" s="3792"/>
      <c r="B194" s="3821"/>
      <c r="C194" s="3767"/>
      <c r="D194" s="3821"/>
      <c r="E194" s="3821"/>
    </row>
    <row r="195" spans="1:5">
      <c r="A195" s="3792"/>
      <c r="B195" s="3821"/>
      <c r="C195" s="3767"/>
      <c r="D195" s="3821"/>
      <c r="E195" s="3821"/>
    </row>
    <row r="196" spans="1:5">
      <c r="A196" s="3792"/>
      <c r="B196" s="3821"/>
      <c r="C196" s="3767"/>
      <c r="D196" s="3821"/>
      <c r="E196" s="3821"/>
    </row>
    <row r="197" spans="1:5">
      <c r="A197" s="3792"/>
      <c r="B197" s="3821"/>
      <c r="C197" s="3767"/>
      <c r="D197" s="3821"/>
      <c r="E197" s="3821"/>
    </row>
    <row r="198" spans="1:5">
      <c r="A198" s="3792"/>
      <c r="B198" s="3821"/>
      <c r="C198" s="3767"/>
      <c r="D198" s="3821"/>
      <c r="E198" s="3821"/>
    </row>
    <row r="199" spans="1:5">
      <c r="A199" s="3792"/>
      <c r="B199" s="3821"/>
      <c r="C199" s="3767"/>
      <c r="D199" s="3821"/>
      <c r="E199" s="3821"/>
    </row>
    <row r="200" spans="1:5" ht="13.5" thickBot="1">
      <c r="A200" s="2147" t="s">
        <v>1440</v>
      </c>
      <c r="B200" s="2225"/>
      <c r="C200" s="2352"/>
      <c r="D200" s="2227"/>
      <c r="E200" s="2227"/>
    </row>
    <row r="201" spans="1:5" ht="13.5" thickTop="1">
      <c r="A201" s="2246" t="s">
        <v>181</v>
      </c>
      <c r="B201" s="2990">
        <v>1</v>
      </c>
      <c r="C201" s="3876" t="s">
        <v>126</v>
      </c>
      <c r="D201" s="2990">
        <v>2500</v>
      </c>
      <c r="E201" s="3011">
        <f>ROUND(B201*D201,2)</f>
        <v>2500</v>
      </c>
    </row>
    <row r="202" spans="1:5">
      <c r="A202" s="2068" t="s">
        <v>1044</v>
      </c>
      <c r="B202" s="2831">
        <v>2</v>
      </c>
      <c r="C202" s="3877" t="s">
        <v>183</v>
      </c>
      <c r="D202" s="2831">
        <v>45</v>
      </c>
      <c r="E202" s="2992">
        <f>ROUND(B202*D202,2)</f>
        <v>90</v>
      </c>
    </row>
    <row r="203" spans="1:5" ht="13.5" thickBot="1">
      <c r="A203" s="2099"/>
      <c r="B203" s="2993"/>
      <c r="C203" s="3882"/>
      <c r="D203" s="3880" t="s">
        <v>1031</v>
      </c>
      <c r="E203" s="3881">
        <f>SUM(E201:E202)</f>
        <v>2590</v>
      </c>
    </row>
    <row r="204" spans="1:5" ht="13.5" thickTop="1">
      <c r="A204" s="2070"/>
      <c r="B204" s="2225"/>
      <c r="C204" s="2070"/>
      <c r="D204" s="2225"/>
      <c r="E204" s="2227"/>
    </row>
    <row r="205" spans="1:5" ht="13.5" thickBot="1">
      <c r="A205" s="2147" t="s">
        <v>180</v>
      </c>
      <c r="B205" s="2225"/>
      <c r="C205" s="3883"/>
      <c r="D205" s="2227"/>
      <c r="E205" s="2227"/>
    </row>
    <row r="206" spans="1:5" ht="13.5" thickTop="1">
      <c r="A206" s="2246" t="s">
        <v>181</v>
      </c>
      <c r="B206" s="2990">
        <v>1</v>
      </c>
      <c r="C206" s="3876" t="s">
        <v>126</v>
      </c>
      <c r="D206" s="2990">
        <f>+D201</f>
        <v>2500</v>
      </c>
      <c r="E206" s="3011">
        <f>ROUND(B206*D206,2)</f>
        <v>2500</v>
      </c>
    </row>
    <row r="207" spans="1:5">
      <c r="A207" s="3884" t="s">
        <v>1043</v>
      </c>
      <c r="B207" s="2831">
        <v>1</v>
      </c>
      <c r="C207" s="3877" t="s">
        <v>126</v>
      </c>
      <c r="D207" s="2831">
        <v>285</v>
      </c>
      <c r="E207" s="2992">
        <f>ROUND(B207*D207,2)</f>
        <v>285</v>
      </c>
    </row>
    <row r="208" spans="1:5">
      <c r="A208" s="2068" t="s">
        <v>1044</v>
      </c>
      <c r="B208" s="2831">
        <v>2</v>
      </c>
      <c r="C208" s="3877" t="s">
        <v>183</v>
      </c>
      <c r="D208" s="2831">
        <v>45</v>
      </c>
      <c r="E208" s="2992">
        <f>ROUND(B208*D208,2)</f>
        <v>90</v>
      </c>
    </row>
    <row r="209" spans="1:5" ht="13.5" thickBot="1">
      <c r="A209" s="2099"/>
      <c r="B209" s="2993"/>
      <c r="C209" s="3882"/>
      <c r="D209" s="3880" t="s">
        <v>1031</v>
      </c>
      <c r="E209" s="3881">
        <f>SUM(E206:E208)</f>
        <v>2875</v>
      </c>
    </row>
    <row r="210" spans="1:5" ht="13.5" thickTop="1">
      <c r="A210" s="3792"/>
      <c r="B210" s="3821"/>
      <c r="C210" s="3767"/>
      <c r="D210" s="3821"/>
      <c r="E210" s="3821"/>
    </row>
    <row r="211" spans="1:5" ht="24">
      <c r="A211" s="3885" t="s">
        <v>1441</v>
      </c>
      <c r="B211" s="3886"/>
      <c r="C211" s="3887"/>
      <c r="D211" s="3886"/>
      <c r="E211" s="3886"/>
    </row>
    <row r="212" spans="1:5">
      <c r="A212" s="3888"/>
      <c r="B212" s="3886"/>
      <c r="C212" s="3887"/>
      <c r="D212" s="3886"/>
      <c r="E212" s="3886"/>
    </row>
    <row r="213" spans="1:5" ht="13.5" thickBot="1">
      <c r="A213" s="2025" t="s">
        <v>1442</v>
      </c>
      <c r="B213" s="2244"/>
      <c r="C213" s="2352"/>
      <c r="D213" s="2244"/>
      <c r="E213" s="2244"/>
    </row>
    <row r="214" spans="1:5" ht="13.5" thickTop="1">
      <c r="A214" s="3007" t="s">
        <v>1443</v>
      </c>
      <c r="B214" s="3008">
        <v>1.05</v>
      </c>
      <c r="C214" s="3009" t="s">
        <v>2</v>
      </c>
      <c r="D214" s="3010">
        <f>+E168</f>
        <v>5412.5</v>
      </c>
      <c r="E214" s="3011">
        <f>ROUND(B214*D214,2)</f>
        <v>5683.13</v>
      </c>
    </row>
    <row r="215" spans="1:5">
      <c r="A215" s="3012" t="s">
        <v>272</v>
      </c>
      <c r="B215" s="3013">
        <v>1.07</v>
      </c>
      <c r="C215" s="3014" t="s">
        <v>126</v>
      </c>
      <c r="D215" s="3015">
        <f>+$E$204</f>
        <v>0</v>
      </c>
      <c r="E215" s="2992">
        <f>ROUND(B215*D215,2)</f>
        <v>0</v>
      </c>
    </row>
    <row r="216" spans="1:5">
      <c r="A216" s="3016" t="s">
        <v>1444</v>
      </c>
      <c r="B216" s="3017">
        <f>1/0.3</f>
        <v>3.33</v>
      </c>
      <c r="C216" s="3018" t="s">
        <v>1</v>
      </c>
      <c r="D216" s="3019">
        <v>100</v>
      </c>
      <c r="E216" s="2992">
        <f>ROUND(B216*D216,2)</f>
        <v>333</v>
      </c>
    </row>
    <row r="217" spans="1:5" ht="13.5" thickBot="1">
      <c r="A217" s="3020"/>
      <c r="B217" s="3021"/>
      <c r="C217" s="3021"/>
      <c r="D217" s="2994" t="s">
        <v>1402</v>
      </c>
      <c r="E217" s="3889">
        <f>SUM(E214:E216)</f>
        <v>6016.13</v>
      </c>
    </row>
    <row r="218" spans="1:5" ht="13.5" thickTop="1">
      <c r="A218" s="3888"/>
      <c r="B218" s="3886"/>
      <c r="C218" s="3887"/>
      <c r="D218" s="3886"/>
      <c r="E218" s="3886"/>
    </row>
    <row r="219" spans="1:5" ht="13.5" thickBot="1">
      <c r="A219" s="2025" t="s">
        <v>1445</v>
      </c>
      <c r="B219" s="2244"/>
      <c r="C219" s="2352"/>
      <c r="D219" s="2244"/>
      <c r="E219" s="2244"/>
    </row>
    <row r="220" spans="1:5" ht="13.5" thickTop="1">
      <c r="A220" s="3007" t="s">
        <v>1443</v>
      </c>
      <c r="B220" s="3008">
        <v>1.05</v>
      </c>
      <c r="C220" s="3009" t="s">
        <v>2</v>
      </c>
      <c r="D220" s="3010">
        <f>+D214</f>
        <v>5412.5</v>
      </c>
      <c r="E220" s="3011">
        <f>ROUND(B220*D220,2)</f>
        <v>5683.13</v>
      </c>
    </row>
    <row r="221" spans="1:5">
      <c r="A221" s="3012" t="s">
        <v>272</v>
      </c>
      <c r="B221" s="3013">
        <v>1.22</v>
      </c>
      <c r="C221" s="3014" t="s">
        <v>126</v>
      </c>
      <c r="D221" s="3015">
        <f>+$E$204</f>
        <v>0</v>
      </c>
      <c r="E221" s="2992">
        <f>ROUND(B221*D221,2)</f>
        <v>0</v>
      </c>
    </row>
    <row r="222" spans="1:5">
      <c r="A222" s="3016" t="s">
        <v>1444</v>
      </c>
      <c r="B222" s="3890">
        <f>1/0.35</f>
        <v>2.86</v>
      </c>
      <c r="C222" s="3018" t="s">
        <v>1</v>
      </c>
      <c r="D222" s="3019">
        <v>100</v>
      </c>
      <c r="E222" s="2992">
        <f>ROUND(B222*D222,2)</f>
        <v>286</v>
      </c>
    </row>
    <row r="223" spans="1:5" ht="13.5" thickBot="1">
      <c r="A223" s="3020"/>
      <c r="B223" s="3021"/>
      <c r="C223" s="3021"/>
      <c r="D223" s="2994" t="s">
        <v>1402</v>
      </c>
      <c r="E223" s="3889">
        <f>SUM(E220:E222)</f>
        <v>5969.13</v>
      </c>
    </row>
    <row r="224" spans="1:5" ht="13.5" thickTop="1">
      <c r="A224" s="3888"/>
      <c r="B224" s="3886"/>
      <c r="C224" s="3887"/>
      <c r="D224" s="3886"/>
      <c r="E224" s="3886"/>
    </row>
    <row r="225" spans="1:5" ht="13.5" thickBot="1">
      <c r="A225" s="2025" t="s">
        <v>1446</v>
      </c>
      <c r="B225" s="2244"/>
      <c r="C225" s="2352"/>
      <c r="D225" s="2244"/>
      <c r="E225" s="2244"/>
    </row>
    <row r="226" spans="1:5" ht="13.5" thickTop="1">
      <c r="A226" s="3007" t="s">
        <v>1447</v>
      </c>
      <c r="B226" s="3008">
        <v>1.05</v>
      </c>
      <c r="C226" s="3009" t="s">
        <v>2</v>
      </c>
      <c r="D226" s="3010">
        <f>+D220</f>
        <v>5412.5</v>
      </c>
      <c r="E226" s="3011">
        <f>ROUND(B226*D226,2)</f>
        <v>5683.13</v>
      </c>
    </row>
    <row r="227" spans="1:5">
      <c r="A227" s="3012" t="s">
        <v>272</v>
      </c>
      <c r="B227" s="3013">
        <v>1.51</v>
      </c>
      <c r="C227" s="3014" t="s">
        <v>126</v>
      </c>
      <c r="D227" s="3015">
        <f>+$E$210</f>
        <v>0</v>
      </c>
      <c r="E227" s="2992">
        <f>ROUND(B227*D227,2)</f>
        <v>0</v>
      </c>
    </row>
    <row r="228" spans="1:5" ht="13.5" thickBot="1">
      <c r="A228" s="3020"/>
      <c r="B228" s="3021"/>
      <c r="C228" s="3021"/>
      <c r="D228" s="2994" t="s">
        <v>1402</v>
      </c>
      <c r="E228" s="3889">
        <f>SUM(E226:E227)</f>
        <v>5683.13</v>
      </c>
    </row>
    <row r="229" spans="1:5" ht="13.5" thickTop="1">
      <c r="A229" s="3888"/>
      <c r="B229" s="3886"/>
      <c r="C229" s="3887"/>
      <c r="D229" s="3886"/>
      <c r="E229" s="3886"/>
    </row>
    <row r="230" spans="1:5" ht="13.5" thickBot="1">
      <c r="A230" s="2025" t="s">
        <v>1448</v>
      </c>
      <c r="B230" s="3005">
        <v>0.25</v>
      </c>
      <c r="C230" s="3891"/>
      <c r="D230" s="3891"/>
      <c r="E230" s="3892"/>
    </row>
    <row r="231" spans="1:5" ht="13.5" thickTop="1">
      <c r="A231" s="3007" t="s">
        <v>1447</v>
      </c>
      <c r="B231" s="3008">
        <v>1.05</v>
      </c>
      <c r="C231" s="3009" t="s">
        <v>2</v>
      </c>
      <c r="D231" s="3010">
        <f>+E159</f>
        <v>6587.29</v>
      </c>
      <c r="E231" s="3011">
        <f>ROUND(B231*D231,2)</f>
        <v>6916.65</v>
      </c>
    </row>
    <row r="232" spans="1:5">
      <c r="A232" s="3012" t="s">
        <v>272</v>
      </c>
      <c r="B232" s="3013">
        <v>2.29</v>
      </c>
      <c r="C232" s="3014" t="s">
        <v>126</v>
      </c>
      <c r="D232" s="3015">
        <f>+$E$210</f>
        <v>0</v>
      </c>
      <c r="E232" s="2992">
        <f>ROUND(B232*D232,2)</f>
        <v>0</v>
      </c>
    </row>
    <row r="233" spans="1:5">
      <c r="A233" s="3016" t="s">
        <v>1449</v>
      </c>
      <c r="B233" s="3017">
        <f>ROUND(1/B230,2)</f>
        <v>4</v>
      </c>
      <c r="C233" s="3018" t="s">
        <v>1</v>
      </c>
      <c r="D233" s="3019">
        <v>1000</v>
      </c>
      <c r="E233" s="2992">
        <f>ROUND(B233*D233,2)</f>
        <v>4000</v>
      </c>
    </row>
    <row r="234" spans="1:5" ht="13.5" thickBot="1">
      <c r="A234" s="3020"/>
      <c r="B234" s="3021"/>
      <c r="C234" s="3021"/>
      <c r="D234" s="2994" t="s">
        <v>1402</v>
      </c>
      <c r="E234" s="3889">
        <f>SUM(E231:E233)</f>
        <v>10916.65</v>
      </c>
    </row>
    <row r="235" spans="1:5" ht="13.5" thickTop="1">
      <c r="A235" s="3888"/>
      <c r="B235" s="3886"/>
      <c r="C235" s="3887"/>
      <c r="D235" s="3886"/>
      <c r="E235" s="3886"/>
    </row>
    <row r="236" spans="1:5" ht="13.5" thickBot="1">
      <c r="A236" s="2025" t="s">
        <v>1450</v>
      </c>
      <c r="B236" s="3005"/>
      <c r="C236" s="3891"/>
      <c r="D236" s="3891"/>
      <c r="E236" s="3892"/>
    </row>
    <row r="237" spans="1:5" ht="13.5" thickTop="1">
      <c r="A237" s="3007" t="s">
        <v>1447</v>
      </c>
      <c r="B237" s="3008">
        <v>1.05</v>
      </c>
      <c r="C237" s="3009" t="s">
        <v>2</v>
      </c>
      <c r="D237" s="3010">
        <f>+D231</f>
        <v>6587.29</v>
      </c>
      <c r="E237" s="3011">
        <f>ROUND(B237*D237,2)</f>
        <v>6916.65</v>
      </c>
    </row>
    <row r="238" spans="1:5">
      <c r="A238" s="3012" t="s">
        <v>272</v>
      </c>
      <c r="B238" s="3013">
        <v>3.98</v>
      </c>
      <c r="C238" s="3014" t="s">
        <v>126</v>
      </c>
      <c r="D238" s="3015">
        <f>+$E$204</f>
        <v>0</v>
      </c>
      <c r="E238" s="2992">
        <f>ROUND(B238*D238,2)</f>
        <v>0</v>
      </c>
    </row>
    <row r="239" spans="1:5">
      <c r="A239" s="3012" t="s">
        <v>1093</v>
      </c>
      <c r="B239" s="3013">
        <f>+B240</f>
        <v>8.16</v>
      </c>
      <c r="C239" s="3014" t="s">
        <v>126</v>
      </c>
      <c r="D239" s="3015">
        <v>100</v>
      </c>
      <c r="E239" s="2992">
        <f>ROUND(B239*D239,2)</f>
        <v>816</v>
      </c>
    </row>
    <row r="240" spans="1:5">
      <c r="A240" s="3016" t="s">
        <v>1449</v>
      </c>
      <c r="B240" s="3017">
        <f>1/(0.35*0.35)</f>
        <v>8.16</v>
      </c>
      <c r="C240" s="3018" t="s">
        <v>1</v>
      </c>
      <c r="D240" s="3019">
        <v>350</v>
      </c>
      <c r="E240" s="2992">
        <f>ROUND(B240*D240,2)</f>
        <v>2856</v>
      </c>
    </row>
    <row r="241" spans="1:5" ht="13.5" thickBot="1">
      <c r="A241" s="3020"/>
      <c r="B241" s="3021"/>
      <c r="C241" s="3021"/>
      <c r="D241" s="2994" t="s">
        <v>1402</v>
      </c>
      <c r="E241" s="3889">
        <f>SUM(E237:E240)</f>
        <v>10588.65</v>
      </c>
    </row>
    <row r="242" spans="1:5" ht="13.5" thickTop="1">
      <c r="A242" s="3888"/>
      <c r="B242" s="3886"/>
      <c r="C242" s="3887"/>
      <c r="D242" s="3886"/>
      <c r="E242" s="3886"/>
    </row>
    <row r="243" spans="1:5" ht="13.5" thickBot="1">
      <c r="A243" s="3893" t="s">
        <v>1451</v>
      </c>
      <c r="B243" s="3005"/>
      <c r="C243" s="3891"/>
      <c r="D243" s="3891"/>
      <c r="E243" s="3892"/>
    </row>
    <row r="244" spans="1:5" ht="13.5" thickTop="1">
      <c r="A244" s="3007" t="s">
        <v>1447</v>
      </c>
      <c r="B244" s="3008">
        <v>1.05</v>
      </c>
      <c r="C244" s="3009" t="s">
        <v>2</v>
      </c>
      <c r="D244" s="3010">
        <f>+D237</f>
        <v>6587.29</v>
      </c>
      <c r="E244" s="3011">
        <f>ROUND(B244*D244,2)</f>
        <v>6916.65</v>
      </c>
    </row>
    <row r="245" spans="1:5">
      <c r="A245" s="3012" t="s">
        <v>272</v>
      </c>
      <c r="B245" s="3013">
        <v>5.08</v>
      </c>
      <c r="C245" s="3014" t="s">
        <v>126</v>
      </c>
      <c r="D245" s="3015">
        <f>+$E$204</f>
        <v>0</v>
      </c>
      <c r="E245" s="2992">
        <f>ROUND(B245*D245,2)</f>
        <v>0</v>
      </c>
    </row>
    <row r="246" spans="1:5">
      <c r="A246" s="3012" t="s">
        <v>1093</v>
      </c>
      <c r="B246" s="3013">
        <f>+B245</f>
        <v>5.08</v>
      </c>
      <c r="C246" s="3014" t="s">
        <v>126</v>
      </c>
      <c r="D246" s="3015">
        <v>100</v>
      </c>
      <c r="E246" s="2992">
        <f>ROUND(B246*D246,2)</f>
        <v>508</v>
      </c>
    </row>
    <row r="247" spans="1:5">
      <c r="A247" s="3016" t="s">
        <v>1449</v>
      </c>
      <c r="B247" s="3017">
        <f>1/(0.25*0.5)</f>
        <v>8</v>
      </c>
      <c r="C247" s="3018" t="s">
        <v>1</v>
      </c>
      <c r="D247" s="3019">
        <v>350</v>
      </c>
      <c r="E247" s="2992">
        <f>ROUND(B247*D247,2)</f>
        <v>2800</v>
      </c>
    </row>
    <row r="248" spans="1:5" ht="13.5" thickBot="1">
      <c r="A248" s="3020"/>
      <c r="B248" s="3021"/>
      <c r="C248" s="3021"/>
      <c r="D248" s="2994" t="s">
        <v>1402</v>
      </c>
      <c r="E248" s="3023">
        <f>SUM(E244:E247)</f>
        <v>10224.65</v>
      </c>
    </row>
    <row r="249" spans="1:5" ht="13.5" thickTop="1">
      <c r="A249" s="3888"/>
      <c r="B249" s="3886"/>
      <c r="C249" s="3887"/>
      <c r="D249" s="3886"/>
      <c r="E249" s="3886"/>
    </row>
    <row r="250" spans="1:5" ht="13.5" thickBot="1">
      <c r="A250" s="3893" t="s">
        <v>1452</v>
      </c>
      <c r="B250" s="3005"/>
      <c r="C250" s="3891"/>
      <c r="D250" s="3891"/>
      <c r="E250" s="3892"/>
    </row>
    <row r="251" spans="1:5" ht="13.5" thickTop="1">
      <c r="A251" s="3007" t="s">
        <v>1447</v>
      </c>
      <c r="B251" s="3008">
        <v>1.05</v>
      </c>
      <c r="C251" s="3009" t="s">
        <v>2</v>
      </c>
      <c r="D251" s="3010">
        <f>+D244</f>
        <v>6587.29</v>
      </c>
      <c r="E251" s="3011">
        <f>ROUND(B251*D251,2)</f>
        <v>6916.65</v>
      </c>
    </row>
    <row r="252" spans="1:5">
      <c r="A252" s="3012" t="s">
        <v>272</v>
      </c>
      <c r="B252" s="3013">
        <v>5.21</v>
      </c>
      <c r="C252" s="3014" t="s">
        <v>126</v>
      </c>
      <c r="D252" s="3015">
        <f>+$E$204</f>
        <v>0</v>
      </c>
      <c r="E252" s="2992">
        <f>ROUND(B252*D252,2)</f>
        <v>0</v>
      </c>
    </row>
    <row r="253" spans="1:5">
      <c r="A253" s="3012" t="s">
        <v>1093</v>
      </c>
      <c r="B253" s="3013">
        <f>+B252</f>
        <v>5.21</v>
      </c>
      <c r="C253" s="3014" t="s">
        <v>126</v>
      </c>
      <c r="D253" s="3015">
        <v>100</v>
      </c>
      <c r="E253" s="2992">
        <f>ROUND(B253*D253,2)</f>
        <v>521</v>
      </c>
    </row>
    <row r="254" spans="1:5">
      <c r="A254" s="3016" t="s">
        <v>1449</v>
      </c>
      <c r="B254" s="3017">
        <f>1/(0.15+0.15+0.3)</f>
        <v>1.67</v>
      </c>
      <c r="C254" s="3018" t="s">
        <v>1</v>
      </c>
      <c r="D254" s="3019">
        <v>350</v>
      </c>
      <c r="E254" s="2992">
        <f>ROUND(B254*D254,2)</f>
        <v>584.5</v>
      </c>
    </row>
    <row r="255" spans="1:5" ht="13.5" thickBot="1">
      <c r="A255" s="3020"/>
      <c r="B255" s="3021"/>
      <c r="C255" s="3021"/>
      <c r="D255" s="2994" t="s">
        <v>1402</v>
      </c>
      <c r="E255" s="3023">
        <f>SUM(E251:E254)</f>
        <v>8022.15</v>
      </c>
    </row>
    <row r="256" spans="1:5" ht="13.5" thickTop="1">
      <c r="A256" s="3888"/>
      <c r="B256" s="3886"/>
      <c r="C256" s="3887"/>
      <c r="D256" s="3886"/>
      <c r="E256" s="3886"/>
    </row>
    <row r="257" spans="1:5" ht="13.5" thickBot="1">
      <c r="A257" s="3893" t="s">
        <v>1453</v>
      </c>
      <c r="B257" s="3005"/>
      <c r="C257" s="3891"/>
      <c r="D257" s="3891"/>
      <c r="E257" s="3892"/>
    </row>
    <row r="258" spans="1:5" ht="13.5" thickTop="1">
      <c r="A258" s="3007" t="s">
        <v>1447</v>
      </c>
      <c r="B258" s="3008">
        <v>1.05</v>
      </c>
      <c r="C258" s="3009" t="s">
        <v>2</v>
      </c>
      <c r="D258" s="3010">
        <f>+D244</f>
        <v>6587.29</v>
      </c>
      <c r="E258" s="3011">
        <f>ROUND(B258*D258,2)</f>
        <v>6916.65</v>
      </c>
    </row>
    <row r="259" spans="1:5">
      <c r="A259" s="3012" t="s">
        <v>272</v>
      </c>
      <c r="B259" s="3013">
        <v>1.7</v>
      </c>
      <c r="C259" s="3014" t="s">
        <v>126</v>
      </c>
      <c r="D259" s="3015">
        <f>+$E$210</f>
        <v>0</v>
      </c>
      <c r="E259" s="2992">
        <f>ROUND(B259*D259,2)</f>
        <v>0</v>
      </c>
    </row>
    <row r="260" spans="1:5">
      <c r="A260" s="3016" t="s">
        <v>1449</v>
      </c>
      <c r="B260" s="3017">
        <f>1/0.12</f>
        <v>8.33</v>
      </c>
      <c r="C260" s="3018" t="s">
        <v>1</v>
      </c>
      <c r="D260" s="3019">
        <v>350</v>
      </c>
      <c r="E260" s="2992">
        <f>ROUND(B260*D260,2)</f>
        <v>2915.5</v>
      </c>
    </row>
    <row r="261" spans="1:5" ht="13.5" thickBot="1">
      <c r="A261" s="3020"/>
      <c r="B261" s="3021"/>
      <c r="C261" s="3021"/>
      <c r="D261" s="2994" t="s">
        <v>1402</v>
      </c>
      <c r="E261" s="3889">
        <f>SUM(E258:E260)</f>
        <v>9832.15</v>
      </c>
    </row>
    <row r="262" spans="1:5" ht="13.5" thickTop="1">
      <c r="A262" s="3888"/>
      <c r="B262" s="3886"/>
      <c r="C262" s="3887"/>
      <c r="D262" s="3886"/>
      <c r="E262" s="3886"/>
    </row>
    <row r="263" spans="1:5" ht="13.5" thickBot="1">
      <c r="A263" s="3893" t="s">
        <v>1454</v>
      </c>
      <c r="B263" s="3005"/>
      <c r="C263" s="3891"/>
      <c r="D263" s="3891"/>
      <c r="E263" s="3892"/>
    </row>
    <row r="264" spans="1:5" ht="13.5" thickTop="1">
      <c r="A264" s="3007" t="s">
        <v>1447</v>
      </c>
      <c r="B264" s="3008">
        <v>1.05</v>
      </c>
      <c r="C264" s="3009" t="s">
        <v>2</v>
      </c>
      <c r="D264" s="3010">
        <f>+D258</f>
        <v>6587.29</v>
      </c>
      <c r="E264" s="3011">
        <f>ROUND(B264*D264,2)</f>
        <v>6916.65</v>
      </c>
    </row>
    <row r="265" spans="1:5">
      <c r="A265" s="3012" t="s">
        <v>272</v>
      </c>
      <c r="B265" s="3013">
        <v>1.29</v>
      </c>
      <c r="C265" s="3014" t="s">
        <v>126</v>
      </c>
      <c r="D265" s="3015">
        <f>+$E$210</f>
        <v>0</v>
      </c>
      <c r="E265" s="2992">
        <f>ROUND(B265*D265,2)</f>
        <v>0</v>
      </c>
    </row>
    <row r="266" spans="1:5">
      <c r="A266" s="3016" t="s">
        <v>1449</v>
      </c>
      <c r="B266" s="3017">
        <f>1/0.15</f>
        <v>6.67</v>
      </c>
      <c r="C266" s="3018" t="s">
        <v>1</v>
      </c>
      <c r="D266" s="3019">
        <v>350</v>
      </c>
      <c r="E266" s="2992">
        <f>ROUND(B266*D266,2)</f>
        <v>2334.5</v>
      </c>
    </row>
    <row r="267" spans="1:5" ht="13.5" thickBot="1">
      <c r="A267" s="3020"/>
      <c r="B267" s="3021"/>
      <c r="C267" s="3021"/>
      <c r="D267" s="2994" t="s">
        <v>1402</v>
      </c>
      <c r="E267" s="3023">
        <f>SUM(E264:E266)</f>
        <v>9251.15</v>
      </c>
    </row>
    <row r="268" spans="1:5" ht="13.5" thickTop="1">
      <c r="A268" s="3888"/>
      <c r="B268" s="3886"/>
      <c r="C268" s="3887"/>
      <c r="D268" s="3886"/>
      <c r="E268" s="3886"/>
    </row>
    <row r="269" spans="1:5" ht="13.5" thickBot="1">
      <c r="A269" s="1267" t="s">
        <v>3527</v>
      </c>
      <c r="B269" s="3005"/>
      <c r="C269" s="3891"/>
      <c r="D269" s="3891"/>
      <c r="E269" s="3892"/>
    </row>
    <row r="270" spans="1:5" ht="13.5" thickTop="1">
      <c r="A270" s="3007" t="s">
        <v>1447</v>
      </c>
      <c r="B270" s="3008">
        <v>1.05</v>
      </c>
      <c r="C270" s="3009" t="s">
        <v>2</v>
      </c>
      <c r="D270" s="3010">
        <f>+D258</f>
        <v>6587.29</v>
      </c>
      <c r="E270" s="3011">
        <f>ROUND(B270*D270,2)</f>
        <v>6916.65</v>
      </c>
    </row>
    <row r="271" spans="1:5">
      <c r="A271" s="3012" t="s">
        <v>272</v>
      </c>
      <c r="B271" s="3013">
        <v>0.85</v>
      </c>
      <c r="C271" s="3014" t="s">
        <v>126</v>
      </c>
      <c r="D271" s="3015">
        <f>+$E$204</f>
        <v>0</v>
      </c>
      <c r="E271" s="2992">
        <f>ROUND(B271*D271,2)</f>
        <v>0</v>
      </c>
    </row>
    <row r="272" spans="1:5">
      <c r="A272" s="3016" t="s">
        <v>1449</v>
      </c>
      <c r="B272" s="3017">
        <f>1/0.11</f>
        <v>9.09</v>
      </c>
      <c r="C272" s="3018" t="s">
        <v>1</v>
      </c>
      <c r="D272" s="3019">
        <v>150</v>
      </c>
      <c r="E272" s="2992">
        <f>ROUND(B272*D272,2)</f>
        <v>1363.5</v>
      </c>
    </row>
    <row r="273" spans="1:5" ht="13.5" thickBot="1">
      <c r="A273" s="3020"/>
      <c r="B273" s="3021"/>
      <c r="C273" s="3021"/>
      <c r="D273" s="2994" t="s">
        <v>1402</v>
      </c>
      <c r="E273" s="3023">
        <f>SUM(E270:E272)</f>
        <v>8280.15</v>
      </c>
    </row>
    <row r="274" spans="1:5" ht="14.25" thickTop="1" thickBot="1">
      <c r="A274" s="3888"/>
      <c r="B274" s="3886"/>
      <c r="C274" s="3887"/>
      <c r="D274" s="2994" t="s">
        <v>1120</v>
      </c>
      <c r="E274" s="3023">
        <f>E273*0.05</f>
        <v>414.01</v>
      </c>
    </row>
    <row r="275" spans="1:5" ht="13.5" thickTop="1">
      <c r="A275" s="3888"/>
      <c r="B275" s="3886"/>
      <c r="C275" s="3887"/>
      <c r="D275" s="3886"/>
      <c r="E275" s="3886"/>
    </row>
    <row r="276" spans="1:5">
      <c r="A276" s="3885" t="s">
        <v>1455</v>
      </c>
      <c r="B276" s="3886"/>
      <c r="C276" s="3887"/>
      <c r="D276" s="3886"/>
      <c r="E276" s="3886"/>
    </row>
    <row r="277" spans="1:5">
      <c r="A277" s="3888"/>
      <c r="B277" s="3886"/>
      <c r="C277" s="3887"/>
      <c r="D277" s="3886"/>
      <c r="E277" s="3886"/>
    </row>
    <row r="278" spans="1:5" ht="13.5" thickBot="1">
      <c r="A278" s="1422" t="s">
        <v>1456</v>
      </c>
      <c r="B278" s="2244"/>
      <c r="C278" s="2352"/>
      <c r="D278" s="2244"/>
      <c r="E278" s="2244"/>
    </row>
    <row r="279" spans="1:5" ht="13.5" thickTop="1">
      <c r="A279" s="3007" t="s">
        <v>1447</v>
      </c>
      <c r="B279" s="3008">
        <v>1.05</v>
      </c>
      <c r="C279" s="3009" t="s">
        <v>2</v>
      </c>
      <c r="D279" s="3010">
        <f>+D258</f>
        <v>6587.29</v>
      </c>
      <c r="E279" s="3011">
        <f>ROUND(B279*D279,2)</f>
        <v>6916.65</v>
      </c>
    </row>
    <row r="280" spans="1:5">
      <c r="A280" s="3012" t="s">
        <v>272</v>
      </c>
      <c r="B280" s="3013">
        <v>1.51</v>
      </c>
      <c r="C280" s="3014" t="s">
        <v>126</v>
      </c>
      <c r="D280" s="3015">
        <f>+$E$210</f>
        <v>0</v>
      </c>
      <c r="E280" s="2992">
        <f>ROUND(B280*D280,2)</f>
        <v>0</v>
      </c>
    </row>
    <row r="281" spans="1:5" ht="13.5" thickBot="1">
      <c r="A281" s="3020"/>
      <c r="B281" s="3021"/>
      <c r="C281" s="3021"/>
      <c r="D281" s="2994" t="s">
        <v>1402</v>
      </c>
      <c r="E281" s="3889">
        <f>SUM(E279:E280)</f>
        <v>6916.65</v>
      </c>
    </row>
    <row r="282" spans="1:5" ht="13.5" thickTop="1">
      <c r="A282" s="3888"/>
      <c r="B282" s="3886"/>
      <c r="C282" s="3887"/>
      <c r="D282" s="3886"/>
      <c r="E282" s="3886"/>
    </row>
    <row r="283" spans="1:5" ht="13.5" thickBot="1">
      <c r="A283" s="1422" t="s">
        <v>1457</v>
      </c>
      <c r="B283" s="2244"/>
      <c r="C283" s="2352"/>
      <c r="D283" s="2244"/>
      <c r="E283" s="2244"/>
    </row>
    <row r="284" spans="1:5" ht="13.5" thickTop="1">
      <c r="A284" s="3007" t="s">
        <v>1443</v>
      </c>
      <c r="B284" s="3008">
        <v>1.05</v>
      </c>
      <c r="C284" s="3009" t="s">
        <v>2</v>
      </c>
      <c r="D284" s="3010">
        <f>E168</f>
        <v>5412.5</v>
      </c>
      <c r="E284" s="3011">
        <f>ROUND(B284*D284,2)</f>
        <v>5683.13</v>
      </c>
    </row>
    <row r="285" spans="1:5">
      <c r="A285" s="3012" t="s">
        <v>272</v>
      </c>
      <c r="B285" s="3013">
        <v>1.03</v>
      </c>
      <c r="C285" s="3014" t="s">
        <v>126</v>
      </c>
      <c r="D285" s="3015">
        <f>+$E$204</f>
        <v>0</v>
      </c>
      <c r="E285" s="2992">
        <f>ROUND(B285*D285,2)</f>
        <v>0</v>
      </c>
    </row>
    <row r="286" spans="1:5">
      <c r="A286" s="3016" t="s">
        <v>1444</v>
      </c>
      <c r="B286" s="3017">
        <f>1/0.35</f>
        <v>2.86</v>
      </c>
      <c r="C286" s="3018" t="s">
        <v>1</v>
      </c>
      <c r="D286" s="3019">
        <v>100</v>
      </c>
      <c r="E286" s="2992">
        <f>ROUND(B286*D286,2)</f>
        <v>286</v>
      </c>
    </row>
    <row r="287" spans="1:5" ht="13.5" thickBot="1">
      <c r="A287" s="3020"/>
      <c r="B287" s="3021"/>
      <c r="C287" s="3021"/>
      <c r="D287" s="2994" t="s">
        <v>1402</v>
      </c>
      <c r="E287" s="3889">
        <f>SUM(E284:E286)</f>
        <v>5969.13</v>
      </c>
    </row>
    <row r="288" spans="1:5" ht="13.5" thickTop="1">
      <c r="A288" s="3888"/>
      <c r="B288" s="3886"/>
      <c r="C288" s="3887"/>
      <c r="D288" s="3886"/>
      <c r="E288" s="3886"/>
    </row>
    <row r="289" spans="1:5" ht="26.25" thickBot="1">
      <c r="A289" s="3894" t="s">
        <v>1458</v>
      </c>
      <c r="B289" s="2244"/>
      <c r="C289" s="2352"/>
      <c r="D289" s="2244"/>
      <c r="E289" s="2244"/>
    </row>
    <row r="290" spans="1:5" ht="13.5" thickTop="1">
      <c r="A290" s="3007" t="s">
        <v>1443</v>
      </c>
      <c r="B290" s="3008">
        <v>1.05</v>
      </c>
      <c r="C290" s="3009" t="s">
        <v>2</v>
      </c>
      <c r="D290" s="3010">
        <f>+D284</f>
        <v>5412.5</v>
      </c>
      <c r="E290" s="3011">
        <f>ROUND(B290*D290,2)</f>
        <v>5683.13</v>
      </c>
    </row>
    <row r="291" spans="1:5">
      <c r="A291" s="3012" t="s">
        <v>272</v>
      </c>
      <c r="B291" s="3013">
        <v>1.91</v>
      </c>
      <c r="C291" s="3014" t="s">
        <v>126</v>
      </c>
      <c r="D291" s="3015">
        <f>+D285</f>
        <v>0</v>
      </c>
      <c r="E291" s="2992">
        <f>ROUND(B291*D291,2)</f>
        <v>0</v>
      </c>
    </row>
    <row r="292" spans="1:5">
      <c r="A292" s="3016" t="s">
        <v>1444</v>
      </c>
      <c r="B292" s="3017">
        <f>1/0.35</f>
        <v>2.86</v>
      </c>
      <c r="C292" s="3018" t="s">
        <v>1</v>
      </c>
      <c r="D292" s="3019">
        <f>+D286</f>
        <v>100</v>
      </c>
      <c r="E292" s="2992">
        <f>ROUND(B292*D292,2)</f>
        <v>286</v>
      </c>
    </row>
    <row r="293" spans="1:5" ht="13.5" thickBot="1">
      <c r="A293" s="3020"/>
      <c r="B293" s="3021"/>
      <c r="C293" s="3021"/>
      <c r="D293" s="2994" t="s">
        <v>1402</v>
      </c>
      <c r="E293" s="3889">
        <f>SUM(E290:E292)</f>
        <v>5969.13</v>
      </c>
    </row>
    <row r="294" spans="1:5" ht="13.5" thickTop="1">
      <c r="A294" s="3888"/>
      <c r="B294" s="3886"/>
      <c r="C294" s="3887"/>
      <c r="D294" s="3886"/>
      <c r="E294" s="3886"/>
    </row>
    <row r="295" spans="1:5" ht="13.5" thickBot="1">
      <c r="A295" s="1422" t="s">
        <v>1259</v>
      </c>
      <c r="B295" s="3005"/>
      <c r="C295" s="3891"/>
      <c r="D295" s="3891"/>
      <c r="E295" s="3892"/>
    </row>
    <row r="296" spans="1:5" ht="13.5" thickTop="1">
      <c r="A296" s="3007" t="s">
        <v>1447</v>
      </c>
      <c r="B296" s="3008">
        <v>1.05</v>
      </c>
      <c r="C296" s="3009" t="s">
        <v>2</v>
      </c>
      <c r="D296" s="3010">
        <f>D279</f>
        <v>6587.29</v>
      </c>
      <c r="E296" s="3011">
        <f>ROUND(B296*D296,2)</f>
        <v>6916.65</v>
      </c>
    </row>
    <row r="297" spans="1:5">
      <c r="A297" s="3012" t="s">
        <v>272</v>
      </c>
      <c r="B297" s="3013">
        <v>2.29</v>
      </c>
      <c r="C297" s="3014" t="s">
        <v>126</v>
      </c>
      <c r="D297" s="3015">
        <f>+D285</f>
        <v>0</v>
      </c>
      <c r="E297" s="2992">
        <f>ROUND(B297*D297,2)</f>
        <v>0</v>
      </c>
    </row>
    <row r="298" spans="1:5">
      <c r="A298" s="3016" t="s">
        <v>1449</v>
      </c>
      <c r="B298" s="3017">
        <f>1/0.15</f>
        <v>6.67</v>
      </c>
      <c r="C298" s="3018" t="s">
        <v>1</v>
      </c>
      <c r="D298" s="3019">
        <v>1000</v>
      </c>
      <c r="E298" s="2992">
        <f>ROUND(B298*D298,2)</f>
        <v>6670</v>
      </c>
    </row>
    <row r="299" spans="1:5" ht="13.5" thickBot="1">
      <c r="A299" s="3020"/>
      <c r="B299" s="3021"/>
      <c r="C299" s="3021"/>
      <c r="D299" s="2994" t="s">
        <v>1402</v>
      </c>
      <c r="E299" s="3889">
        <f>SUM(E296:E298)</f>
        <v>13586.65</v>
      </c>
    </row>
    <row r="300" spans="1:5" ht="13.5" thickTop="1">
      <c r="A300" s="3888"/>
      <c r="B300" s="3886"/>
      <c r="C300" s="3887"/>
      <c r="D300" s="3886"/>
      <c r="E300" s="3886"/>
    </row>
    <row r="301" spans="1:5" ht="13.5" thickBot="1">
      <c r="A301" s="1422" t="s">
        <v>1260</v>
      </c>
      <c r="B301" s="3005"/>
      <c r="C301" s="3891"/>
      <c r="D301" s="3891"/>
      <c r="E301" s="3892"/>
    </row>
    <row r="302" spans="1:5" ht="13.5" thickTop="1">
      <c r="A302" s="3007" t="s">
        <v>1447</v>
      </c>
      <c r="B302" s="3008">
        <v>1.05</v>
      </c>
      <c r="C302" s="3009" t="s">
        <v>2</v>
      </c>
      <c r="D302" s="3010">
        <f>+D309</f>
        <v>6587.29</v>
      </c>
      <c r="E302" s="3011">
        <f>ROUND(B302*D302,2)</f>
        <v>6916.65</v>
      </c>
    </row>
    <row r="303" spans="1:5" ht="13.5" thickBot="1">
      <c r="A303" s="3012" t="s">
        <v>272</v>
      </c>
      <c r="B303" s="3013">
        <v>3.98</v>
      </c>
      <c r="C303" s="3014" t="s">
        <v>126</v>
      </c>
      <c r="D303" s="3015">
        <f>+$E$204</f>
        <v>0</v>
      </c>
      <c r="E303" s="2992">
        <f>ROUND(B303*D303,2)</f>
        <v>0</v>
      </c>
    </row>
    <row r="304" spans="1:5" ht="14.25" thickTop="1" thickBot="1">
      <c r="A304" s="3012" t="s">
        <v>1093</v>
      </c>
      <c r="B304" s="3013">
        <f>+B305</f>
        <v>11.11</v>
      </c>
      <c r="C304" s="3014" t="s">
        <v>126</v>
      </c>
      <c r="D304" s="3010">
        <v>100</v>
      </c>
      <c r="E304" s="2992">
        <f>ROUND(B304*D304,2)</f>
        <v>1111</v>
      </c>
    </row>
    <row r="305" spans="1:5" ht="13.5" thickTop="1">
      <c r="A305" s="3016" t="s">
        <v>1449</v>
      </c>
      <c r="B305" s="3017">
        <f>1/(0.3*0.3)</f>
        <v>11.11</v>
      </c>
      <c r="C305" s="3018" t="s">
        <v>1</v>
      </c>
      <c r="D305" s="3010">
        <v>1000</v>
      </c>
      <c r="E305" s="2992">
        <f>ROUND(B305*D305,2)</f>
        <v>11110</v>
      </c>
    </row>
    <row r="306" spans="1:5" ht="13.5" thickBot="1">
      <c r="A306" s="3020"/>
      <c r="B306" s="3021"/>
      <c r="C306" s="3021"/>
      <c r="D306" s="2994" t="s">
        <v>1402</v>
      </c>
      <c r="E306" s="3023">
        <f>SUM(E302:E305)</f>
        <v>19137.650000000001</v>
      </c>
    </row>
    <row r="307" spans="1:5" ht="13.5" thickTop="1">
      <c r="A307" s="3888"/>
      <c r="B307" s="3886"/>
      <c r="C307" s="3887"/>
      <c r="D307" s="3886"/>
      <c r="E307" s="3886"/>
    </row>
    <row r="308" spans="1:5" ht="13.5" thickBot="1">
      <c r="A308" s="1422" t="s">
        <v>1261</v>
      </c>
      <c r="B308" s="3005"/>
      <c r="C308" s="3891"/>
      <c r="D308" s="3891"/>
      <c r="E308" s="3892"/>
    </row>
    <row r="309" spans="1:5" ht="13.5" thickTop="1">
      <c r="A309" s="3007" t="s">
        <v>1447</v>
      </c>
      <c r="B309" s="3008">
        <v>1.05</v>
      </c>
      <c r="C309" s="3009" t="s">
        <v>2</v>
      </c>
      <c r="D309" s="3010">
        <f>+D244</f>
        <v>6587.29</v>
      </c>
      <c r="E309" s="3011">
        <f>ROUND(B309*D309,2)</f>
        <v>6916.65</v>
      </c>
    </row>
    <row r="310" spans="1:5" ht="13.5" thickBot="1">
      <c r="A310" s="3012" t="s">
        <v>272</v>
      </c>
      <c r="B310" s="3013">
        <v>5.07</v>
      </c>
      <c r="C310" s="3014" t="s">
        <v>126</v>
      </c>
      <c r="D310" s="3015">
        <f>+$E$204</f>
        <v>0</v>
      </c>
      <c r="E310" s="2992">
        <f>ROUND(B310*D310,2)</f>
        <v>0</v>
      </c>
    </row>
    <row r="311" spans="1:5" ht="14.25" thickTop="1" thickBot="1">
      <c r="A311" s="3012" t="s">
        <v>1093</v>
      </c>
      <c r="B311" s="3013">
        <f>+B312</f>
        <v>8</v>
      </c>
      <c r="C311" s="3014" t="s">
        <v>126</v>
      </c>
      <c r="D311" s="3010">
        <f>+D246</f>
        <v>100</v>
      </c>
      <c r="E311" s="2992">
        <f>ROUND(B311*D311,2)</f>
        <v>800</v>
      </c>
    </row>
    <row r="312" spans="1:5" ht="13.5" thickTop="1">
      <c r="A312" s="3016" t="s">
        <v>1449</v>
      </c>
      <c r="B312" s="3017">
        <f>1/(0.25*0.5)</f>
        <v>8</v>
      </c>
      <c r="C312" s="3018" t="s">
        <v>1</v>
      </c>
      <c r="D312" s="3010">
        <f>+D247</f>
        <v>350</v>
      </c>
      <c r="E312" s="2992">
        <f>ROUND(B312*D312,2)</f>
        <v>2800</v>
      </c>
    </row>
    <row r="313" spans="1:5" ht="13.5" thickBot="1">
      <c r="A313" s="3020"/>
      <c r="B313" s="3021"/>
      <c r="C313" s="3021"/>
      <c r="D313" s="2994" t="s">
        <v>1402</v>
      </c>
      <c r="E313" s="3023">
        <f>SUM(E309:E312)</f>
        <v>10516.65</v>
      </c>
    </row>
    <row r="314" spans="1:5" ht="13.5" thickTop="1">
      <c r="A314" s="3888"/>
      <c r="B314" s="3886"/>
      <c r="C314" s="3887"/>
      <c r="D314" s="3886"/>
      <c r="E314" s="3886"/>
    </row>
    <row r="315" spans="1:5" ht="13.5" thickBot="1">
      <c r="A315" s="1422" t="s">
        <v>1262</v>
      </c>
      <c r="B315" s="3005"/>
      <c r="C315" s="3891"/>
      <c r="D315" s="3891"/>
      <c r="E315" s="3892"/>
    </row>
    <row r="316" spans="1:5" ht="13.5" thickTop="1">
      <c r="A316" s="3007" t="s">
        <v>1447</v>
      </c>
      <c r="B316" s="3008">
        <v>1.05</v>
      </c>
      <c r="C316" s="3009" t="s">
        <v>2</v>
      </c>
      <c r="D316" s="3010">
        <f>+D309</f>
        <v>6587.29</v>
      </c>
      <c r="E316" s="3011">
        <f>ROUND(B316*D316,2)</f>
        <v>6916.65</v>
      </c>
    </row>
    <row r="317" spans="1:5">
      <c r="A317" s="3012" t="s">
        <v>272</v>
      </c>
      <c r="B317" s="3013">
        <v>1.29</v>
      </c>
      <c r="C317" s="3014" t="s">
        <v>126</v>
      </c>
      <c r="D317" s="3015">
        <f>+D297</f>
        <v>0</v>
      </c>
      <c r="E317" s="2992">
        <f>ROUND(B317*D317,2)</f>
        <v>0</v>
      </c>
    </row>
    <row r="318" spans="1:5">
      <c r="A318" s="3016" t="s">
        <v>1449</v>
      </c>
      <c r="B318" s="3017">
        <f>1/0.11</f>
        <v>9.09</v>
      </c>
      <c r="C318" s="3018" t="s">
        <v>1</v>
      </c>
      <c r="D318" s="3019">
        <v>350</v>
      </c>
      <c r="E318" s="2992">
        <f>ROUND(B318*D318,2)</f>
        <v>3181.5</v>
      </c>
    </row>
    <row r="319" spans="1:5" ht="13.5" thickBot="1">
      <c r="A319" s="3020"/>
      <c r="B319" s="3021"/>
      <c r="C319" s="3021"/>
      <c r="D319" s="2994" t="s">
        <v>1402</v>
      </c>
      <c r="E319" s="3889">
        <f>SUM(E316:E318)</f>
        <v>10098.15</v>
      </c>
    </row>
    <row r="320" spans="1:5" ht="13.5" thickTop="1">
      <c r="A320" s="3888"/>
      <c r="B320" s="3886"/>
      <c r="C320" s="3887"/>
      <c r="D320" s="3886"/>
      <c r="E320" s="3886"/>
    </row>
    <row r="321" spans="1:5">
      <c r="A321" s="3885" t="s">
        <v>1293</v>
      </c>
      <c r="B321" s="3886"/>
      <c r="C321" s="3887"/>
      <c r="D321" s="3886"/>
      <c r="E321" s="3886"/>
    </row>
    <row r="322" spans="1:5">
      <c r="A322" s="3888"/>
      <c r="B322" s="3886"/>
      <c r="C322" s="3887"/>
      <c r="D322" s="3886"/>
      <c r="E322" s="3886"/>
    </row>
    <row r="323" spans="1:5" ht="13.5" thickBot="1">
      <c r="A323" s="1422" t="s">
        <v>1459</v>
      </c>
      <c r="B323" s="3005"/>
      <c r="C323" s="3891"/>
      <c r="D323" s="3891"/>
      <c r="E323" s="3892"/>
    </row>
    <row r="324" spans="1:5" ht="13.5" thickTop="1">
      <c r="A324" s="3007" t="s">
        <v>1447</v>
      </c>
      <c r="B324" s="3008">
        <v>1.05</v>
      </c>
      <c r="C324" s="3009" t="s">
        <v>2</v>
      </c>
      <c r="D324" s="3010">
        <f>+D309</f>
        <v>6587.29</v>
      </c>
      <c r="E324" s="3011">
        <f>ROUND(B324*D324,2)</f>
        <v>6916.65</v>
      </c>
    </row>
    <row r="325" spans="1:5" ht="13.5" thickBot="1">
      <c r="A325" s="3012" t="s">
        <v>272</v>
      </c>
      <c r="B325" s="3013">
        <v>5.21</v>
      </c>
      <c r="C325" s="3014" t="s">
        <v>126</v>
      </c>
      <c r="D325" s="3015">
        <f>+$E$204</f>
        <v>0</v>
      </c>
      <c r="E325" s="2992">
        <f>ROUND(B325*D325,2)</f>
        <v>0</v>
      </c>
    </row>
    <row r="326" spans="1:5" ht="14.25" thickTop="1" thickBot="1">
      <c r="A326" s="3012" t="s">
        <v>1093</v>
      </c>
      <c r="B326" s="3013">
        <f>+B327</f>
        <v>8</v>
      </c>
      <c r="C326" s="3014" t="s">
        <v>126</v>
      </c>
      <c r="D326" s="3010">
        <f>+D311</f>
        <v>100</v>
      </c>
      <c r="E326" s="2992">
        <f>ROUND(B326*D326,2)</f>
        <v>800</v>
      </c>
    </row>
    <row r="327" spans="1:5" ht="13.5" thickTop="1">
      <c r="A327" s="3016" t="s">
        <v>1449</v>
      </c>
      <c r="B327" s="3017">
        <f>1/(0.25*0.5)</f>
        <v>8</v>
      </c>
      <c r="C327" s="3018" t="s">
        <v>1</v>
      </c>
      <c r="D327" s="3010">
        <f>+D312</f>
        <v>350</v>
      </c>
      <c r="E327" s="2992">
        <f>ROUND(B327*D327,2)</f>
        <v>2800</v>
      </c>
    </row>
    <row r="328" spans="1:5" ht="13.5" thickBot="1">
      <c r="A328" s="3020"/>
      <c r="B328" s="3021"/>
      <c r="C328" s="3021"/>
      <c r="D328" s="2994" t="s">
        <v>1402</v>
      </c>
      <c r="E328" s="3889">
        <f>SUM(E324:E327)</f>
        <v>10516.65</v>
      </c>
    </row>
    <row r="329" spans="1:5" ht="13.5" thickTop="1">
      <c r="A329" s="3888"/>
      <c r="B329" s="3886"/>
      <c r="C329" s="3887"/>
      <c r="D329" s="3886"/>
      <c r="E329" s="3886"/>
    </row>
    <row r="330" spans="1:5" ht="13.5" thickBot="1">
      <c r="A330" s="1422" t="s">
        <v>1460</v>
      </c>
      <c r="B330" s="3005"/>
      <c r="C330" s="3891"/>
      <c r="D330" s="3891"/>
      <c r="E330" s="3892"/>
    </row>
    <row r="331" spans="1:5" ht="14.25" thickTop="1" thickBot="1">
      <c r="A331" s="3007" t="s">
        <v>1447</v>
      </c>
      <c r="B331" s="3008">
        <v>1.05</v>
      </c>
      <c r="C331" s="3009" t="s">
        <v>2</v>
      </c>
      <c r="D331" s="3010">
        <f>+D324</f>
        <v>6587.29</v>
      </c>
      <c r="E331" s="3011">
        <f>ROUND(B331*D331,2)</f>
        <v>6916.65</v>
      </c>
    </row>
    <row r="332" spans="1:5" ht="14.25" thickTop="1" thickBot="1">
      <c r="A332" s="3012" t="s">
        <v>272</v>
      </c>
      <c r="B332" s="3013">
        <v>1.7</v>
      </c>
      <c r="C332" s="3014" t="s">
        <v>126</v>
      </c>
      <c r="D332" s="3010">
        <f>+D325</f>
        <v>0</v>
      </c>
      <c r="E332" s="2992">
        <f>ROUND(B332*D332,2)</f>
        <v>0</v>
      </c>
    </row>
    <row r="333" spans="1:5" ht="13.5" thickTop="1">
      <c r="A333" s="3016" t="s">
        <v>1449</v>
      </c>
      <c r="B333" s="3017">
        <f>1/0.11</f>
        <v>9.09</v>
      </c>
      <c r="C333" s="3018" t="s">
        <v>1</v>
      </c>
      <c r="D333" s="3010">
        <f>+D326</f>
        <v>100</v>
      </c>
      <c r="E333" s="2992">
        <f>ROUND(B333*D333,2)</f>
        <v>909</v>
      </c>
    </row>
    <row r="334" spans="1:5" ht="13.5" thickBot="1">
      <c r="A334" s="3020"/>
      <c r="B334" s="3021"/>
      <c r="C334" s="3021"/>
      <c r="D334" s="2994" t="s">
        <v>1402</v>
      </c>
      <c r="E334" s="3889">
        <f>SUM(E331:E333)</f>
        <v>7825.65</v>
      </c>
    </row>
    <row r="335" spans="1:5" ht="13.5" thickTop="1">
      <c r="A335" s="3888"/>
      <c r="B335" s="3886"/>
      <c r="C335" s="3887"/>
      <c r="D335" s="3886"/>
      <c r="E335" s="3886"/>
    </row>
    <row r="336" spans="1:5" ht="13.5" thickBot="1">
      <c r="A336" s="3868" t="s">
        <v>1461</v>
      </c>
      <c r="B336" s="2244"/>
      <c r="C336" s="2352"/>
      <c r="D336" s="2244"/>
      <c r="E336" s="2244"/>
    </row>
    <row r="337" spans="1:5" ht="13.5" thickTop="1">
      <c r="A337" s="2246" t="s">
        <v>122</v>
      </c>
      <c r="B337" s="2990">
        <v>1.02</v>
      </c>
      <c r="C337" s="3876" t="s">
        <v>2</v>
      </c>
      <c r="D337" s="2990">
        <f>+E145</f>
        <v>1115</v>
      </c>
      <c r="E337" s="3011">
        <f>ROUND(B337*D337,2)</f>
        <v>1137.3</v>
      </c>
    </row>
    <row r="338" spans="1:5">
      <c r="A338" s="2068" t="s">
        <v>135</v>
      </c>
      <c r="B338" s="2831">
        <v>9.4600000000000009</v>
      </c>
      <c r="C338" s="3877" t="s">
        <v>144</v>
      </c>
      <c r="D338" s="2831">
        <v>325</v>
      </c>
      <c r="E338" s="2992">
        <f>ROUND(B338*D338,2)</f>
        <v>3074.5</v>
      </c>
    </row>
    <row r="339" spans="1:5">
      <c r="A339" s="2068" t="s">
        <v>117</v>
      </c>
      <c r="B339" s="2831">
        <v>50</v>
      </c>
      <c r="C339" s="3877" t="s">
        <v>138</v>
      </c>
      <c r="D339" s="2831">
        <v>2.5</v>
      </c>
      <c r="E339" s="2992">
        <f>ROUND(B339*D339,2)</f>
        <v>125</v>
      </c>
    </row>
    <row r="340" spans="1:5">
      <c r="A340" s="2068" t="s">
        <v>121</v>
      </c>
      <c r="B340" s="2831">
        <v>3.07</v>
      </c>
      <c r="C340" s="3877" t="s">
        <v>144</v>
      </c>
      <c r="D340" s="2831">
        <v>260</v>
      </c>
      <c r="E340" s="2992">
        <f>ROUND(B340*D340,2)</f>
        <v>798.2</v>
      </c>
    </row>
    <row r="341" spans="1:5">
      <c r="A341" s="2068" t="s">
        <v>147</v>
      </c>
      <c r="B341" s="2831">
        <v>0.5</v>
      </c>
      <c r="C341" s="3877" t="s">
        <v>148</v>
      </c>
      <c r="D341" s="2831">
        <v>650</v>
      </c>
      <c r="E341" s="2992">
        <f>ROUND(B341*D341,2)</f>
        <v>325</v>
      </c>
    </row>
    <row r="342" spans="1:5">
      <c r="A342" s="2068" t="s">
        <v>149</v>
      </c>
      <c r="B342" s="2831"/>
      <c r="C342" s="3877"/>
      <c r="D342" s="2831"/>
      <c r="E342" s="3878">
        <f>SUM(E338+E339+E337+E340)*0.03</f>
        <v>154.05000000000001</v>
      </c>
    </row>
    <row r="343" spans="1:5" ht="13.5" thickBot="1">
      <c r="A343" s="2099" t="s">
        <v>43</v>
      </c>
      <c r="B343" s="2993"/>
      <c r="C343" s="3879"/>
      <c r="D343" s="3880" t="s">
        <v>1031</v>
      </c>
      <c r="E343" s="3881">
        <f>SUM(E337:E342)</f>
        <v>5614.05</v>
      </c>
    </row>
    <row r="344" spans="1:5" ht="13.5" thickTop="1">
      <c r="A344" s="2352"/>
      <c r="B344" s="2244"/>
      <c r="C344" s="2226"/>
      <c r="D344" s="2368"/>
      <c r="E344" s="2368"/>
    </row>
    <row r="345" spans="1:5" ht="13.5" thickBot="1">
      <c r="A345" s="3868" t="s">
        <v>150</v>
      </c>
      <c r="B345" s="2244"/>
      <c r="C345" s="2352"/>
      <c r="D345" s="2244"/>
      <c r="E345" s="2244"/>
    </row>
    <row r="346" spans="1:5" ht="13.5" thickTop="1">
      <c r="A346" s="2246" t="s">
        <v>151</v>
      </c>
      <c r="B346" s="2990">
        <v>1</v>
      </c>
      <c r="C346" s="3895" t="s">
        <v>2</v>
      </c>
      <c r="D346" s="2990">
        <f>+D337</f>
        <v>1115</v>
      </c>
      <c r="E346" s="3011">
        <f>ROUND(B346*D346,2)</f>
        <v>1115</v>
      </c>
    </row>
    <row r="347" spans="1:5" ht="13.5" thickBot="1">
      <c r="A347" s="2068" t="s">
        <v>117</v>
      </c>
      <c r="B347" s="2831">
        <v>69.040000000000006</v>
      </c>
      <c r="C347" s="3896" t="s">
        <v>138</v>
      </c>
      <c r="D347" s="2831">
        <v>2.5</v>
      </c>
      <c r="E347" s="2992">
        <f>ROUND(B347*D347,2)</f>
        <v>172.6</v>
      </c>
    </row>
    <row r="348" spans="1:5" ht="13.5" thickTop="1">
      <c r="A348" s="2068" t="s">
        <v>135</v>
      </c>
      <c r="B348" s="2831">
        <v>11.51</v>
      </c>
      <c r="C348" s="3896" t="s">
        <v>144</v>
      </c>
      <c r="D348" s="3869">
        <v>325</v>
      </c>
      <c r="E348" s="2992">
        <f>ROUND(B348*D348,2)</f>
        <v>3740.75</v>
      </c>
    </row>
    <row r="349" spans="1:5">
      <c r="A349" s="2068" t="s">
        <v>147</v>
      </c>
      <c r="B349" s="2831">
        <v>0.5</v>
      </c>
      <c r="C349" s="3896" t="s">
        <v>148</v>
      </c>
      <c r="D349" s="2831">
        <v>650</v>
      </c>
      <c r="E349" s="2992">
        <f>ROUND(B349*D349,2)</f>
        <v>325</v>
      </c>
    </row>
    <row r="350" spans="1:5">
      <c r="A350" s="2068" t="s">
        <v>149</v>
      </c>
      <c r="B350" s="2831"/>
      <c r="C350" s="3896"/>
      <c r="D350" s="2831"/>
      <c r="E350" s="3878">
        <f>SUM(E346+E347+E348)*0.03</f>
        <v>150.85</v>
      </c>
    </row>
    <row r="351" spans="1:5" ht="13.5" thickBot="1">
      <c r="A351" s="2099"/>
      <c r="B351" s="2993"/>
      <c r="C351" s="2114"/>
      <c r="D351" s="3880" t="s">
        <v>1031</v>
      </c>
      <c r="E351" s="3881">
        <f>SUM(E346:E350)</f>
        <v>5504.2</v>
      </c>
    </row>
    <row r="352" spans="1:5" ht="13.5" thickTop="1">
      <c r="A352" s="2070"/>
      <c r="B352" s="2225"/>
      <c r="C352" s="2070"/>
      <c r="D352" s="2227"/>
      <c r="E352" s="2227"/>
    </row>
    <row r="353" spans="1:5" ht="13.5" thickBot="1">
      <c r="A353" s="3868" t="s">
        <v>152</v>
      </c>
      <c r="B353" s="2244"/>
      <c r="C353" s="2226"/>
      <c r="D353" s="2244"/>
      <c r="E353" s="2244"/>
    </row>
    <row r="354" spans="1:5" ht="13.5" thickTop="1">
      <c r="A354" s="2246" t="s">
        <v>153</v>
      </c>
      <c r="B354" s="3897">
        <v>2.5999999999999999E-2</v>
      </c>
      <c r="C354" s="3895" t="s">
        <v>2</v>
      </c>
      <c r="D354" s="3898">
        <f>+E343</f>
        <v>5614.05</v>
      </c>
      <c r="E354" s="3011">
        <f>ROUND(B354*D354,2)</f>
        <v>145.97</v>
      </c>
    </row>
    <row r="355" spans="1:5">
      <c r="A355" s="2068" t="s">
        <v>154</v>
      </c>
      <c r="B355" s="2831">
        <v>0.33</v>
      </c>
      <c r="C355" s="3896" t="s">
        <v>155</v>
      </c>
      <c r="D355" s="3899">
        <v>45</v>
      </c>
      <c r="E355" s="2992">
        <f>ROUND(B355*D355,2)</f>
        <v>14.85</v>
      </c>
    </row>
    <row r="356" spans="1:5">
      <c r="A356" s="2068" t="s">
        <v>156</v>
      </c>
      <c r="B356" s="2831">
        <v>1</v>
      </c>
      <c r="C356" s="3896" t="s">
        <v>42</v>
      </c>
      <c r="D356" s="3899">
        <v>8</v>
      </c>
      <c r="E356" s="2992">
        <f>ROUND(B356*D356,2)</f>
        <v>8</v>
      </c>
    </row>
    <row r="357" spans="1:5">
      <c r="A357" s="2068" t="s">
        <v>41</v>
      </c>
      <c r="B357" s="2831">
        <v>1</v>
      </c>
      <c r="C357" s="3896" t="s">
        <v>11</v>
      </c>
      <c r="D357" s="3899">
        <v>153.15</v>
      </c>
      <c r="E357" s="2992">
        <f>ROUND(B357*D357,2)</f>
        <v>153.15</v>
      </c>
    </row>
    <row r="358" spans="1:5" ht="13.5" thickBot="1">
      <c r="A358" s="2099"/>
      <c r="B358" s="2993"/>
      <c r="C358" s="2114"/>
      <c r="D358" s="3880" t="s">
        <v>1031</v>
      </c>
      <c r="E358" s="3881">
        <f>ROUND(SUM(E354:E357),2)</f>
        <v>321.97000000000003</v>
      </c>
    </row>
    <row r="359" spans="1:5" ht="13.5" thickTop="1">
      <c r="A359" s="2352"/>
      <c r="B359" s="2244"/>
      <c r="C359" s="2226"/>
      <c r="D359" s="2368"/>
      <c r="E359" s="2368"/>
    </row>
    <row r="360" spans="1:5" ht="13.5" thickBot="1">
      <c r="A360" s="2985" t="s">
        <v>165</v>
      </c>
      <c r="B360" s="2244"/>
      <c r="C360" s="2352"/>
      <c r="D360" s="2244"/>
      <c r="E360" s="2244"/>
    </row>
    <row r="361" spans="1:5" ht="13.5" thickTop="1">
      <c r="A361" s="2246" t="s">
        <v>166</v>
      </c>
      <c r="B361" s="3897">
        <v>2.5999999999999999E-2</v>
      </c>
      <c r="C361" s="3895" t="s">
        <v>2</v>
      </c>
      <c r="D361" s="3898">
        <f>+E343</f>
        <v>5614.05</v>
      </c>
      <c r="E361" s="3011">
        <f>ROUND(B361*D361,2)</f>
        <v>145.97</v>
      </c>
    </row>
    <row r="362" spans="1:5">
      <c r="A362" s="2068" t="s">
        <v>154</v>
      </c>
      <c r="B362" s="2831">
        <v>0.33</v>
      </c>
      <c r="C362" s="3896" t="s">
        <v>155</v>
      </c>
      <c r="D362" s="3899">
        <v>45</v>
      </c>
      <c r="E362" s="2992">
        <f>ROUND(B362*D362,2)</f>
        <v>14.85</v>
      </c>
    </row>
    <row r="363" spans="1:5" ht="13.5" thickBot="1">
      <c r="A363" s="2068" t="s">
        <v>156</v>
      </c>
      <c r="B363" s="2831">
        <v>1</v>
      </c>
      <c r="C363" s="3896" t="s">
        <v>42</v>
      </c>
      <c r="D363" s="3899">
        <v>8</v>
      </c>
      <c r="E363" s="2992">
        <f>ROUND(B363*D363,2)</f>
        <v>8</v>
      </c>
    </row>
    <row r="364" spans="1:5" ht="13.5" thickTop="1">
      <c r="A364" s="2068" t="s">
        <v>167</v>
      </c>
      <c r="B364" s="2831">
        <v>0.05</v>
      </c>
      <c r="C364" s="3896" t="s">
        <v>120</v>
      </c>
      <c r="D364" s="3869">
        <v>325</v>
      </c>
      <c r="E364" s="2992">
        <f>ROUND(B364*D364,2)</f>
        <v>16.25</v>
      </c>
    </row>
    <row r="365" spans="1:5">
      <c r="A365" s="2068" t="s">
        <v>162</v>
      </c>
      <c r="B365" s="2831">
        <v>1</v>
      </c>
      <c r="C365" s="3896" t="s">
        <v>11</v>
      </c>
      <c r="D365" s="3899">
        <v>110.26</v>
      </c>
      <c r="E365" s="2992">
        <f>ROUND(B365*D365,2)</f>
        <v>110.26</v>
      </c>
    </row>
    <row r="366" spans="1:5" ht="13.5" thickBot="1">
      <c r="A366" s="2099"/>
      <c r="B366" s="2993"/>
      <c r="C366" s="3879"/>
      <c r="D366" s="3880" t="s">
        <v>1031</v>
      </c>
      <c r="E366" s="3881">
        <f>ROUND(SUM(E361:E365),2)</f>
        <v>295.33</v>
      </c>
    </row>
    <row r="367" spans="1:5" ht="14.25" thickTop="1" thickBot="1">
      <c r="A367" s="3900" t="s">
        <v>1462</v>
      </c>
      <c r="B367" s="3901"/>
      <c r="C367" s="3902"/>
      <c r="D367" s="3903"/>
      <c r="E367" s="3904">
        <f>ROUND(E366-E364,2)</f>
        <v>279.08</v>
      </c>
    </row>
    <row r="368" spans="1:5" ht="13.5" thickTop="1">
      <c r="A368" s="2352"/>
      <c r="B368" s="2244"/>
      <c r="C368" s="2226"/>
      <c r="D368" s="2368"/>
      <c r="E368" s="2380"/>
    </row>
    <row r="369" spans="1:5" ht="13.5" thickBot="1">
      <c r="A369" s="2985" t="s">
        <v>170</v>
      </c>
      <c r="B369" s="2244"/>
      <c r="C369" s="2226"/>
      <c r="D369" s="2244"/>
      <c r="E369" s="2244"/>
    </row>
    <row r="370" spans="1:5" ht="13.5" thickTop="1">
      <c r="A370" s="2246" t="s">
        <v>171</v>
      </c>
      <c r="B370" s="3897">
        <v>6.3E-2</v>
      </c>
      <c r="C370" s="3895" t="s">
        <v>2</v>
      </c>
      <c r="D370" s="3898">
        <f>+E351</f>
        <v>5504.2</v>
      </c>
      <c r="E370" s="3011">
        <f>ROUND(B370*D370,2)</f>
        <v>346.76</v>
      </c>
    </row>
    <row r="371" spans="1:5">
      <c r="A371" s="2068" t="s">
        <v>154</v>
      </c>
      <c r="B371" s="2831">
        <v>0.33</v>
      </c>
      <c r="C371" s="3877" t="s">
        <v>155</v>
      </c>
      <c r="D371" s="3899">
        <v>45</v>
      </c>
      <c r="E371" s="2992">
        <f>ROUND(B371*D371,2)</f>
        <v>14.85</v>
      </c>
    </row>
    <row r="372" spans="1:5">
      <c r="A372" s="2068" t="s">
        <v>156</v>
      </c>
      <c r="B372" s="2831">
        <v>1</v>
      </c>
      <c r="C372" s="3877" t="s">
        <v>42</v>
      </c>
      <c r="D372" s="3899">
        <v>8</v>
      </c>
      <c r="E372" s="2992">
        <f>ROUND(B372*D372,2)</f>
        <v>8</v>
      </c>
    </row>
    <row r="373" spans="1:5">
      <c r="A373" s="2068" t="s">
        <v>172</v>
      </c>
      <c r="B373" s="2831">
        <v>1</v>
      </c>
      <c r="C373" s="3877" t="s">
        <v>42</v>
      </c>
      <c r="D373" s="3899">
        <v>8</v>
      </c>
      <c r="E373" s="2992">
        <f>ROUND(B373*D373,2)</f>
        <v>8</v>
      </c>
    </row>
    <row r="374" spans="1:5">
      <c r="A374" s="2068" t="s">
        <v>41</v>
      </c>
      <c r="B374" s="2831">
        <v>1</v>
      </c>
      <c r="C374" s="3877" t="s">
        <v>11</v>
      </c>
      <c r="D374" s="3899">
        <v>115.23</v>
      </c>
      <c r="E374" s="2992">
        <f>ROUND(B374*D374,2)</f>
        <v>115.23</v>
      </c>
    </row>
    <row r="375" spans="1:5" ht="13.5" thickBot="1">
      <c r="A375" s="2099"/>
      <c r="B375" s="2993"/>
      <c r="C375" s="3882" t="s">
        <v>1037</v>
      </c>
      <c r="D375" s="3874" t="s">
        <v>1038</v>
      </c>
      <c r="E375" s="3881">
        <f>ROUND(SUM(E370:E374),2)</f>
        <v>492.84</v>
      </c>
    </row>
    <row r="376" spans="1:5" ht="13.5" thickTop="1">
      <c r="A376" s="3905" t="s">
        <v>1463</v>
      </c>
      <c r="B376" s="3906"/>
      <c r="C376" s="3907"/>
      <c r="D376" s="3908"/>
      <c r="E376" s="3909">
        <f>ROUND(E375+E364,2)</f>
        <v>509.09</v>
      </c>
    </row>
    <row r="377" spans="1:5">
      <c r="A377" s="2352"/>
      <c r="B377" s="2244"/>
      <c r="C377" s="2226"/>
      <c r="D377" s="2368"/>
      <c r="E377" s="2380"/>
    </row>
    <row r="378" spans="1:5" ht="13.5" thickBot="1">
      <c r="A378" s="2985" t="s">
        <v>174</v>
      </c>
      <c r="B378" s="2244"/>
      <c r="C378" s="2352"/>
      <c r="D378" s="2244"/>
      <c r="E378" s="2244"/>
    </row>
    <row r="379" spans="1:5" ht="13.5" thickTop="1">
      <c r="A379" s="2246" t="s">
        <v>175</v>
      </c>
      <c r="B379" s="3897">
        <v>6.3E-2</v>
      </c>
      <c r="C379" s="3876" t="s">
        <v>2</v>
      </c>
      <c r="D379" s="3898">
        <f>E351</f>
        <v>5504.2</v>
      </c>
      <c r="E379" s="3011">
        <f>ROUND(B379*D379,2)</f>
        <v>346.76</v>
      </c>
    </row>
    <row r="380" spans="1:5">
      <c r="A380" s="2068" t="s">
        <v>154</v>
      </c>
      <c r="B380" s="2831">
        <v>0.33</v>
      </c>
      <c r="C380" s="3877" t="s">
        <v>155</v>
      </c>
      <c r="D380" s="3899">
        <v>45</v>
      </c>
      <c r="E380" s="2992">
        <f>ROUND(B380*D380,2)</f>
        <v>14.85</v>
      </c>
    </row>
    <row r="381" spans="1:5">
      <c r="A381" s="2068" t="s">
        <v>176</v>
      </c>
      <c r="B381" s="2831">
        <v>1</v>
      </c>
      <c r="C381" s="3877" t="s">
        <v>42</v>
      </c>
      <c r="D381" s="3899">
        <v>8</v>
      </c>
      <c r="E381" s="2992">
        <f>ROUND(B381*D381,2)</f>
        <v>8</v>
      </c>
    </row>
    <row r="382" spans="1:5">
      <c r="A382" s="2068" t="s">
        <v>41</v>
      </c>
      <c r="B382" s="2831">
        <v>1</v>
      </c>
      <c r="C382" s="3877" t="s">
        <v>11</v>
      </c>
      <c r="D382" s="3899">
        <v>100</v>
      </c>
      <c r="E382" s="2992">
        <f>ROUND(B382*D382,2)</f>
        <v>100</v>
      </c>
    </row>
    <row r="383" spans="1:5" ht="13.5" thickBot="1">
      <c r="A383" s="2099"/>
      <c r="B383" s="2993"/>
      <c r="C383" s="3882" t="s">
        <v>1037</v>
      </c>
      <c r="D383" s="3874" t="s">
        <v>1038</v>
      </c>
      <c r="E383" s="3881">
        <f>ROUND(SUM(E379:E382),2)</f>
        <v>469.61</v>
      </c>
    </row>
    <row r="384" spans="1:5" ht="13.5" thickTop="1">
      <c r="A384" s="2646"/>
      <c r="B384" s="2225"/>
      <c r="C384" s="3883"/>
      <c r="D384" s="2227"/>
      <c r="E384" s="2227"/>
    </row>
    <row r="385" spans="1:5" ht="13.5" thickBot="1">
      <c r="A385" s="2985" t="s">
        <v>177</v>
      </c>
      <c r="B385" s="2244"/>
      <c r="C385" s="2226"/>
      <c r="D385" s="2244"/>
      <c r="E385" s="2244"/>
    </row>
    <row r="386" spans="1:5" ht="13.5" thickTop="1">
      <c r="A386" s="2246" t="s">
        <v>178</v>
      </c>
      <c r="B386" s="3910">
        <v>4.3E-3</v>
      </c>
      <c r="C386" s="3876" t="s">
        <v>2</v>
      </c>
      <c r="D386" s="3898">
        <f>+E343</f>
        <v>5614.05</v>
      </c>
      <c r="E386" s="3011">
        <f>ROUND(B386*D386,2)</f>
        <v>24.14</v>
      </c>
    </row>
    <row r="387" spans="1:5">
      <c r="A387" s="2068" t="s">
        <v>154</v>
      </c>
      <c r="B387" s="2831">
        <v>0.11</v>
      </c>
      <c r="C387" s="3877" t="s">
        <v>155</v>
      </c>
      <c r="D387" s="3899">
        <v>45</v>
      </c>
      <c r="E387" s="2992">
        <f>ROUND(B387*D387,2)</f>
        <v>4.95</v>
      </c>
    </row>
    <row r="388" spans="1:5">
      <c r="A388" s="2068" t="s">
        <v>41</v>
      </c>
      <c r="B388" s="2831">
        <v>1</v>
      </c>
      <c r="C388" s="3877" t="s">
        <v>1</v>
      </c>
      <c r="D388" s="3899">
        <v>53.15</v>
      </c>
      <c r="E388" s="2992">
        <f>ROUND(B388*D388,2)</f>
        <v>53.15</v>
      </c>
    </row>
    <row r="389" spans="1:5" ht="13.5" thickBot="1">
      <c r="A389" s="2099"/>
      <c r="B389" s="2993"/>
      <c r="C389" s="3882" t="s">
        <v>1037</v>
      </c>
      <c r="D389" s="3880" t="s">
        <v>1039</v>
      </c>
      <c r="E389" s="3881">
        <f>ROUND(SUM(E386:E388),2)</f>
        <v>82.24</v>
      </c>
    </row>
    <row r="390" spans="1:5" ht="13.5" thickTop="1">
      <c r="A390" s="3888"/>
      <c r="B390" s="3886"/>
      <c r="C390" s="3887"/>
      <c r="D390" s="3886"/>
      <c r="E390" s="3886"/>
    </row>
    <row r="391" spans="1:5" ht="13.5" thickBot="1">
      <c r="A391" s="3911" t="s">
        <v>1464</v>
      </c>
      <c r="B391" s="3912"/>
      <c r="C391" s="3913"/>
      <c r="D391" s="3912"/>
      <c r="E391" s="3912"/>
    </row>
    <row r="392" spans="1:5" ht="13.5" thickTop="1">
      <c r="A392" s="3914" t="s">
        <v>1465</v>
      </c>
      <c r="B392" s="3915">
        <v>0.08</v>
      </c>
      <c r="C392" s="3916" t="s">
        <v>118</v>
      </c>
      <c r="D392" s="3917">
        <v>210</v>
      </c>
      <c r="E392" s="3011">
        <f>ROUND(B392*D392,2)</f>
        <v>16.8</v>
      </c>
    </row>
    <row r="393" spans="1:5">
      <c r="A393" s="3918" t="s">
        <v>1466</v>
      </c>
      <c r="B393" s="3919">
        <v>1</v>
      </c>
      <c r="C393" s="3920" t="s">
        <v>11</v>
      </c>
      <c r="D393" s="3921">
        <v>35.68</v>
      </c>
      <c r="E393" s="2992">
        <f>ROUND(B393*D393,2)</f>
        <v>35.68</v>
      </c>
    </row>
    <row r="394" spans="1:5">
      <c r="A394" s="3918" t="s">
        <v>1467</v>
      </c>
      <c r="B394" s="3919">
        <v>15</v>
      </c>
      <c r="C394" s="3922" t="s">
        <v>46</v>
      </c>
      <c r="D394" s="3921">
        <f>E392</f>
        <v>16.8</v>
      </c>
      <c r="E394" s="2992">
        <f>ROUND(B394*D394,2)/100</f>
        <v>2.52</v>
      </c>
    </row>
    <row r="395" spans="1:5" ht="13.5" thickBot="1">
      <c r="A395" s="3923"/>
      <c r="B395" s="3924"/>
      <c r="C395" s="3925"/>
      <c r="D395" s="2994" t="s">
        <v>1468</v>
      </c>
      <c r="E395" s="3926">
        <f>SUM(E392:E394)</f>
        <v>55</v>
      </c>
    </row>
    <row r="396" spans="1:5">
      <c r="A396" s="2984"/>
      <c r="B396" s="2988"/>
      <c r="C396" s="2984"/>
      <c r="D396" s="2988"/>
      <c r="E396" s="2988"/>
    </row>
    <row r="397" spans="1:5" ht="13.5" thickBot="1">
      <c r="A397" s="3911" t="s">
        <v>1469</v>
      </c>
      <c r="B397" s="3912"/>
      <c r="C397" s="3913"/>
      <c r="D397" s="3912"/>
      <c r="E397" s="3912"/>
    </row>
    <row r="398" spans="1:5" ht="13.5" thickTop="1">
      <c r="A398" s="3914" t="s">
        <v>1470</v>
      </c>
      <c r="B398" s="3915">
        <v>0.08</v>
      </c>
      <c r="C398" s="3916" t="s">
        <v>118</v>
      </c>
      <c r="D398" s="3917">
        <f>4250/5</f>
        <v>850</v>
      </c>
      <c r="E398" s="2992">
        <f>ROUND(B398*D398,2)</f>
        <v>68</v>
      </c>
    </row>
    <row r="399" spans="1:5">
      <c r="A399" s="3918" t="s">
        <v>1471</v>
      </c>
      <c r="B399" s="3919">
        <v>1</v>
      </c>
      <c r="C399" s="3920" t="s">
        <v>11</v>
      </c>
      <c r="D399" s="3921">
        <v>45</v>
      </c>
      <c r="E399" s="2992">
        <f>ROUND(B399*D399,2)</f>
        <v>45</v>
      </c>
    </row>
    <row r="400" spans="1:5">
      <c r="A400" s="3918" t="s">
        <v>1472</v>
      </c>
      <c r="B400" s="3919">
        <v>15</v>
      </c>
      <c r="C400" s="3922" t="s">
        <v>46</v>
      </c>
      <c r="D400" s="3921">
        <f>E398</f>
        <v>68</v>
      </c>
      <c r="E400" s="2992">
        <f>ROUND(B400*D400,2)/100</f>
        <v>10.199999999999999</v>
      </c>
    </row>
    <row r="401" spans="1:5" ht="13.5" thickBot="1">
      <c r="A401" s="3923"/>
      <c r="B401" s="3924"/>
      <c r="C401" s="3925"/>
      <c r="D401" s="2994" t="s">
        <v>1468</v>
      </c>
      <c r="E401" s="3927">
        <f>SUM(E398:E400)</f>
        <v>123.2</v>
      </c>
    </row>
    <row r="402" spans="1:5">
      <c r="A402" s="3888"/>
      <c r="B402" s="3886"/>
      <c r="C402" s="3887"/>
      <c r="D402" s="3886"/>
      <c r="E402" s="3886"/>
    </row>
    <row r="403" spans="1:5">
      <c r="A403" s="3928" t="s">
        <v>186</v>
      </c>
      <c r="B403" s="3928"/>
      <c r="C403" s="3928"/>
      <c r="D403" s="3928"/>
      <c r="E403" s="3928"/>
    </row>
    <row r="404" spans="1:5">
      <c r="A404" s="3929"/>
      <c r="B404" s="3929"/>
      <c r="C404" s="3929"/>
      <c r="D404" s="3929"/>
      <c r="E404" s="3929"/>
    </row>
    <row r="405" spans="1:5" ht="13.5" thickBot="1">
      <c r="A405" s="3930" t="s">
        <v>187</v>
      </c>
      <c r="B405" s="3929"/>
      <c r="C405" s="3929"/>
      <c r="D405" s="3929"/>
      <c r="E405" s="3929"/>
    </row>
    <row r="406" spans="1:5" ht="13.5" thickTop="1">
      <c r="A406" s="3931" t="s">
        <v>122</v>
      </c>
      <c r="B406" s="3932">
        <v>0.52</v>
      </c>
      <c r="C406" s="3933" t="s">
        <v>2</v>
      </c>
      <c r="D406" s="3934">
        <f>E145</f>
        <v>1115</v>
      </c>
      <c r="E406" s="3935">
        <f>B406*D406</f>
        <v>579.79999999999995</v>
      </c>
    </row>
    <row r="407" spans="1:5">
      <c r="A407" s="3936" t="s">
        <v>124</v>
      </c>
      <c r="B407" s="3937">
        <v>0.85</v>
      </c>
      <c r="C407" s="3938" t="s">
        <v>2</v>
      </c>
      <c r="D407" s="3939">
        <f>+E150</f>
        <v>1215</v>
      </c>
      <c r="E407" s="3940">
        <f>B407*D407</f>
        <v>1032.75</v>
      </c>
    </row>
    <row r="408" spans="1:5" ht="13.5" thickBot="1">
      <c r="A408" s="3936" t="s">
        <v>117</v>
      </c>
      <c r="B408" s="3941">
        <v>60</v>
      </c>
      <c r="C408" s="3938" t="s">
        <v>138</v>
      </c>
      <c r="D408" s="3939">
        <v>2.5</v>
      </c>
      <c r="E408" s="3940">
        <f>B408*D408</f>
        <v>150</v>
      </c>
    </row>
    <row r="409" spans="1:5" ht="13.5" thickTop="1">
      <c r="A409" s="3936" t="s">
        <v>188</v>
      </c>
      <c r="B409" s="3941">
        <v>6.4</v>
      </c>
      <c r="C409" s="3942" t="s">
        <v>144</v>
      </c>
      <c r="D409" s="3869">
        <v>325</v>
      </c>
      <c r="E409" s="3940">
        <f>B409*D409</f>
        <v>2080</v>
      </c>
    </row>
    <row r="410" spans="1:5">
      <c r="A410" s="3936" t="s">
        <v>189</v>
      </c>
      <c r="B410" s="3941">
        <v>0.5</v>
      </c>
      <c r="C410" s="3938" t="s">
        <v>148</v>
      </c>
      <c r="D410" s="3939">
        <v>650</v>
      </c>
      <c r="E410" s="3940">
        <f>B410*D410</f>
        <v>325</v>
      </c>
    </row>
    <row r="411" spans="1:5">
      <c r="A411" s="3943" t="s">
        <v>190</v>
      </c>
      <c r="B411" s="3937"/>
      <c r="C411" s="3937"/>
      <c r="D411" s="3937"/>
      <c r="E411" s="3940">
        <f>SUM(E406+E408+E409)*0.03</f>
        <v>84.29</v>
      </c>
    </row>
    <row r="412" spans="1:5" ht="13.5" thickBot="1">
      <c r="A412" s="3944"/>
      <c r="B412" s="3945"/>
      <c r="C412" s="3945"/>
      <c r="D412" s="3946" t="s">
        <v>1031</v>
      </c>
      <c r="E412" s="3947">
        <f>ROUND((SUM(E406:E411)),2)</f>
        <v>4251.84</v>
      </c>
    </row>
    <row r="413" spans="1:5" ht="13.5" thickTop="1">
      <c r="A413" s="3888"/>
      <c r="B413" s="3886"/>
      <c r="C413" s="3887"/>
      <c r="D413" s="3886"/>
      <c r="E413" s="3886"/>
    </row>
    <row r="414" spans="1:5" ht="13.5" thickBot="1">
      <c r="A414" s="3948" t="s">
        <v>191</v>
      </c>
      <c r="B414" s="3929"/>
      <c r="C414" s="3929"/>
      <c r="D414" s="3929"/>
      <c r="E414" s="3929"/>
    </row>
    <row r="415" spans="1:5" ht="13.5" thickTop="1">
      <c r="A415" s="3931" t="s">
        <v>192</v>
      </c>
      <c r="B415" s="3949">
        <v>13</v>
      </c>
      <c r="C415" s="3933" t="s">
        <v>3</v>
      </c>
      <c r="D415" s="3934">
        <v>28.5</v>
      </c>
      <c r="E415" s="3935">
        <f t="shared" ref="E415:E422" si="3">B415*D415</f>
        <v>370.5</v>
      </c>
    </row>
    <row r="416" spans="1:5">
      <c r="A416" s="3936" t="s">
        <v>193</v>
      </c>
      <c r="B416" s="3941">
        <v>13</v>
      </c>
      <c r="C416" s="3938" t="s">
        <v>3</v>
      </c>
      <c r="D416" s="3939">
        <v>16</v>
      </c>
      <c r="E416" s="3940">
        <f t="shared" si="3"/>
        <v>208</v>
      </c>
    </row>
    <row r="417" spans="1:5">
      <c r="A417" s="3943" t="s">
        <v>194</v>
      </c>
      <c r="B417" s="3937">
        <v>3.1199999999999999E-2</v>
      </c>
      <c r="C417" s="3938" t="s">
        <v>2</v>
      </c>
      <c r="D417" s="3939">
        <f>+E343</f>
        <v>5614.05</v>
      </c>
      <c r="E417" s="3940">
        <f t="shared" si="3"/>
        <v>175.16</v>
      </c>
    </row>
    <row r="418" spans="1:5">
      <c r="A418" s="3936" t="s">
        <v>195</v>
      </c>
      <c r="B418" s="3950">
        <v>0.01</v>
      </c>
      <c r="C418" s="3938" t="s">
        <v>2</v>
      </c>
      <c r="D418" s="3939">
        <f>+E412</f>
        <v>4251.84</v>
      </c>
      <c r="E418" s="3940">
        <f t="shared" si="3"/>
        <v>42.52</v>
      </c>
    </row>
    <row r="419" spans="1:5">
      <c r="A419" s="3936" t="s">
        <v>196</v>
      </c>
      <c r="B419" s="3937">
        <v>2.9600000000000001E-2</v>
      </c>
      <c r="C419" s="3938" t="s">
        <v>126</v>
      </c>
      <c r="D419" s="3939">
        <f>+E209</f>
        <v>2875</v>
      </c>
      <c r="E419" s="3940">
        <f t="shared" si="3"/>
        <v>85.1</v>
      </c>
    </row>
    <row r="420" spans="1:5">
      <c r="A420" s="3936" t="s">
        <v>197</v>
      </c>
      <c r="B420" s="3937">
        <v>0.18179999999999999</v>
      </c>
      <c r="C420" s="3938" t="s">
        <v>155</v>
      </c>
      <c r="D420" s="3939">
        <v>45</v>
      </c>
      <c r="E420" s="3940">
        <f t="shared" si="3"/>
        <v>8.18</v>
      </c>
    </row>
    <row r="421" spans="1:5">
      <c r="A421" s="3936" t="s">
        <v>198</v>
      </c>
      <c r="B421" s="3937">
        <v>2.3E-2</v>
      </c>
      <c r="C421" s="3938" t="s">
        <v>148</v>
      </c>
      <c r="D421" s="3939">
        <v>650</v>
      </c>
      <c r="E421" s="3940">
        <f t="shared" si="3"/>
        <v>14.95</v>
      </c>
    </row>
    <row r="422" spans="1:5">
      <c r="A422" s="3936" t="s">
        <v>199</v>
      </c>
      <c r="B422" s="3950">
        <v>0.01</v>
      </c>
      <c r="C422" s="3938" t="s">
        <v>2</v>
      </c>
      <c r="D422" s="3939">
        <v>650</v>
      </c>
      <c r="E422" s="3940">
        <f t="shared" si="3"/>
        <v>6.5</v>
      </c>
    </row>
    <row r="423" spans="1:5" ht="13.5" thickBot="1">
      <c r="A423" s="3944"/>
      <c r="B423" s="3945"/>
      <c r="C423" s="3945"/>
      <c r="D423" s="3946" t="s">
        <v>1031</v>
      </c>
      <c r="E423" s="3947">
        <f>ROUND((SUM(E415:E422)),2)</f>
        <v>910.91</v>
      </c>
    </row>
    <row r="424" spans="1:5" ht="13.5" thickTop="1">
      <c r="A424" s="3948" t="s">
        <v>1473</v>
      </c>
      <c r="B424" s="3951">
        <f>E423-(E421+E420)</f>
        <v>887.78</v>
      </c>
      <c r="C424" s="3929"/>
      <c r="D424" s="3952"/>
      <c r="E424" s="3953"/>
    </row>
    <row r="425" spans="1:5">
      <c r="A425" s="3888"/>
      <c r="B425" s="3886"/>
      <c r="C425" s="3887"/>
      <c r="D425" s="3886"/>
      <c r="E425" s="3886"/>
    </row>
    <row r="426" spans="1:5">
      <c r="A426" s="3888"/>
      <c r="B426" s="3886"/>
      <c r="C426" s="3887"/>
      <c r="D426" s="3886"/>
      <c r="E426" s="3886"/>
    </row>
    <row r="427" spans="1:5">
      <c r="A427" s="3888"/>
      <c r="B427" s="3886"/>
      <c r="C427" s="3887"/>
      <c r="D427" s="3886"/>
      <c r="E427" s="3886"/>
    </row>
    <row r="428" spans="1:5">
      <c r="A428" s="3888"/>
      <c r="B428" s="3886"/>
      <c r="C428" s="3887"/>
      <c r="D428" s="3886"/>
      <c r="E428" s="3886"/>
    </row>
    <row r="429" spans="1:5">
      <c r="A429" s="3888"/>
      <c r="B429" s="3886"/>
      <c r="C429" s="3887"/>
      <c r="D429" s="3886"/>
      <c r="E429" s="3886"/>
    </row>
    <row r="430" spans="1:5">
      <c r="A430" s="3888"/>
      <c r="B430" s="3886"/>
      <c r="C430" s="3887"/>
      <c r="D430" s="3886"/>
      <c r="E430" s="3886"/>
    </row>
    <row r="431" spans="1:5">
      <c r="A431" s="3888"/>
      <c r="B431" s="3886"/>
      <c r="C431" s="3887"/>
      <c r="D431" s="3886"/>
      <c r="E431" s="3886"/>
    </row>
    <row r="432" spans="1:5">
      <c r="A432" s="3888"/>
      <c r="B432" s="3886"/>
      <c r="C432" s="3887"/>
      <c r="D432" s="3886"/>
      <c r="E432" s="3886"/>
    </row>
    <row r="433" spans="1:5">
      <c r="A433" s="3888"/>
      <c r="B433" s="3886"/>
      <c r="C433" s="3887"/>
      <c r="D433" s="3886"/>
      <c r="E433" s="3886"/>
    </row>
    <row r="434" spans="1:5">
      <c r="A434" s="3888"/>
      <c r="B434" s="3886"/>
      <c r="C434" s="3887"/>
      <c r="D434" s="3886"/>
      <c r="E434" s="3886"/>
    </row>
    <row r="435" spans="1:5">
      <c r="A435" s="3888"/>
      <c r="B435" s="3886"/>
      <c r="C435" s="3887"/>
      <c r="D435" s="3886"/>
      <c r="E435" s="3886"/>
    </row>
    <row r="436" spans="1:5">
      <c r="A436" s="3888"/>
      <c r="B436" s="3886"/>
      <c r="C436" s="3887"/>
      <c r="D436" s="3886"/>
      <c r="E436" s="3886"/>
    </row>
    <row r="437" spans="1:5">
      <c r="A437" s="3888"/>
      <c r="B437" s="3886"/>
      <c r="C437" s="3887"/>
      <c r="D437" s="3886"/>
      <c r="E437" s="3886"/>
    </row>
    <row r="438" spans="1:5">
      <c r="A438" s="3888"/>
      <c r="B438" s="3886"/>
      <c r="C438" s="3887"/>
      <c r="D438" s="3886"/>
      <c r="E438" s="3886"/>
    </row>
    <row r="439" spans="1:5">
      <c r="A439" s="3888"/>
      <c r="B439" s="3886"/>
      <c r="C439" s="3887"/>
      <c r="D439" s="3886"/>
      <c r="E439" s="3886"/>
    </row>
    <row r="440" spans="1:5">
      <c r="A440" s="3888"/>
      <c r="B440" s="3886"/>
      <c r="C440" s="3887"/>
      <c r="D440" s="3886"/>
      <c r="E440" s="3886"/>
    </row>
    <row r="441" spans="1:5">
      <c r="A441" s="3888"/>
      <c r="B441" s="3886"/>
      <c r="C441" s="3887"/>
      <c r="D441" s="3886"/>
      <c r="E441" s="3886"/>
    </row>
    <row r="442" spans="1:5">
      <c r="A442" s="3888"/>
      <c r="B442" s="3886"/>
      <c r="C442" s="3887"/>
      <c r="D442" s="3886"/>
      <c r="E442" s="3886"/>
    </row>
    <row r="443" spans="1:5">
      <c r="A443" s="4933" t="s">
        <v>1474</v>
      </c>
      <c r="B443" s="4933"/>
      <c r="C443" s="4933"/>
      <c r="D443" s="4933"/>
      <c r="E443" s="4933"/>
    </row>
    <row r="444" spans="1:5">
      <c r="A444" s="3954"/>
      <c r="B444" s="3954"/>
      <c r="C444" s="3954"/>
      <c r="D444" s="3954"/>
      <c r="E444" s="3955"/>
    </row>
    <row r="445" spans="1:5" ht="13.5" thickBot="1">
      <c r="A445" s="3956" t="s">
        <v>1475</v>
      </c>
      <c r="B445" s="3957"/>
      <c r="C445" s="3957"/>
      <c r="D445" s="3957"/>
      <c r="E445" s="3958"/>
    </row>
    <row r="446" spans="1:5" ht="13.5" thickTop="1">
      <c r="A446" s="3959" t="s">
        <v>1060</v>
      </c>
      <c r="B446" s="3960">
        <v>1.05</v>
      </c>
      <c r="C446" s="3961" t="s">
        <v>2</v>
      </c>
      <c r="D446" s="3962">
        <f>E187</f>
        <v>3594.68</v>
      </c>
      <c r="E446" s="3963">
        <f>B446*D446</f>
        <v>3774.41</v>
      </c>
    </row>
    <row r="447" spans="1:5">
      <c r="A447" s="3964" t="s">
        <v>272</v>
      </c>
      <c r="B447" s="3965">
        <v>0.6</v>
      </c>
      <c r="C447" s="3966" t="s">
        <v>126</v>
      </c>
      <c r="D447" s="3967">
        <f>+E209</f>
        <v>2875</v>
      </c>
      <c r="E447" s="3968">
        <f>B447*D447</f>
        <v>1725</v>
      </c>
    </row>
    <row r="448" spans="1:5" ht="13.5" thickBot="1">
      <c r="A448" s="3969"/>
      <c r="B448" s="3970"/>
      <c r="C448" s="3970"/>
      <c r="D448" s="3971"/>
      <c r="E448" s="3972">
        <f>SUM(E446:E447)</f>
        <v>5499.41</v>
      </c>
    </row>
    <row r="449" spans="1:5" ht="14.25" thickTop="1" thickBot="1">
      <c r="A449" s="3954"/>
      <c r="B449" s="3954"/>
      <c r="C449" s="3954"/>
      <c r="D449" s="3954"/>
      <c r="E449" s="3955"/>
    </row>
    <row r="450" spans="1:5">
      <c r="A450" s="3973" t="s">
        <v>285</v>
      </c>
      <c r="B450" s="3974" t="s">
        <v>286</v>
      </c>
      <c r="C450" s="3975" t="s">
        <v>340</v>
      </c>
      <c r="D450" s="3975" t="s">
        <v>288</v>
      </c>
      <c r="E450" s="3976" t="s">
        <v>289</v>
      </c>
    </row>
    <row r="451" spans="1:5">
      <c r="A451" s="3977" t="s">
        <v>37</v>
      </c>
      <c r="B451" s="3978">
        <v>12</v>
      </c>
      <c r="C451" s="3979" t="s">
        <v>1</v>
      </c>
      <c r="D451" s="3980">
        <v>8.5</v>
      </c>
      <c r="E451" s="3981">
        <f t="shared" ref="E451:E471" si="4">B451*D451</f>
        <v>102</v>
      </c>
    </row>
    <row r="452" spans="1:5">
      <c r="A452" s="3982" t="s">
        <v>1476</v>
      </c>
      <c r="B452" s="3983">
        <v>1.35</v>
      </c>
      <c r="C452" s="3984" t="s">
        <v>2</v>
      </c>
      <c r="D452" s="3985">
        <v>334.5</v>
      </c>
      <c r="E452" s="3986">
        <f t="shared" si="4"/>
        <v>451.58</v>
      </c>
    </row>
    <row r="453" spans="1:5">
      <c r="A453" s="3987" t="s">
        <v>1254</v>
      </c>
      <c r="B453" s="3988">
        <v>1.68</v>
      </c>
      <c r="C453" s="3984" t="s">
        <v>2</v>
      </c>
      <c r="D453" s="3985">
        <v>165</v>
      </c>
      <c r="E453" s="3986">
        <f t="shared" si="4"/>
        <v>277.2</v>
      </c>
    </row>
    <row r="454" spans="1:5">
      <c r="A454" s="3987" t="s">
        <v>1103</v>
      </c>
      <c r="B454" s="3988">
        <v>1.35</v>
      </c>
      <c r="C454" s="3984" t="s">
        <v>2</v>
      </c>
      <c r="D454" s="3989">
        <f>+E448</f>
        <v>5499.41</v>
      </c>
      <c r="E454" s="3986">
        <f t="shared" si="4"/>
        <v>7424.2</v>
      </c>
    </row>
    <row r="455" spans="1:5">
      <c r="A455" s="3987" t="s">
        <v>1477</v>
      </c>
      <c r="B455" s="3983">
        <v>7.2</v>
      </c>
      <c r="C455" s="3984" t="s">
        <v>11</v>
      </c>
      <c r="D455" s="3985">
        <f>E423</f>
        <v>910.91</v>
      </c>
      <c r="E455" s="3986">
        <f t="shared" si="4"/>
        <v>6558.55</v>
      </c>
    </row>
    <row r="456" spans="1:5">
      <c r="A456" s="3990" t="s">
        <v>1105</v>
      </c>
      <c r="B456" s="3991">
        <v>12</v>
      </c>
      <c r="C456" s="3992" t="s">
        <v>13</v>
      </c>
      <c r="D456" s="3993">
        <v>52.79</v>
      </c>
      <c r="E456" s="3994">
        <f t="shared" si="4"/>
        <v>633.48</v>
      </c>
    </row>
    <row r="457" spans="1:5">
      <c r="A457" s="3995" t="s">
        <v>1478</v>
      </c>
      <c r="B457" s="3991">
        <v>4</v>
      </c>
      <c r="C457" s="3992" t="s">
        <v>3</v>
      </c>
      <c r="D457" s="3993">
        <v>1493.33</v>
      </c>
      <c r="E457" s="3994">
        <f t="shared" si="4"/>
        <v>5973.32</v>
      </c>
    </row>
    <row r="458" spans="1:5">
      <c r="A458" s="3990" t="s">
        <v>1106</v>
      </c>
      <c r="B458" s="3991">
        <v>2</v>
      </c>
      <c r="C458" s="3992" t="s">
        <v>3</v>
      </c>
      <c r="D458" s="3993">
        <v>1205.8499999999999</v>
      </c>
      <c r="E458" s="3994">
        <f t="shared" si="4"/>
        <v>2411.6999999999998</v>
      </c>
    </row>
    <row r="459" spans="1:5">
      <c r="A459" s="3995" t="s">
        <v>1107</v>
      </c>
      <c r="B459" s="3991">
        <v>21.6</v>
      </c>
      <c r="C459" s="3992" t="s">
        <v>11</v>
      </c>
      <c r="D459" s="3993">
        <v>237.49</v>
      </c>
      <c r="E459" s="3994">
        <f t="shared" si="4"/>
        <v>5129.78</v>
      </c>
    </row>
    <row r="460" spans="1:5">
      <c r="A460" s="3990" t="s">
        <v>1108</v>
      </c>
      <c r="B460" s="3991">
        <v>2</v>
      </c>
      <c r="C460" s="3992" t="s">
        <v>3</v>
      </c>
      <c r="D460" s="3993">
        <v>33</v>
      </c>
      <c r="E460" s="3994">
        <f t="shared" si="4"/>
        <v>66</v>
      </c>
    </row>
    <row r="461" spans="1:5">
      <c r="A461" s="3990" t="s">
        <v>1109</v>
      </c>
      <c r="B461" s="3991">
        <v>3</v>
      </c>
      <c r="C461" s="3992" t="s">
        <v>3</v>
      </c>
      <c r="D461" s="3993">
        <v>35</v>
      </c>
      <c r="E461" s="3994">
        <f t="shared" si="4"/>
        <v>105</v>
      </c>
    </row>
    <row r="462" spans="1:5">
      <c r="A462" s="3995" t="s">
        <v>1110</v>
      </c>
      <c r="B462" s="3991">
        <v>4</v>
      </c>
      <c r="C462" s="3992" t="s">
        <v>3</v>
      </c>
      <c r="D462" s="3993">
        <v>130</v>
      </c>
      <c r="E462" s="3994">
        <f t="shared" si="4"/>
        <v>520</v>
      </c>
    </row>
    <row r="463" spans="1:5">
      <c r="A463" s="3990" t="s">
        <v>1111</v>
      </c>
      <c r="B463" s="3991">
        <v>36</v>
      </c>
      <c r="C463" s="3992" t="s">
        <v>13</v>
      </c>
      <c r="D463" s="3993">
        <v>6.5</v>
      </c>
      <c r="E463" s="3994">
        <f t="shared" si="4"/>
        <v>234</v>
      </c>
    </row>
    <row r="464" spans="1:5">
      <c r="A464" s="3995" t="s">
        <v>1112</v>
      </c>
      <c r="B464" s="3991">
        <v>1</v>
      </c>
      <c r="C464" s="3992" t="s">
        <v>183</v>
      </c>
      <c r="D464" s="3993">
        <v>36</v>
      </c>
      <c r="E464" s="3994">
        <f t="shared" si="4"/>
        <v>36</v>
      </c>
    </row>
    <row r="465" spans="1:5">
      <c r="A465" s="3990" t="s">
        <v>1113</v>
      </c>
      <c r="B465" s="3991">
        <v>19.2</v>
      </c>
      <c r="C465" s="3992" t="s">
        <v>11</v>
      </c>
      <c r="D465" s="3993">
        <f>+E358</f>
        <v>321.97000000000003</v>
      </c>
      <c r="E465" s="3994">
        <f t="shared" si="4"/>
        <v>6181.82</v>
      </c>
    </row>
    <row r="466" spans="1:5">
      <c r="A466" s="3990" t="s">
        <v>1479</v>
      </c>
      <c r="B466" s="3991">
        <v>34.200000000000003</v>
      </c>
      <c r="C466" s="3992" t="s">
        <v>11</v>
      </c>
      <c r="D466" s="3993">
        <f>+E395</f>
        <v>55</v>
      </c>
      <c r="E466" s="3994">
        <f>B466*D466</f>
        <v>1881</v>
      </c>
    </row>
    <row r="467" spans="1:5">
      <c r="A467" s="3990" t="s">
        <v>1480</v>
      </c>
      <c r="B467" s="3991">
        <v>34.200000000000003</v>
      </c>
      <c r="C467" s="3992" t="s">
        <v>11</v>
      </c>
      <c r="D467" s="3993">
        <f>+E401</f>
        <v>123.2</v>
      </c>
      <c r="E467" s="3994">
        <f t="shared" si="4"/>
        <v>4213.4399999999996</v>
      </c>
    </row>
    <row r="468" spans="1:5">
      <c r="A468" s="3990" t="s">
        <v>1115</v>
      </c>
      <c r="B468" s="3991">
        <v>2</v>
      </c>
      <c r="C468" s="3992" t="s">
        <v>3</v>
      </c>
      <c r="D468" s="3993">
        <v>316</v>
      </c>
      <c r="E468" s="3994">
        <f t="shared" si="4"/>
        <v>632</v>
      </c>
    </row>
    <row r="469" spans="1:5">
      <c r="A469" s="3990" t="s">
        <v>1116</v>
      </c>
      <c r="B469" s="3991">
        <v>6</v>
      </c>
      <c r="C469" s="3992" t="s">
        <v>3</v>
      </c>
      <c r="D469" s="3996">
        <v>26</v>
      </c>
      <c r="E469" s="3994">
        <f t="shared" si="4"/>
        <v>156</v>
      </c>
    </row>
    <row r="470" spans="1:5">
      <c r="A470" s="3990" t="s">
        <v>41</v>
      </c>
      <c r="B470" s="3991">
        <v>12</v>
      </c>
      <c r="C470" s="3992" t="s">
        <v>13</v>
      </c>
      <c r="D470" s="3993">
        <v>192.5</v>
      </c>
      <c r="E470" s="3994">
        <f t="shared" si="4"/>
        <v>2310</v>
      </c>
    </row>
    <row r="471" spans="1:5">
      <c r="A471" s="3990" t="s">
        <v>1481</v>
      </c>
      <c r="B471" s="3991">
        <v>16.8</v>
      </c>
      <c r="C471" s="3992" t="s">
        <v>11</v>
      </c>
      <c r="D471" s="3993">
        <f>+D467</f>
        <v>123.2</v>
      </c>
      <c r="E471" s="3994">
        <f t="shared" si="4"/>
        <v>2069.7600000000002</v>
      </c>
    </row>
    <row r="472" spans="1:5">
      <c r="A472" s="3997" t="s">
        <v>1118</v>
      </c>
      <c r="B472" s="3998"/>
      <c r="C472" s="3998"/>
      <c r="D472" s="3999"/>
      <c r="E472" s="4000">
        <f>SUM(E451:E471)</f>
        <v>47366.83</v>
      </c>
    </row>
    <row r="473" spans="1:5" ht="13.5" thickBot="1">
      <c r="A473" s="4001" t="s">
        <v>1482</v>
      </c>
      <c r="B473" s="4002"/>
      <c r="C473" s="4003"/>
      <c r="D473" s="4003"/>
      <c r="E473" s="4004">
        <f>ROUND(E472/12,2)</f>
        <v>3947.24</v>
      </c>
    </row>
    <row r="474" spans="1:5">
      <c r="A474" s="4005"/>
      <c r="B474" s="4005"/>
      <c r="C474" s="4005"/>
      <c r="D474" s="4005"/>
      <c r="E474" s="4006"/>
    </row>
    <row r="475" spans="1:5">
      <c r="A475" s="4007"/>
      <c r="B475" s="4007"/>
      <c r="C475" s="4007"/>
      <c r="D475" s="4007"/>
      <c r="E475" s="4008"/>
    </row>
    <row r="476" spans="1:5" ht="13.5" thickBot="1">
      <c r="A476" s="4933" t="s">
        <v>1121</v>
      </c>
      <c r="B476" s="4933"/>
      <c r="C476" s="4933"/>
      <c r="D476" s="4933"/>
      <c r="E476" s="4933"/>
    </row>
    <row r="477" spans="1:5" ht="13.5" thickBot="1">
      <c r="A477" s="4009" t="s">
        <v>285</v>
      </c>
      <c r="B477" s="4010" t="s">
        <v>286</v>
      </c>
      <c r="C477" s="4010" t="s">
        <v>340</v>
      </c>
      <c r="D477" s="4010" t="s">
        <v>288</v>
      </c>
      <c r="E477" s="4011" t="s">
        <v>289</v>
      </c>
    </row>
    <row r="478" spans="1:5">
      <c r="A478" s="4012" t="s">
        <v>1483</v>
      </c>
      <c r="B478" s="4013">
        <v>4</v>
      </c>
      <c r="C478" s="4014" t="s">
        <v>3</v>
      </c>
      <c r="D478" s="4015">
        <v>1908.5</v>
      </c>
      <c r="E478" s="4016">
        <f t="shared" ref="E478:E486" si="5">B478*D478</f>
        <v>7634</v>
      </c>
    </row>
    <row r="479" spans="1:5">
      <c r="A479" s="3990" t="s">
        <v>1122</v>
      </c>
      <c r="B479" s="4017">
        <v>8</v>
      </c>
      <c r="C479" s="3992" t="s">
        <v>3</v>
      </c>
      <c r="D479" s="3996">
        <f>+D457</f>
        <v>1493.33</v>
      </c>
      <c r="E479" s="3994">
        <f t="shared" si="5"/>
        <v>11946.64</v>
      </c>
    </row>
    <row r="480" spans="1:5">
      <c r="A480" s="3990" t="s">
        <v>1124</v>
      </c>
      <c r="B480" s="4017">
        <v>2</v>
      </c>
      <c r="C480" s="3992" t="s">
        <v>3</v>
      </c>
      <c r="D480" s="3996">
        <v>33</v>
      </c>
      <c r="E480" s="3994">
        <f t="shared" si="5"/>
        <v>66</v>
      </c>
    </row>
    <row r="481" spans="1:5">
      <c r="A481" s="3990" t="s">
        <v>1125</v>
      </c>
      <c r="B481" s="4017">
        <v>4</v>
      </c>
      <c r="C481" s="3992" t="s">
        <v>3</v>
      </c>
      <c r="D481" s="3996">
        <v>35</v>
      </c>
      <c r="E481" s="3994">
        <f t="shared" si="5"/>
        <v>140</v>
      </c>
    </row>
    <row r="482" spans="1:5">
      <c r="A482" s="3990" t="s">
        <v>977</v>
      </c>
      <c r="B482" s="4017">
        <v>8.25</v>
      </c>
      <c r="C482" s="3992" t="s">
        <v>11</v>
      </c>
      <c r="D482" s="3996">
        <v>237.49</v>
      </c>
      <c r="E482" s="3994">
        <f t="shared" si="5"/>
        <v>1959.29</v>
      </c>
    </row>
    <row r="483" spans="1:5">
      <c r="A483" s="3990" t="s">
        <v>1126</v>
      </c>
      <c r="B483" s="4017">
        <v>2</v>
      </c>
      <c r="C483" s="3992" t="s">
        <v>3</v>
      </c>
      <c r="D483" s="3993">
        <v>316</v>
      </c>
      <c r="E483" s="3994">
        <f t="shared" si="5"/>
        <v>632</v>
      </c>
    </row>
    <row r="484" spans="1:5">
      <c r="A484" s="3990" t="s">
        <v>1116</v>
      </c>
      <c r="B484" s="4017">
        <v>6</v>
      </c>
      <c r="C484" s="3992" t="s">
        <v>3</v>
      </c>
      <c r="D484" s="3996">
        <v>26</v>
      </c>
      <c r="E484" s="3994">
        <f t="shared" si="5"/>
        <v>156</v>
      </c>
    </row>
    <row r="485" spans="1:5">
      <c r="A485" s="3990" t="s">
        <v>1127</v>
      </c>
      <c r="B485" s="4017">
        <v>2</v>
      </c>
      <c r="C485" s="3992" t="s">
        <v>1128</v>
      </c>
      <c r="D485" s="3996">
        <v>36</v>
      </c>
      <c r="E485" s="3994">
        <f t="shared" si="5"/>
        <v>72</v>
      </c>
    </row>
    <row r="486" spans="1:5">
      <c r="A486" s="3995" t="s">
        <v>1129</v>
      </c>
      <c r="B486" s="4017">
        <v>1</v>
      </c>
      <c r="C486" s="3992" t="s">
        <v>148</v>
      </c>
      <c r="D486" s="3996">
        <v>2500</v>
      </c>
      <c r="E486" s="3994">
        <f t="shared" si="5"/>
        <v>2500</v>
      </c>
    </row>
    <row r="487" spans="1:5">
      <c r="A487" s="4018" t="s">
        <v>1130</v>
      </c>
      <c r="B487" s="4017"/>
      <c r="C487" s="3992"/>
      <c r="D487" s="3996"/>
      <c r="E487" s="3994"/>
    </row>
    <row r="488" spans="1:5">
      <c r="A488" s="3990" t="s">
        <v>1131</v>
      </c>
      <c r="B488" s="4017">
        <v>1</v>
      </c>
      <c r="C488" s="3992" t="s">
        <v>148</v>
      </c>
      <c r="D488" s="3996">
        <v>1977</v>
      </c>
      <c r="E488" s="3994">
        <f t="shared" ref="E488:E495" si="6">B488*D488</f>
        <v>1977</v>
      </c>
    </row>
    <row r="489" spans="1:5">
      <c r="A489" s="3995" t="s">
        <v>1132</v>
      </c>
      <c r="B489" s="4017">
        <v>1</v>
      </c>
      <c r="C489" s="3992" t="s">
        <v>148</v>
      </c>
      <c r="D489" s="3996">
        <v>850</v>
      </c>
      <c r="E489" s="3994">
        <f t="shared" si="6"/>
        <v>850</v>
      </c>
    </row>
    <row r="490" spans="1:5">
      <c r="A490" s="3990" t="s">
        <v>1133</v>
      </c>
      <c r="B490" s="4017">
        <v>1</v>
      </c>
      <c r="C490" s="3992" t="s">
        <v>148</v>
      </c>
      <c r="D490" s="3996">
        <v>650</v>
      </c>
      <c r="E490" s="3994">
        <f t="shared" si="6"/>
        <v>650</v>
      </c>
    </row>
    <row r="491" spans="1:5">
      <c r="A491" s="3990" t="s">
        <v>1134</v>
      </c>
      <c r="B491" s="4017">
        <v>1</v>
      </c>
      <c r="C491" s="3992" t="s">
        <v>3</v>
      </c>
      <c r="D491" s="3996">
        <v>450</v>
      </c>
      <c r="E491" s="3994">
        <f t="shared" si="6"/>
        <v>450</v>
      </c>
    </row>
    <row r="492" spans="1:5">
      <c r="A492" s="3990" t="s">
        <v>1135</v>
      </c>
      <c r="B492" s="4017">
        <v>1</v>
      </c>
      <c r="C492" s="3992" t="s">
        <v>3</v>
      </c>
      <c r="D492" s="3996">
        <v>145</v>
      </c>
      <c r="E492" s="3994">
        <f t="shared" si="6"/>
        <v>145</v>
      </c>
    </row>
    <row r="493" spans="1:5">
      <c r="A493" s="3990" t="s">
        <v>1136</v>
      </c>
      <c r="B493" s="4017">
        <v>6</v>
      </c>
      <c r="C493" s="3992" t="s">
        <v>3</v>
      </c>
      <c r="D493" s="3996">
        <v>87.65</v>
      </c>
      <c r="E493" s="3994">
        <f t="shared" si="6"/>
        <v>525.9</v>
      </c>
    </row>
    <row r="494" spans="1:5">
      <c r="A494" s="3990" t="s">
        <v>1137</v>
      </c>
      <c r="B494" s="4017">
        <v>12</v>
      </c>
      <c r="C494" s="3992" t="s">
        <v>13</v>
      </c>
      <c r="D494" s="3996">
        <v>6.5</v>
      </c>
      <c r="E494" s="3994">
        <f t="shared" si="6"/>
        <v>78</v>
      </c>
    </row>
    <row r="495" spans="1:5">
      <c r="A495" s="3990" t="s">
        <v>536</v>
      </c>
      <c r="B495" s="4017">
        <v>16.34</v>
      </c>
      <c r="C495" s="3992" t="s">
        <v>11</v>
      </c>
      <c r="D495" s="3996">
        <f>+D471</f>
        <v>123.2</v>
      </c>
      <c r="E495" s="3994">
        <f t="shared" si="6"/>
        <v>2013.09</v>
      </c>
    </row>
    <row r="496" spans="1:5">
      <c r="A496" s="3990" t="s">
        <v>1138</v>
      </c>
      <c r="B496" s="4017"/>
      <c r="C496" s="3992"/>
      <c r="D496" s="3996" t="s">
        <v>42</v>
      </c>
      <c r="E496" s="3994">
        <v>3500</v>
      </c>
    </row>
    <row r="497" spans="1:5">
      <c r="A497" s="3990" t="s">
        <v>8</v>
      </c>
      <c r="B497" s="4017"/>
      <c r="C497" s="3992"/>
      <c r="D497" s="3996" t="s">
        <v>42</v>
      </c>
      <c r="E497" s="3994">
        <v>1000</v>
      </c>
    </row>
    <row r="498" spans="1:5" ht="13.5" thickBot="1">
      <c r="A498" s="4001" t="s">
        <v>1139</v>
      </c>
      <c r="B498" s="4019"/>
      <c r="C498" s="4019"/>
      <c r="D498" s="4020" t="s">
        <v>1039</v>
      </c>
      <c r="E498" s="4004">
        <f>SUM(E478:E497)</f>
        <v>36294.92</v>
      </c>
    </row>
    <row r="499" spans="1:5">
      <c r="A499" s="3888"/>
      <c r="B499" s="3886"/>
      <c r="C499" s="3887"/>
      <c r="D499" s="3886"/>
      <c r="E499" s="3886"/>
    </row>
    <row r="500" spans="1:5">
      <c r="A500" s="3888"/>
      <c r="B500" s="3886"/>
      <c r="C500" s="3887"/>
      <c r="D500" s="3886"/>
      <c r="E500" s="3886"/>
    </row>
    <row r="501" spans="1:5">
      <c r="A501" s="4021" t="s">
        <v>1484</v>
      </c>
      <c r="B501" s="4022"/>
      <c r="C501" s="4023"/>
      <c r="D501" s="4024"/>
      <c r="E501" s="4025"/>
    </row>
    <row r="502" spans="1:5" ht="13.5" thickBot="1">
      <c r="A502" s="4021" t="s">
        <v>1485</v>
      </c>
      <c r="B502" s="4026"/>
      <c r="C502" s="4027"/>
      <c r="D502" s="4026"/>
      <c r="E502" s="4026"/>
    </row>
    <row r="503" spans="1:5" ht="13.5" thickTop="1">
      <c r="A503" s="4028" t="s">
        <v>1060</v>
      </c>
      <c r="B503" s="4029">
        <v>1.05</v>
      </c>
      <c r="C503" s="4030" t="s">
        <v>2</v>
      </c>
      <c r="D503" s="4031">
        <f>+E187</f>
        <v>3594.68</v>
      </c>
      <c r="E503" s="4032">
        <f>B503*D503</f>
        <v>3774.41</v>
      </c>
    </row>
    <row r="504" spans="1:5">
      <c r="A504" s="4033" t="s">
        <v>1486</v>
      </c>
      <c r="B504" s="4034">
        <v>4.79</v>
      </c>
      <c r="C504" s="4035" t="s">
        <v>126</v>
      </c>
      <c r="D504" s="4036">
        <f>+E203</f>
        <v>2590</v>
      </c>
      <c r="E504" s="4037">
        <f>B504*D504</f>
        <v>12406.1</v>
      </c>
    </row>
    <row r="505" spans="1:5">
      <c r="A505" s="4038" t="s">
        <v>41</v>
      </c>
      <c r="B505" s="4034">
        <f>1/(0.25*0.25)</f>
        <v>16</v>
      </c>
      <c r="C505" s="4035" t="s">
        <v>13</v>
      </c>
      <c r="D505" s="4036">
        <v>250</v>
      </c>
      <c r="E505" s="4037">
        <f>B505*D505</f>
        <v>4000</v>
      </c>
    </row>
    <row r="506" spans="1:5">
      <c r="A506" s="4033" t="s">
        <v>1089</v>
      </c>
      <c r="B506" s="4034">
        <f>1/(0.25*0.25)</f>
        <v>16</v>
      </c>
      <c r="C506" s="4035" t="s">
        <v>13</v>
      </c>
      <c r="D506" s="4036">
        <v>100</v>
      </c>
      <c r="E506" s="4037">
        <f>B506*D506</f>
        <v>1600</v>
      </c>
    </row>
    <row r="507" spans="1:5" ht="13.5" thickBot="1">
      <c r="A507" s="4039"/>
      <c r="B507" s="4040"/>
      <c r="C507" s="4041"/>
      <c r="D507" s="4042"/>
      <c r="E507" s="4043">
        <f>ROUND(SUM(E503:E506),2)</f>
        <v>21780.51</v>
      </c>
    </row>
    <row r="508" spans="1:5" ht="13.5" thickTop="1">
      <c r="A508" s="4044" t="s">
        <v>1147</v>
      </c>
      <c r="B508" s="4045">
        <v>0.22</v>
      </c>
      <c r="C508" s="4023" t="s">
        <v>2</v>
      </c>
      <c r="D508" s="4024"/>
      <c r="E508" s="4025"/>
    </row>
    <row r="509" spans="1:5">
      <c r="A509" s="4044" t="s">
        <v>1148</v>
      </c>
      <c r="B509" s="4046">
        <f>E507*B508</f>
        <v>4791.71</v>
      </c>
      <c r="C509" s="4023" t="s">
        <v>1149</v>
      </c>
      <c r="D509" s="4024"/>
      <c r="E509" s="4025"/>
    </row>
    <row r="510" spans="1:5">
      <c r="A510" s="4022"/>
      <c r="B510" s="4022"/>
      <c r="C510" s="4023"/>
      <c r="D510" s="4024"/>
      <c r="E510" s="4025"/>
    </row>
    <row r="511" spans="1:5" ht="13.5" thickBot="1">
      <c r="A511" s="4021" t="s">
        <v>1150</v>
      </c>
      <c r="B511" s="4026"/>
      <c r="C511" s="4027"/>
      <c r="D511" s="4026"/>
      <c r="E511" s="4026"/>
    </row>
    <row r="512" spans="1:5" ht="13.5" thickTop="1">
      <c r="A512" s="4028" t="s">
        <v>1060</v>
      </c>
      <c r="B512" s="4029">
        <v>1.05</v>
      </c>
      <c r="C512" s="4030" t="s">
        <v>2</v>
      </c>
      <c r="D512" s="4031">
        <f>+D503</f>
        <v>3594.68</v>
      </c>
      <c r="E512" s="4047">
        <f>B512*D512</f>
        <v>3774.41</v>
      </c>
    </row>
    <row r="513" spans="1:5">
      <c r="A513" s="4033" t="s">
        <v>272</v>
      </c>
      <c r="B513" s="4034">
        <v>1.43</v>
      </c>
      <c r="C513" s="4035" t="s">
        <v>126</v>
      </c>
      <c r="D513" s="4036">
        <f>+D447</f>
        <v>2875</v>
      </c>
      <c r="E513" s="4037">
        <f>B513*D513</f>
        <v>4111.25</v>
      </c>
    </row>
    <row r="514" spans="1:5" ht="13.5" thickBot="1">
      <c r="A514" s="4039"/>
      <c r="B514" s="4040"/>
      <c r="C514" s="4041"/>
      <c r="D514" s="4042"/>
      <c r="E514" s="4043">
        <f>ROUND(SUM(E511:E513),2)</f>
        <v>7885.66</v>
      </c>
    </row>
    <row r="515" spans="1:5" ht="13.5" thickTop="1">
      <c r="A515" s="4044" t="s">
        <v>1151</v>
      </c>
      <c r="B515" s="4022">
        <v>0.14000000000000001</v>
      </c>
      <c r="C515" s="4023" t="s">
        <v>2</v>
      </c>
      <c r="D515" s="4024"/>
      <c r="E515" s="4025"/>
    </row>
    <row r="516" spans="1:5">
      <c r="A516" s="4044" t="s">
        <v>1148</v>
      </c>
      <c r="B516" s="4046">
        <f>E514*B515</f>
        <v>1103.99</v>
      </c>
      <c r="C516" s="4023" t="s">
        <v>1149</v>
      </c>
      <c r="D516" s="4024"/>
      <c r="E516" s="4025"/>
    </row>
    <row r="517" spans="1:5">
      <c r="A517" s="4044" t="s">
        <v>1152</v>
      </c>
      <c r="B517" s="4023">
        <v>1</v>
      </c>
      <c r="C517" s="4048" t="s">
        <v>3</v>
      </c>
      <c r="D517" s="4049">
        <f>+D503</f>
        <v>3594.68</v>
      </c>
      <c r="E517" s="4025">
        <f>D517*B517</f>
        <v>3594.68</v>
      </c>
    </row>
    <row r="518" spans="1:5">
      <c r="A518" s="4044" t="s">
        <v>1153</v>
      </c>
      <c r="B518" s="4023">
        <v>2.3199999999999998</v>
      </c>
      <c r="C518" s="4050" t="s">
        <v>11</v>
      </c>
      <c r="D518" s="4050">
        <f>+E358</f>
        <v>321.97000000000003</v>
      </c>
      <c r="E518" s="4025">
        <f>D518*B518</f>
        <v>746.97</v>
      </c>
    </row>
    <row r="519" spans="1:5">
      <c r="A519" s="4044" t="s">
        <v>177</v>
      </c>
      <c r="B519" s="4023">
        <v>13.5</v>
      </c>
      <c r="C519" s="4050" t="s">
        <v>13</v>
      </c>
      <c r="D519" s="4050">
        <f>+E389</f>
        <v>82.24</v>
      </c>
      <c r="E519" s="4025">
        <f>D519*B519</f>
        <v>1110.24</v>
      </c>
    </row>
    <row r="520" spans="1:5">
      <c r="A520" s="4044" t="s">
        <v>1487</v>
      </c>
      <c r="B520" s="4023">
        <v>1.9</v>
      </c>
      <c r="C520" s="4050" t="s">
        <v>11</v>
      </c>
      <c r="D520" s="4050">
        <f>+D495</f>
        <v>123.2</v>
      </c>
      <c r="E520" s="4025">
        <f>D520*B520</f>
        <v>234.08</v>
      </c>
    </row>
    <row r="521" spans="1:5" ht="13.5" thickBot="1">
      <c r="A521" s="4044" t="s">
        <v>1154</v>
      </c>
      <c r="B521" s="4933" t="s">
        <v>1144</v>
      </c>
      <c r="C521" s="4933"/>
      <c r="D521" s="4933"/>
      <c r="E521" s="4051">
        <f>ROUND(SUM(E517:E520),2)</f>
        <v>5685.97</v>
      </c>
    </row>
    <row r="522" spans="1:5" ht="14.25" thickTop="1" thickBot="1">
      <c r="A522" s="4052" t="s">
        <v>1488</v>
      </c>
      <c r="B522" s="4053" t="s">
        <v>1148</v>
      </c>
      <c r="C522" s="4054"/>
      <c r="D522" s="4055">
        <f>ROUND(E521,2)</f>
        <v>5685.97</v>
      </c>
      <c r="E522" s="4025"/>
    </row>
    <row r="523" spans="1:5">
      <c r="A523" s="4026"/>
      <c r="B523" s="4056"/>
      <c r="C523" s="4048"/>
      <c r="D523" s="4056"/>
      <c r="E523" s="4056"/>
    </row>
    <row r="524" spans="1:5" ht="13.5" thickBot="1">
      <c r="A524" s="4021" t="s">
        <v>1489</v>
      </c>
      <c r="B524" s="4022"/>
      <c r="C524" s="4057"/>
      <c r="D524" s="4024"/>
      <c r="E524" s="4025"/>
    </row>
    <row r="525" spans="1:5" ht="13.5" thickTop="1">
      <c r="A525" s="4058" t="s">
        <v>1141</v>
      </c>
      <c r="B525" s="4059"/>
      <c r="C525" s="4059"/>
      <c r="D525" s="4059"/>
      <c r="E525" s="4060"/>
    </row>
    <row r="526" spans="1:5">
      <c r="A526" s="4033" t="s">
        <v>1060</v>
      </c>
      <c r="B526" s="4061">
        <v>1.05</v>
      </c>
      <c r="C526" s="4062" t="s">
        <v>2</v>
      </c>
      <c r="D526" s="4036">
        <f>+D512</f>
        <v>3594.68</v>
      </c>
      <c r="E526" s="4063">
        <f>B526*D526</f>
        <v>3774.41</v>
      </c>
    </row>
    <row r="527" spans="1:5">
      <c r="A527" s="4064" t="s">
        <v>1490</v>
      </c>
      <c r="B527" s="4065">
        <v>8.15</v>
      </c>
      <c r="C527" s="4066" t="s">
        <v>126</v>
      </c>
      <c r="D527" s="4065">
        <f>+D504</f>
        <v>2590</v>
      </c>
      <c r="E527" s="4067">
        <f>B527*D527</f>
        <v>21108.5</v>
      </c>
    </row>
    <row r="528" spans="1:5">
      <c r="A528" s="4064" t="s">
        <v>1491</v>
      </c>
      <c r="B528" s="4065">
        <v>44.44</v>
      </c>
      <c r="C528" s="4066" t="s">
        <v>13</v>
      </c>
      <c r="D528" s="4065">
        <f>+D505</f>
        <v>250</v>
      </c>
      <c r="E528" s="4067">
        <f>B528*D528</f>
        <v>11110</v>
      </c>
    </row>
    <row r="529" spans="1:5">
      <c r="A529" s="4033" t="s">
        <v>1089</v>
      </c>
      <c r="B529" s="4034">
        <f>+B528</f>
        <v>44.44</v>
      </c>
      <c r="C529" s="4035" t="s">
        <v>13</v>
      </c>
      <c r="D529" s="4036">
        <v>100</v>
      </c>
      <c r="E529" s="4037">
        <f>B529*D529</f>
        <v>4444</v>
      </c>
    </row>
    <row r="530" spans="1:5">
      <c r="A530" s="4068"/>
      <c r="B530" s="4069"/>
      <c r="C530" s="4069"/>
      <c r="D530" s="4070"/>
      <c r="E530" s="4071">
        <f>ROUND(SUM(E526:E529),2)</f>
        <v>40436.910000000003</v>
      </c>
    </row>
    <row r="531" spans="1:5">
      <c r="A531" s="4072" t="s">
        <v>1142</v>
      </c>
      <c r="B531" s="4022">
        <v>1.2999999999999999E-2</v>
      </c>
      <c r="C531" s="4057" t="s">
        <v>2</v>
      </c>
      <c r="D531" s="4024"/>
      <c r="E531" s="4073"/>
    </row>
    <row r="532" spans="1:5">
      <c r="A532" s="4072" t="s">
        <v>1148</v>
      </c>
      <c r="B532" s="4074">
        <f>+B531*E530</f>
        <v>525.67999999999995</v>
      </c>
      <c r="C532" s="4023" t="s">
        <v>1149</v>
      </c>
      <c r="D532" s="4075"/>
      <c r="E532" s="4073"/>
    </row>
    <row r="533" spans="1:5">
      <c r="A533" s="4072"/>
      <c r="B533" s="4023"/>
      <c r="C533" s="4022"/>
      <c r="D533" s="4075"/>
      <c r="E533" s="4073"/>
    </row>
    <row r="534" spans="1:5">
      <c r="A534" s="3888"/>
      <c r="B534" s="3886"/>
      <c r="C534" s="3887"/>
      <c r="D534" s="3886"/>
      <c r="E534" s="3886"/>
    </row>
    <row r="535" spans="1:5" ht="13.5" thickBot="1">
      <c r="A535" s="4076" t="s">
        <v>1229</v>
      </c>
      <c r="B535" s="4077"/>
      <c r="C535" s="4077"/>
      <c r="D535" s="4077"/>
      <c r="E535" s="4077"/>
    </row>
    <row r="536" spans="1:5" ht="13.5" thickTop="1">
      <c r="A536" s="4078" t="s">
        <v>1059</v>
      </c>
      <c r="B536" s="4079">
        <v>1</v>
      </c>
      <c r="C536" s="4080" t="s">
        <v>11</v>
      </c>
      <c r="D536" s="4079">
        <v>20</v>
      </c>
      <c r="E536" s="4081">
        <f>B536*D536</f>
        <v>20</v>
      </c>
    </row>
    <row r="537" spans="1:5">
      <c r="A537" s="4082" t="s">
        <v>1060</v>
      </c>
      <c r="B537" s="4083">
        <v>0.105</v>
      </c>
      <c r="C537" s="4084" t="s">
        <v>2</v>
      </c>
      <c r="D537" s="4085">
        <f>+D526</f>
        <v>3594.68</v>
      </c>
      <c r="E537" s="4086">
        <f>B537*D537</f>
        <v>377.44</v>
      </c>
    </row>
    <row r="538" spans="1:5">
      <c r="A538" s="4082" t="s">
        <v>154</v>
      </c>
      <c r="B538" s="4083">
        <v>2.1999999999999999E-2</v>
      </c>
      <c r="C538" s="4084" t="s">
        <v>155</v>
      </c>
      <c r="D538" s="4087">
        <v>45</v>
      </c>
      <c r="E538" s="4088">
        <f>B538*D538</f>
        <v>0.99</v>
      </c>
    </row>
    <row r="539" spans="1:5">
      <c r="A539" s="4082" t="s">
        <v>1061</v>
      </c>
      <c r="B539" s="4087">
        <v>1</v>
      </c>
      <c r="C539" s="4084" t="s">
        <v>11</v>
      </c>
      <c r="D539" s="4087">
        <v>140</v>
      </c>
      <c r="E539" s="4088">
        <f>B539*D539</f>
        <v>140</v>
      </c>
    </row>
    <row r="540" spans="1:5">
      <c r="A540" s="4082" t="s">
        <v>1062</v>
      </c>
      <c r="B540" s="4087">
        <f>1/0.8</f>
        <v>1.25</v>
      </c>
      <c r="C540" s="4084" t="s">
        <v>13</v>
      </c>
      <c r="D540" s="4087">
        <f>+D519</f>
        <v>82.24</v>
      </c>
      <c r="E540" s="4086">
        <f>B540*D540</f>
        <v>102.8</v>
      </c>
    </row>
    <row r="541" spans="1:5" ht="13.5" thickBot="1">
      <c r="A541" s="4089"/>
      <c r="B541" s="4090"/>
      <c r="C541" s="4090"/>
      <c r="D541" s="4091" t="s">
        <v>1031</v>
      </c>
      <c r="E541" s="4092">
        <f>SUM(E536:E540)</f>
        <v>641.23</v>
      </c>
    </row>
    <row r="542" spans="1:5" ht="13.5" thickTop="1">
      <c r="A542" s="3888"/>
      <c r="B542" s="3886"/>
      <c r="C542" s="3887"/>
      <c r="D542" s="3886"/>
      <c r="E542" s="3886"/>
    </row>
    <row r="543" spans="1:5" ht="13.5" thickBot="1">
      <c r="A543" s="3888"/>
      <c r="B543" s="3886"/>
      <c r="C543" s="3887"/>
      <c r="D543" s="3886"/>
      <c r="E543" s="3886"/>
    </row>
    <row r="544" spans="1:5" ht="14.25" thickTop="1" thickBot="1">
      <c r="A544" s="4093" t="s">
        <v>1492</v>
      </c>
      <c r="B544" s="4026"/>
      <c r="C544" s="4027"/>
      <c r="D544" s="4026"/>
      <c r="E544" s="4026"/>
    </row>
    <row r="545" spans="1:5" ht="13.5" thickTop="1">
      <c r="A545" s="4028" t="s">
        <v>1060</v>
      </c>
      <c r="B545" s="4029">
        <v>1.05</v>
      </c>
      <c r="C545" s="4030" t="s">
        <v>2</v>
      </c>
      <c r="D545" s="4031">
        <f>+D536</f>
        <v>20</v>
      </c>
      <c r="E545" s="4047">
        <f>B545*D545</f>
        <v>21</v>
      </c>
    </row>
    <row r="546" spans="1:5">
      <c r="A546" s="4033" t="s">
        <v>272</v>
      </c>
      <c r="B546" s="4034">
        <v>0.8</v>
      </c>
      <c r="C546" s="4035" t="s">
        <v>126</v>
      </c>
      <c r="D546" s="4036">
        <f>+D480</f>
        <v>33</v>
      </c>
      <c r="E546" s="4037">
        <f>B546*D546</f>
        <v>26.4</v>
      </c>
    </row>
    <row r="547" spans="1:5" ht="13.5" thickBot="1">
      <c r="A547" s="4039"/>
      <c r="B547" s="4040"/>
      <c r="C547" s="4041"/>
      <c r="D547" s="4042"/>
      <c r="E547" s="4043">
        <f>ROUND(SUM(E544:E546),2)</f>
        <v>47.4</v>
      </c>
    </row>
    <row r="548" spans="1:5" ht="13.5" thickTop="1">
      <c r="A548" s="3888"/>
      <c r="B548" s="3886"/>
      <c r="C548" s="3887"/>
      <c r="D548" s="3886"/>
      <c r="E548" s="3886"/>
    </row>
    <row r="549" spans="1:5" ht="24.75" thickBot="1">
      <c r="A549" s="4094" t="s">
        <v>1493</v>
      </c>
      <c r="B549" s="4077"/>
      <c r="C549" s="4077"/>
      <c r="D549" s="4077"/>
      <c r="E549" s="4077"/>
    </row>
    <row r="550" spans="1:5" ht="14.25" thickTop="1" thickBot="1">
      <c r="A550" s="4078" t="s">
        <v>1494</v>
      </c>
      <c r="B550" s="4079">
        <v>1</v>
      </c>
      <c r="C550" s="4080" t="s">
        <v>3</v>
      </c>
      <c r="D550" s="4095">
        <v>450</v>
      </c>
      <c r="E550" s="4096">
        <f>B550*D550</f>
        <v>450</v>
      </c>
    </row>
    <row r="551" spans="1:5" ht="14.25" thickTop="1" thickBot="1">
      <c r="A551" s="4078" t="s">
        <v>1495</v>
      </c>
      <c r="B551" s="4079">
        <f>1.45*1.45*1.5</f>
        <v>3.15</v>
      </c>
      <c r="C551" s="4080" t="s">
        <v>2</v>
      </c>
      <c r="D551" s="4095">
        <v>334.5</v>
      </c>
      <c r="E551" s="4096">
        <f t="shared" ref="E551:E563" si="7">B551*D551</f>
        <v>1053.68</v>
      </c>
    </row>
    <row r="552" spans="1:5" ht="14.25" thickTop="1" thickBot="1">
      <c r="A552" s="4078" t="s">
        <v>1496</v>
      </c>
      <c r="B552" s="4079">
        <f>B551*1.3</f>
        <v>4.0999999999999996</v>
      </c>
      <c r="C552" s="4080" t="s">
        <v>2</v>
      </c>
      <c r="D552" s="4095">
        <v>165</v>
      </c>
      <c r="E552" s="4096">
        <f>B552*D552</f>
        <v>676.5</v>
      </c>
    </row>
    <row r="553" spans="1:5" ht="14.25" thickTop="1" thickBot="1">
      <c r="A553" s="4078" t="s">
        <v>1492</v>
      </c>
      <c r="B553" s="4079">
        <f>1.45*1.45*0.15</f>
        <v>0.32</v>
      </c>
      <c r="C553" s="4080" t="s">
        <v>2</v>
      </c>
      <c r="D553" s="4095">
        <f>E177</f>
        <v>4086.5</v>
      </c>
      <c r="E553" s="4096">
        <f t="shared" si="7"/>
        <v>1307.68</v>
      </c>
    </row>
    <row r="554" spans="1:5" ht="14.25" thickTop="1" thickBot="1">
      <c r="A554" s="4078" t="s">
        <v>1497</v>
      </c>
      <c r="B554" s="4079">
        <f>(1.45+1.15)*2*1.5</f>
        <v>7.8</v>
      </c>
      <c r="C554" s="4080" t="s">
        <v>11</v>
      </c>
      <c r="D554" s="4095">
        <f>+B424</f>
        <v>887.78</v>
      </c>
      <c r="E554" s="4096">
        <f>B554*D554</f>
        <v>6924.68</v>
      </c>
    </row>
    <row r="555" spans="1:5" ht="14.25" thickTop="1" thickBot="1">
      <c r="A555" s="4078" t="s">
        <v>1498</v>
      </c>
      <c r="B555" s="4079">
        <f>1.45*1.45*0.15</f>
        <v>0.32</v>
      </c>
      <c r="C555" s="4080" t="s">
        <v>2</v>
      </c>
      <c r="D555" s="4095">
        <f>+D553</f>
        <v>4086.5</v>
      </c>
      <c r="E555" s="4096">
        <f>B555*D555</f>
        <v>1307.68</v>
      </c>
    </row>
    <row r="556" spans="1:5" ht="14.25" thickTop="1" thickBot="1">
      <c r="A556" s="4078" t="s">
        <v>1499</v>
      </c>
      <c r="B556" s="4079">
        <f>1.15*1.15</f>
        <v>1.32</v>
      </c>
      <c r="C556" s="4080" t="s">
        <v>11</v>
      </c>
      <c r="D556" s="4095">
        <f>E375</f>
        <v>492.84</v>
      </c>
      <c r="E556" s="4096">
        <f t="shared" si="7"/>
        <v>650.54999999999995</v>
      </c>
    </row>
    <row r="557" spans="1:5" ht="14.25" thickTop="1" thickBot="1">
      <c r="A557" s="4078" t="s">
        <v>860</v>
      </c>
      <c r="B557" s="4079">
        <f>1.45*1.45</f>
        <v>2.1</v>
      </c>
      <c r="C557" s="4080" t="s">
        <v>11</v>
      </c>
      <c r="D557" s="4095">
        <f>+E383</f>
        <v>469.61</v>
      </c>
      <c r="E557" s="4096">
        <f t="shared" si="7"/>
        <v>986.18</v>
      </c>
    </row>
    <row r="558" spans="1:5" ht="14.25" thickTop="1" thickBot="1">
      <c r="A558" s="4078" t="s">
        <v>158</v>
      </c>
      <c r="B558" s="4079">
        <f>(1.15*1.5*4)</f>
        <v>6.9</v>
      </c>
      <c r="C558" s="4080" t="s">
        <v>11</v>
      </c>
      <c r="D558" s="4095">
        <f>+E367</f>
        <v>279.08</v>
      </c>
      <c r="E558" s="4096">
        <f t="shared" si="7"/>
        <v>1925.65</v>
      </c>
    </row>
    <row r="559" spans="1:5" ht="14.25" thickTop="1" thickBot="1">
      <c r="A559" s="4078" t="s">
        <v>1500</v>
      </c>
      <c r="B559" s="4079">
        <f>(1.45*4*0.5)</f>
        <v>2.9</v>
      </c>
      <c r="C559" s="4080" t="s">
        <v>11</v>
      </c>
      <c r="D559" s="4095">
        <f>+E358</f>
        <v>321.97000000000003</v>
      </c>
      <c r="E559" s="4096">
        <f t="shared" si="7"/>
        <v>933.71</v>
      </c>
    </row>
    <row r="560" spans="1:5" ht="13.5" thickTop="1">
      <c r="A560" s="4078" t="s">
        <v>1501</v>
      </c>
      <c r="B560" s="4079">
        <f>1.45*4</f>
        <v>5.8</v>
      </c>
      <c r="C560" s="4080" t="s">
        <v>1</v>
      </c>
      <c r="D560" s="4095">
        <f>+E389</f>
        <v>82.24</v>
      </c>
      <c r="E560" s="4096">
        <f t="shared" si="7"/>
        <v>476.99</v>
      </c>
    </row>
    <row r="561" spans="1:5">
      <c r="A561" s="4082" t="s">
        <v>1502</v>
      </c>
      <c r="B561" s="4087">
        <v>1</v>
      </c>
      <c r="C561" s="4084" t="s">
        <v>3</v>
      </c>
      <c r="D561" s="4097">
        <v>3500</v>
      </c>
      <c r="E561" s="4098">
        <f t="shared" si="7"/>
        <v>3500</v>
      </c>
    </row>
    <row r="562" spans="1:5">
      <c r="A562" s="4082" t="s">
        <v>1503</v>
      </c>
      <c r="B562" s="4087">
        <v>1</v>
      </c>
      <c r="C562" s="4084" t="s">
        <v>3</v>
      </c>
      <c r="D562" s="4097">
        <v>850</v>
      </c>
      <c r="E562" s="4098">
        <f t="shared" si="7"/>
        <v>850</v>
      </c>
    </row>
    <row r="563" spans="1:5">
      <c r="A563" s="4082" t="s">
        <v>1504</v>
      </c>
      <c r="B563" s="4087">
        <v>1</v>
      </c>
      <c r="C563" s="4084" t="s">
        <v>3</v>
      </c>
      <c r="D563" s="4097">
        <v>6500</v>
      </c>
      <c r="E563" s="4098">
        <f t="shared" si="7"/>
        <v>6500</v>
      </c>
    </row>
    <row r="564" spans="1:5" ht="13.5" thickBot="1">
      <c r="A564" s="4089" t="s">
        <v>43</v>
      </c>
      <c r="B564" s="4090"/>
      <c r="C564" s="4090"/>
      <c r="D564" s="4099" t="s">
        <v>1031</v>
      </c>
      <c r="E564" s="4100">
        <f>SUM(E550:E563)</f>
        <v>27543.3</v>
      </c>
    </row>
    <row r="565" spans="1:5" ht="13.5" thickTop="1">
      <c r="A565" s="3888"/>
      <c r="B565" s="3886"/>
      <c r="C565" s="3887"/>
      <c r="D565" s="3886"/>
      <c r="E565" s="3886"/>
    </row>
    <row r="566" spans="1:5" ht="24.75" thickBot="1">
      <c r="A566" s="4094" t="s">
        <v>1505</v>
      </c>
      <c r="B566" s="4077"/>
      <c r="C566" s="4077"/>
      <c r="D566" s="4077"/>
      <c r="E566" s="4077"/>
    </row>
    <row r="567" spans="1:5" ht="14.25" thickTop="1" thickBot="1">
      <c r="A567" s="4078" t="s">
        <v>1494</v>
      </c>
      <c r="B567" s="4079">
        <v>1</v>
      </c>
      <c r="C567" s="4080" t="s">
        <v>3</v>
      </c>
      <c r="D567" s="4095">
        <f>+D550</f>
        <v>450</v>
      </c>
      <c r="E567" s="4096">
        <f>B567*D567</f>
        <v>450</v>
      </c>
    </row>
    <row r="568" spans="1:5" ht="14.25" thickTop="1" thickBot="1">
      <c r="A568" s="4078" t="s">
        <v>1495</v>
      </c>
      <c r="B568" s="4079">
        <f>1.3*1.3*1.5</f>
        <v>2.54</v>
      </c>
      <c r="C568" s="4080" t="s">
        <v>2</v>
      </c>
      <c r="D568" s="4095">
        <f t="shared" ref="D568:D580" si="8">+D551</f>
        <v>334.5</v>
      </c>
      <c r="E568" s="4096">
        <f t="shared" ref="E568:E577" si="9">B568*D568</f>
        <v>849.63</v>
      </c>
    </row>
    <row r="569" spans="1:5" ht="14.25" thickTop="1" thickBot="1">
      <c r="A569" s="4078" t="s">
        <v>1496</v>
      </c>
      <c r="B569" s="4079">
        <f>B568*1.3</f>
        <v>3.3</v>
      </c>
      <c r="C569" s="4080" t="s">
        <v>2</v>
      </c>
      <c r="D569" s="4095">
        <f t="shared" si="8"/>
        <v>165</v>
      </c>
      <c r="E569" s="4096">
        <f t="shared" si="9"/>
        <v>544.5</v>
      </c>
    </row>
    <row r="570" spans="1:5" ht="14.25" thickTop="1" thickBot="1">
      <c r="A570" s="4078" t="s">
        <v>1492</v>
      </c>
      <c r="B570" s="4079">
        <f>1.3*1.3*0.15</f>
        <v>0.25</v>
      </c>
      <c r="C570" s="4080" t="s">
        <v>2</v>
      </c>
      <c r="D570" s="4095">
        <f t="shared" si="8"/>
        <v>4086.5</v>
      </c>
      <c r="E570" s="4096">
        <f t="shared" si="9"/>
        <v>1021.63</v>
      </c>
    </row>
    <row r="571" spans="1:5" ht="14.25" thickTop="1" thickBot="1">
      <c r="A571" s="4078" t="s">
        <v>1497</v>
      </c>
      <c r="B571" s="4079">
        <f>(1.3+1)*2*1.5</f>
        <v>6.9</v>
      </c>
      <c r="C571" s="4080" t="s">
        <v>11</v>
      </c>
      <c r="D571" s="4095">
        <f t="shared" si="8"/>
        <v>887.78</v>
      </c>
      <c r="E571" s="4096">
        <f t="shared" si="9"/>
        <v>6125.68</v>
      </c>
    </row>
    <row r="572" spans="1:5" ht="14.25" thickTop="1" thickBot="1">
      <c r="A572" s="4078" t="s">
        <v>1498</v>
      </c>
      <c r="B572" s="4079">
        <f>1.3*1.3*0.15</f>
        <v>0.25</v>
      </c>
      <c r="C572" s="4080" t="s">
        <v>2</v>
      </c>
      <c r="D572" s="4095">
        <f t="shared" si="8"/>
        <v>4086.5</v>
      </c>
      <c r="E572" s="4096">
        <f t="shared" si="9"/>
        <v>1021.63</v>
      </c>
    </row>
    <row r="573" spans="1:5" ht="14.25" thickTop="1" thickBot="1">
      <c r="A573" s="4078" t="s">
        <v>1499</v>
      </c>
      <c r="B573" s="4079">
        <f>1*1</f>
        <v>1</v>
      </c>
      <c r="C573" s="4080" t="s">
        <v>11</v>
      </c>
      <c r="D573" s="4095">
        <f t="shared" si="8"/>
        <v>492.84</v>
      </c>
      <c r="E573" s="4096">
        <f t="shared" si="9"/>
        <v>492.84</v>
      </c>
    </row>
    <row r="574" spans="1:5" ht="14.25" thickTop="1" thickBot="1">
      <c r="A574" s="4078" t="s">
        <v>860</v>
      </c>
      <c r="B574" s="4079">
        <f>1.3*1.3</f>
        <v>1.69</v>
      </c>
      <c r="C574" s="4080" t="s">
        <v>11</v>
      </c>
      <c r="D574" s="4095">
        <f t="shared" si="8"/>
        <v>469.61</v>
      </c>
      <c r="E574" s="4096">
        <f t="shared" si="9"/>
        <v>793.64</v>
      </c>
    </row>
    <row r="575" spans="1:5" ht="14.25" thickTop="1" thickBot="1">
      <c r="A575" s="4078" t="s">
        <v>158</v>
      </c>
      <c r="B575" s="4079">
        <f>(1*1.5*4)</f>
        <v>6</v>
      </c>
      <c r="C575" s="4080" t="s">
        <v>11</v>
      </c>
      <c r="D575" s="4095">
        <f t="shared" si="8"/>
        <v>279.08</v>
      </c>
      <c r="E575" s="4096">
        <f t="shared" si="9"/>
        <v>1674.48</v>
      </c>
    </row>
    <row r="576" spans="1:5" ht="14.25" thickTop="1" thickBot="1">
      <c r="A576" s="4078" t="s">
        <v>1500</v>
      </c>
      <c r="B576" s="4079">
        <f>(1.3*4*0.5)</f>
        <v>2.6</v>
      </c>
      <c r="C576" s="4080" t="s">
        <v>11</v>
      </c>
      <c r="D576" s="4095">
        <f t="shared" si="8"/>
        <v>321.97000000000003</v>
      </c>
      <c r="E576" s="4096">
        <f t="shared" si="9"/>
        <v>837.12</v>
      </c>
    </row>
    <row r="577" spans="1:5" ht="14.25" thickTop="1" thickBot="1">
      <c r="A577" s="4078" t="s">
        <v>1501</v>
      </c>
      <c r="B577" s="4079">
        <f>1.3*4</f>
        <v>5.2</v>
      </c>
      <c r="C577" s="4080" t="s">
        <v>1</v>
      </c>
      <c r="D577" s="4095">
        <f t="shared" si="8"/>
        <v>82.24</v>
      </c>
      <c r="E577" s="4096">
        <f t="shared" si="9"/>
        <v>427.65</v>
      </c>
    </row>
    <row r="578" spans="1:5" ht="14.25" thickTop="1" thickBot="1">
      <c r="A578" s="4082" t="s">
        <v>1502</v>
      </c>
      <c r="B578" s="4087">
        <v>1</v>
      </c>
      <c r="C578" s="4084" t="s">
        <v>3</v>
      </c>
      <c r="D578" s="4095">
        <f t="shared" si="8"/>
        <v>3500</v>
      </c>
      <c r="E578" s="4098">
        <f>B578*D578</f>
        <v>3500</v>
      </c>
    </row>
    <row r="579" spans="1:5" ht="14.25" thickTop="1" thickBot="1">
      <c r="A579" s="4082" t="s">
        <v>1503</v>
      </c>
      <c r="B579" s="4087">
        <v>1</v>
      </c>
      <c r="C579" s="4084" t="s">
        <v>3</v>
      </c>
      <c r="D579" s="4095">
        <f t="shared" si="8"/>
        <v>850</v>
      </c>
      <c r="E579" s="4098">
        <f>B579*D579</f>
        <v>850</v>
      </c>
    </row>
    <row r="580" spans="1:5" ht="13.5" thickTop="1">
      <c r="A580" s="4082" t="s">
        <v>1504</v>
      </c>
      <c r="B580" s="4087">
        <v>1</v>
      </c>
      <c r="C580" s="4084" t="s">
        <v>3</v>
      </c>
      <c r="D580" s="4095">
        <f t="shared" si="8"/>
        <v>6500</v>
      </c>
      <c r="E580" s="4098">
        <f>B580*D580</f>
        <v>6500</v>
      </c>
    </row>
    <row r="581" spans="1:5" ht="13.5" thickBot="1">
      <c r="A581" s="4089" t="s">
        <v>43</v>
      </c>
      <c r="B581" s="4090"/>
      <c r="C581" s="4090"/>
      <c r="D581" s="4099" t="s">
        <v>1031</v>
      </c>
      <c r="E581" s="4100">
        <f>SUM(E567:E580)</f>
        <v>25088.799999999999</v>
      </c>
    </row>
    <row r="582" spans="1:5" ht="13.5" thickTop="1"/>
  </sheetData>
  <customSheetViews>
    <customSheetView guid="{43BC9397-3E8C-478C-B548-E4A845A7F82B}">
      <selection sqref="A1:XFD1048576"/>
      <pageMargins left="0.7" right="0.7" top="0.75" bottom="0.75" header="0.3" footer="0.3"/>
      <pageSetup paperSize="9" orientation="portrait" r:id="rId1"/>
    </customSheetView>
  </customSheetViews>
  <mergeCells count="8">
    <mergeCell ref="A476:E476"/>
    <mergeCell ref="B521:D521"/>
    <mergeCell ref="A1:E1"/>
    <mergeCell ref="A36:E36"/>
    <mergeCell ref="A77:E77"/>
    <mergeCell ref="A85:E85"/>
    <mergeCell ref="A99:E99"/>
    <mergeCell ref="A443:E443"/>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60"/>
  <sheetViews>
    <sheetView topLeftCell="A26" workbookViewId="0">
      <selection activeCell="Q71" sqref="Q71"/>
    </sheetView>
  </sheetViews>
  <sheetFormatPr baseColWidth="10" defaultColWidth="11.42578125" defaultRowHeight="12.75"/>
  <cols>
    <col min="1" max="1" width="44.7109375" style="1916" customWidth="1"/>
    <col min="2" max="2" width="5.5703125" style="1916" customWidth="1"/>
    <col min="3" max="3" width="4.85546875" style="1916" customWidth="1"/>
    <col min="4" max="4" width="9.7109375" style="1916" customWidth="1"/>
    <col min="5" max="5" width="9.85546875" style="1916" customWidth="1"/>
    <col min="6" max="16384" width="11.42578125" style="1916"/>
  </cols>
  <sheetData>
    <row r="1" spans="1:5">
      <c r="A1" s="1968"/>
      <c r="B1" s="1969"/>
      <c r="C1" s="1969"/>
      <c r="D1" s="1969"/>
      <c r="E1" s="1969"/>
    </row>
    <row r="2" spans="1:5" s="1917" customFormat="1">
      <c r="A2" s="1970"/>
      <c r="B2" s="1971"/>
      <c r="C2" s="1971"/>
      <c r="D2" s="1971"/>
      <c r="E2" s="1971"/>
    </row>
    <row r="3" spans="1:5">
      <c r="A3" s="1972" t="s">
        <v>1314</v>
      </c>
      <c r="B3" s="1973"/>
      <c r="C3" s="1973"/>
      <c r="D3" s="1973"/>
      <c r="E3" s="1973"/>
    </row>
    <row r="4" spans="1:5">
      <c r="A4" s="1974" t="s">
        <v>2483</v>
      </c>
      <c r="B4" s="1975">
        <v>2</v>
      </c>
      <c r="C4" s="1976" t="s">
        <v>3</v>
      </c>
      <c r="D4" s="1977">
        <v>170.32</v>
      </c>
      <c r="E4" s="1978">
        <f t="shared" ref="E4:E11" si="0">ROUND(B4*D4,2)</f>
        <v>340.64</v>
      </c>
    </row>
    <row r="5" spans="1:5" ht="25.5">
      <c r="A5" s="1979" t="s">
        <v>2484</v>
      </c>
      <c r="B5" s="1975">
        <v>1</v>
      </c>
      <c r="C5" s="1976" t="s">
        <v>3</v>
      </c>
      <c r="D5" s="1977">
        <v>236.64</v>
      </c>
      <c r="E5" s="1978">
        <f t="shared" si="0"/>
        <v>236.64</v>
      </c>
    </row>
    <row r="6" spans="1:5">
      <c r="A6" s="1980" t="s">
        <v>2485</v>
      </c>
      <c r="B6" s="1975">
        <v>2</v>
      </c>
      <c r="C6" s="1976" t="s">
        <v>3</v>
      </c>
      <c r="D6" s="1981">
        <v>689.04</v>
      </c>
      <c r="E6" s="1978">
        <f t="shared" si="0"/>
        <v>1378.08</v>
      </c>
    </row>
    <row r="7" spans="1:5">
      <c r="A7" s="1982" t="s">
        <v>2486</v>
      </c>
      <c r="B7" s="1983">
        <v>3</v>
      </c>
      <c r="C7" s="1976" t="s">
        <v>3</v>
      </c>
      <c r="D7" s="1984">
        <v>108.34</v>
      </c>
      <c r="E7" s="1985">
        <f t="shared" si="0"/>
        <v>325.02</v>
      </c>
    </row>
    <row r="8" spans="1:5">
      <c r="A8" s="1980" t="s">
        <v>2487</v>
      </c>
      <c r="B8" s="1975">
        <v>2</v>
      </c>
      <c r="C8" s="1976" t="s">
        <v>3</v>
      </c>
      <c r="D8" s="1977">
        <v>541.72</v>
      </c>
      <c r="E8" s="1978">
        <f t="shared" si="0"/>
        <v>1083.44</v>
      </c>
    </row>
    <row r="9" spans="1:5">
      <c r="A9" s="1980" t="s">
        <v>2488</v>
      </c>
      <c r="B9" s="1975">
        <v>1</v>
      </c>
      <c r="C9" s="1976" t="s">
        <v>3</v>
      </c>
      <c r="D9" s="1977">
        <v>271.56</v>
      </c>
      <c r="E9" s="1978">
        <f t="shared" si="0"/>
        <v>271.56</v>
      </c>
    </row>
    <row r="10" spans="1:5">
      <c r="A10" s="1980" t="s">
        <v>2489</v>
      </c>
      <c r="B10" s="1983">
        <v>4</v>
      </c>
      <c r="C10" s="1976" t="s">
        <v>3</v>
      </c>
      <c r="D10" s="1986">
        <v>69.3</v>
      </c>
      <c r="E10" s="1978">
        <f t="shared" si="0"/>
        <v>277.2</v>
      </c>
    </row>
    <row r="11" spans="1:5">
      <c r="A11" s="1980" t="s">
        <v>2490</v>
      </c>
      <c r="B11" s="1983">
        <v>6</v>
      </c>
      <c r="C11" s="1976" t="s">
        <v>3</v>
      </c>
      <c r="D11" s="1987">
        <v>10.28</v>
      </c>
      <c r="E11" s="1978">
        <f t="shared" si="0"/>
        <v>61.68</v>
      </c>
    </row>
    <row r="12" spans="1:5">
      <c r="A12" s="1980" t="s">
        <v>33</v>
      </c>
      <c r="B12" s="1988">
        <v>0.05</v>
      </c>
      <c r="C12" s="1976" t="s">
        <v>46</v>
      </c>
      <c r="D12" s="1977">
        <f>E4+E5+E6+E7+E8+E9+E10+E11</f>
        <v>3974.26</v>
      </c>
      <c r="E12" s="1978">
        <f>B12*D12</f>
        <v>198.71</v>
      </c>
    </row>
    <row r="13" spans="1:5">
      <c r="A13" s="1989"/>
      <c r="B13" s="1989"/>
      <c r="C13" s="4934" t="s">
        <v>2491</v>
      </c>
      <c r="D13" s="4934"/>
      <c r="E13" s="1990">
        <f>SUM(E4:E12)</f>
        <v>4172.97</v>
      </c>
    </row>
    <row r="14" spans="1:5">
      <c r="A14" s="1968"/>
      <c r="B14" s="1969"/>
      <c r="C14" s="1969"/>
      <c r="D14" s="1969"/>
      <c r="E14" s="1969"/>
    </row>
    <row r="15" spans="1:5">
      <c r="A15" s="1991" t="s">
        <v>1588</v>
      </c>
      <c r="B15" s="1969"/>
      <c r="C15" s="1969"/>
      <c r="D15" s="1969"/>
      <c r="E15" s="1969"/>
    </row>
    <row r="16" spans="1:5">
      <c r="A16" s="1992" t="s">
        <v>2492</v>
      </c>
      <c r="B16" s="1993">
        <v>1</v>
      </c>
      <c r="C16" s="1994" t="s">
        <v>3</v>
      </c>
      <c r="D16" s="1995">
        <v>160.25</v>
      </c>
      <c r="E16" s="1996">
        <f t="shared" ref="E16:E25" si="1">ROUND(B16*D16,2)</f>
        <v>160.25</v>
      </c>
    </row>
    <row r="17" spans="1:5">
      <c r="A17" s="1980" t="s">
        <v>2493</v>
      </c>
      <c r="B17" s="1975">
        <v>1</v>
      </c>
      <c r="C17" s="1997" t="s">
        <v>3</v>
      </c>
      <c r="D17" s="1984">
        <v>822.31</v>
      </c>
      <c r="E17" s="1998">
        <f t="shared" si="1"/>
        <v>822.31</v>
      </c>
    </row>
    <row r="18" spans="1:5">
      <c r="A18" s="1974" t="s">
        <v>2494</v>
      </c>
      <c r="B18" s="1975">
        <v>2</v>
      </c>
      <c r="C18" s="1997" t="s">
        <v>3</v>
      </c>
      <c r="D18" s="1984">
        <v>398.52</v>
      </c>
      <c r="E18" s="1998">
        <f t="shared" si="1"/>
        <v>797.04</v>
      </c>
    </row>
    <row r="19" spans="1:5">
      <c r="A19" s="1982" t="s">
        <v>2495</v>
      </c>
      <c r="B19" s="1983">
        <v>1</v>
      </c>
      <c r="C19" s="1997" t="s">
        <v>3</v>
      </c>
      <c r="D19" s="1984">
        <v>108.34</v>
      </c>
      <c r="E19" s="1985">
        <f t="shared" si="1"/>
        <v>108.34</v>
      </c>
    </row>
    <row r="20" spans="1:5">
      <c r="A20" s="1974" t="s">
        <v>2496</v>
      </c>
      <c r="B20" s="1975">
        <v>1</v>
      </c>
      <c r="C20" s="1997" t="s">
        <v>3</v>
      </c>
      <c r="D20" s="1984">
        <v>214.5</v>
      </c>
      <c r="E20" s="1998">
        <f t="shared" si="1"/>
        <v>214.5</v>
      </c>
    </row>
    <row r="21" spans="1:5">
      <c r="A21" s="1980" t="s">
        <v>2497</v>
      </c>
      <c r="B21" s="1983">
        <v>1</v>
      </c>
      <c r="C21" s="1997" t="s">
        <v>3</v>
      </c>
      <c r="D21" s="1984">
        <v>88.64</v>
      </c>
      <c r="E21" s="1998">
        <f t="shared" si="1"/>
        <v>88.64</v>
      </c>
    </row>
    <row r="22" spans="1:5">
      <c r="A22" s="1974" t="s">
        <v>2498</v>
      </c>
      <c r="B22" s="1975">
        <v>45</v>
      </c>
      <c r="C22" s="1997" t="s">
        <v>1665</v>
      </c>
      <c r="D22" s="1984">
        <v>31.24</v>
      </c>
      <c r="E22" s="1998">
        <f t="shared" si="1"/>
        <v>1405.8</v>
      </c>
    </row>
    <row r="23" spans="1:5">
      <c r="A23" s="1980" t="s">
        <v>2499</v>
      </c>
      <c r="B23" s="1975">
        <v>8</v>
      </c>
      <c r="C23" s="1997" t="s">
        <v>1665</v>
      </c>
      <c r="D23" s="1984">
        <v>43.86</v>
      </c>
      <c r="E23" s="1998">
        <f t="shared" si="1"/>
        <v>350.88</v>
      </c>
    </row>
    <row r="24" spans="1:5">
      <c r="A24" s="1980" t="s">
        <v>2500</v>
      </c>
      <c r="B24" s="1975">
        <v>1</v>
      </c>
      <c r="C24" s="1997" t="s">
        <v>3</v>
      </c>
      <c r="D24" s="1984">
        <v>168.74</v>
      </c>
      <c r="E24" s="1998">
        <f t="shared" si="1"/>
        <v>168.74</v>
      </c>
    </row>
    <row r="25" spans="1:5">
      <c r="A25" s="1980" t="s">
        <v>2501</v>
      </c>
      <c r="B25" s="1975">
        <v>1</v>
      </c>
      <c r="C25" s="1997" t="s">
        <v>3</v>
      </c>
      <c r="D25" s="1987">
        <v>280.10000000000002</v>
      </c>
      <c r="E25" s="1998">
        <f t="shared" si="1"/>
        <v>280.10000000000002</v>
      </c>
    </row>
    <row r="26" spans="1:5">
      <c r="A26" s="1980" t="s">
        <v>33</v>
      </c>
      <c r="B26" s="1988">
        <v>0.05</v>
      </c>
      <c r="C26" s="1997" t="s">
        <v>46</v>
      </c>
      <c r="D26" s="1984">
        <f>E16+E17+E18+E19+E20+E21+E22+E23+E24+E25</f>
        <v>4396.6000000000004</v>
      </c>
      <c r="E26" s="1998">
        <f>B26*D26</f>
        <v>219.83</v>
      </c>
    </row>
    <row r="27" spans="1:5">
      <c r="A27" s="1989"/>
      <c r="B27" s="1989"/>
      <c r="C27" s="4934" t="s">
        <v>2502</v>
      </c>
      <c r="D27" s="4934"/>
      <c r="E27" s="1990">
        <f>SUM(E16:E26)</f>
        <v>4616.43</v>
      </c>
    </row>
    <row r="28" spans="1:5">
      <c r="A28" s="1999"/>
      <c r="B28" s="1999"/>
      <c r="C28" s="1999"/>
      <c r="D28" s="1999"/>
      <c r="E28" s="1999"/>
    </row>
    <row r="29" spans="1:5">
      <c r="A29" s="1991" t="s">
        <v>2503</v>
      </c>
      <c r="B29" s="1969"/>
      <c r="C29" s="1969"/>
      <c r="D29" s="1969"/>
      <c r="E29" s="1969"/>
    </row>
    <row r="30" spans="1:5">
      <c r="A30" s="2000" t="s">
        <v>2504</v>
      </c>
      <c r="B30" s="2001">
        <v>1</v>
      </c>
      <c r="C30" s="2002" t="s">
        <v>3</v>
      </c>
      <c r="D30" s="2003">
        <v>452.4</v>
      </c>
      <c r="E30" s="2004">
        <f t="shared" ref="E30:E35" si="2">ROUND(B30*D30,2)</f>
        <v>452.4</v>
      </c>
    </row>
    <row r="31" spans="1:5">
      <c r="A31" s="2005" t="s">
        <v>2505</v>
      </c>
      <c r="B31" s="2006">
        <v>1</v>
      </c>
      <c r="C31" s="1976" t="s">
        <v>3</v>
      </c>
      <c r="D31" s="1977">
        <v>50.77</v>
      </c>
      <c r="E31" s="1978">
        <f t="shared" si="2"/>
        <v>50.77</v>
      </c>
    </row>
    <row r="32" spans="1:5">
      <c r="A32" s="2007" t="s">
        <v>2506</v>
      </c>
      <c r="B32" s="2006">
        <v>40</v>
      </c>
      <c r="C32" s="1976" t="s">
        <v>1665</v>
      </c>
      <c r="D32" s="1984">
        <v>85.26</v>
      </c>
      <c r="E32" s="1978">
        <f t="shared" si="2"/>
        <v>3410.4</v>
      </c>
    </row>
    <row r="33" spans="1:5">
      <c r="A33" s="2007" t="s">
        <v>2507</v>
      </c>
      <c r="B33" s="2006">
        <v>1</v>
      </c>
      <c r="C33" s="1976" t="s">
        <v>3</v>
      </c>
      <c r="D33" s="1977">
        <v>97.08</v>
      </c>
      <c r="E33" s="1978">
        <f t="shared" si="2"/>
        <v>97.08</v>
      </c>
    </row>
    <row r="34" spans="1:5">
      <c r="A34" s="2005" t="s">
        <v>2508</v>
      </c>
      <c r="B34" s="2008">
        <v>4</v>
      </c>
      <c r="C34" s="1976" t="s">
        <v>3</v>
      </c>
      <c r="D34" s="1984">
        <v>49.66</v>
      </c>
      <c r="E34" s="1978">
        <f t="shared" si="2"/>
        <v>198.64</v>
      </c>
    </row>
    <row r="35" spans="1:5">
      <c r="A35" s="2007" t="s">
        <v>2509</v>
      </c>
      <c r="B35" s="2006">
        <v>4</v>
      </c>
      <c r="C35" s="1976" t="s">
        <v>3</v>
      </c>
      <c r="D35" s="1987">
        <v>10.28</v>
      </c>
      <c r="E35" s="1978">
        <f t="shared" si="2"/>
        <v>41.12</v>
      </c>
    </row>
    <row r="36" spans="1:5">
      <c r="A36" s="2005" t="s">
        <v>33</v>
      </c>
      <c r="B36" s="2009">
        <v>0.05</v>
      </c>
      <c r="C36" s="1976" t="s">
        <v>46</v>
      </c>
      <c r="D36" s="1977">
        <f>E30+E31+E32+E33+E34+E35</f>
        <v>4250.41</v>
      </c>
      <c r="E36" s="1978">
        <f>B36*D36</f>
        <v>212.52</v>
      </c>
    </row>
    <row r="37" spans="1:5">
      <c r="A37" s="1989"/>
      <c r="B37" s="1989"/>
      <c r="C37" s="4934" t="s">
        <v>2491</v>
      </c>
      <c r="D37" s="4934"/>
      <c r="E37" s="1990">
        <f>SUM(E30:E36)</f>
        <v>4462.93</v>
      </c>
    </row>
    <row r="38" spans="1:5">
      <c r="A38" s="1999"/>
      <c r="B38" s="1999"/>
      <c r="C38" s="1999"/>
      <c r="D38" s="1999"/>
      <c r="E38" s="1999"/>
    </row>
    <row r="39" spans="1:5">
      <c r="A39" s="1991" t="s">
        <v>953</v>
      </c>
      <c r="B39" s="2010"/>
      <c r="C39" s="2010"/>
      <c r="D39" s="2010"/>
      <c r="E39" s="2010"/>
    </row>
    <row r="40" spans="1:5">
      <c r="A40" s="2011" t="s">
        <v>2510</v>
      </c>
      <c r="B40" s="2012">
        <v>2</v>
      </c>
      <c r="C40" s="1994" t="s">
        <v>148</v>
      </c>
      <c r="D40" s="1995">
        <v>800</v>
      </c>
      <c r="E40" s="1996">
        <f>ROUND(B40*D40,2)</f>
        <v>1600</v>
      </c>
    </row>
    <row r="41" spans="1:5">
      <c r="A41" s="2013" t="s">
        <v>2511</v>
      </c>
      <c r="B41" s="1988">
        <v>0.05</v>
      </c>
      <c r="C41" s="1997" t="s">
        <v>46</v>
      </c>
      <c r="D41" s="1984">
        <f>E40</f>
        <v>1600</v>
      </c>
      <c r="E41" s="1998">
        <f>ROUND(B41*D41,2)</f>
        <v>80</v>
      </c>
    </row>
    <row r="42" spans="1:5">
      <c r="A42" s="2014"/>
      <c r="B42" s="2015"/>
      <c r="C42" s="4935" t="s">
        <v>2512</v>
      </c>
      <c r="D42" s="4936"/>
      <c r="E42" s="1990">
        <f>SUM(E40:E41)</f>
        <v>1680</v>
      </c>
    </row>
    <row r="43" spans="1:5">
      <c r="A43" s="2016"/>
      <c r="B43" s="2016"/>
      <c r="C43" s="2017"/>
      <c r="D43" s="2017"/>
      <c r="E43" s="2018"/>
    </row>
    <row r="44" spans="1:5">
      <c r="A44" s="1991" t="s">
        <v>925</v>
      </c>
      <c r="B44" s="2010"/>
      <c r="C44" s="2010"/>
      <c r="D44" s="2010"/>
      <c r="E44" s="2010"/>
    </row>
    <row r="45" spans="1:5">
      <c r="A45" s="2011" t="s">
        <v>2513</v>
      </c>
      <c r="B45" s="2012">
        <v>2</v>
      </c>
      <c r="C45" s="1994" t="s">
        <v>148</v>
      </c>
      <c r="D45" s="1995">
        <v>600</v>
      </c>
      <c r="E45" s="1996">
        <f>ROUND(B45*D45,2)</f>
        <v>1200</v>
      </c>
    </row>
    <row r="46" spans="1:5">
      <c r="A46" s="2013" t="s">
        <v>2511</v>
      </c>
      <c r="B46" s="1988">
        <v>0.05</v>
      </c>
      <c r="C46" s="1997" t="s">
        <v>46</v>
      </c>
      <c r="D46" s="1984">
        <f>E45</f>
        <v>1200</v>
      </c>
      <c r="E46" s="1998">
        <f>ROUND(B46*D46,2)</f>
        <v>60</v>
      </c>
    </row>
    <row r="47" spans="1:5">
      <c r="A47" s="2014"/>
      <c r="B47" s="2015"/>
      <c r="C47" s="4935" t="s">
        <v>2512</v>
      </c>
      <c r="D47" s="4936"/>
      <c r="E47" s="1990">
        <f>SUM(E45:E46)</f>
        <v>1260</v>
      </c>
    </row>
    <row r="49" spans="1:5">
      <c r="A49" s="2019" t="s">
        <v>2514</v>
      </c>
      <c r="B49" s="1969"/>
      <c r="C49" s="1969"/>
      <c r="D49" s="1969"/>
      <c r="E49" s="1969"/>
    </row>
    <row r="50" spans="1:5">
      <c r="A50" s="2007" t="s">
        <v>2515</v>
      </c>
      <c r="B50" s="2001">
        <v>2</v>
      </c>
      <c r="C50" s="2002" t="s">
        <v>3</v>
      </c>
      <c r="D50" s="2003">
        <v>170.32</v>
      </c>
      <c r="E50" s="2004">
        <f t="shared" ref="E50:E56" si="3">ROUND(B50*D50,2)</f>
        <v>340.64</v>
      </c>
    </row>
    <row r="51" spans="1:5">
      <c r="A51" s="1974" t="s">
        <v>2516</v>
      </c>
      <c r="B51" s="2006">
        <v>1</v>
      </c>
      <c r="C51" s="1976" t="s">
        <v>3</v>
      </c>
      <c r="D51" s="1984">
        <v>405.92</v>
      </c>
      <c r="E51" s="1978">
        <f t="shared" si="3"/>
        <v>405.92</v>
      </c>
    </row>
    <row r="52" spans="1:5">
      <c r="A52" s="1974" t="s">
        <v>2517</v>
      </c>
      <c r="B52" s="2006">
        <v>1</v>
      </c>
      <c r="C52" s="1976" t="s">
        <v>3</v>
      </c>
      <c r="D52" s="1984">
        <v>951.08</v>
      </c>
      <c r="E52" s="1978">
        <f t="shared" si="3"/>
        <v>951.08</v>
      </c>
    </row>
    <row r="53" spans="1:5">
      <c r="A53" s="1980" t="s">
        <v>2518</v>
      </c>
      <c r="B53" s="2008">
        <v>1</v>
      </c>
      <c r="C53" s="1976" t="s">
        <v>3</v>
      </c>
      <c r="D53" s="1984">
        <v>4646.84</v>
      </c>
      <c r="E53" s="1978">
        <f t="shared" si="3"/>
        <v>4646.84</v>
      </c>
    </row>
    <row r="54" spans="1:5">
      <c r="A54" s="1980" t="s">
        <v>2489</v>
      </c>
      <c r="B54" s="2008">
        <v>2</v>
      </c>
      <c r="C54" s="1976" t="s">
        <v>3</v>
      </c>
      <c r="D54" s="2020">
        <v>66.3</v>
      </c>
      <c r="E54" s="1978">
        <f t="shared" si="3"/>
        <v>132.6</v>
      </c>
    </row>
    <row r="55" spans="1:5">
      <c r="A55" s="1974" t="s">
        <v>2509</v>
      </c>
      <c r="B55" s="2006">
        <v>2</v>
      </c>
      <c r="C55" s="1976" t="s">
        <v>3</v>
      </c>
      <c r="D55" s="1984">
        <v>10.28</v>
      </c>
      <c r="E55" s="1978">
        <f t="shared" si="3"/>
        <v>20.56</v>
      </c>
    </row>
    <row r="56" spans="1:5">
      <c r="A56" s="2021" t="s">
        <v>2519</v>
      </c>
      <c r="B56" s="2022">
        <v>1</v>
      </c>
      <c r="C56" s="1976" t="s">
        <v>3</v>
      </c>
      <c r="D56" s="1977">
        <v>3000</v>
      </c>
      <c r="E56" s="1978">
        <f t="shared" si="3"/>
        <v>3000</v>
      </c>
    </row>
    <row r="57" spans="1:5">
      <c r="A57" s="1980" t="s">
        <v>33</v>
      </c>
      <c r="B57" s="2009">
        <v>0.05</v>
      </c>
      <c r="C57" s="1976" t="s">
        <v>46</v>
      </c>
      <c r="D57" s="1977">
        <f>E50+E51+E52+E53+E54+E55+E56</f>
        <v>9497.64</v>
      </c>
      <c r="E57" s="1978">
        <f>B57*D57</f>
        <v>474.88</v>
      </c>
    </row>
    <row r="58" spans="1:5">
      <c r="A58" s="1989"/>
      <c r="B58" s="1989"/>
      <c r="C58" s="4934" t="s">
        <v>2491</v>
      </c>
      <c r="D58" s="4934"/>
      <c r="E58" s="2023">
        <f>SUM(E50:E57)</f>
        <v>9972.52</v>
      </c>
    </row>
    <row r="60" spans="1:5" s="1917" customFormat="1">
      <c r="E60" s="2023">
        <f>SUM(E2:E59)</f>
        <v>52329.7</v>
      </c>
    </row>
  </sheetData>
  <customSheetViews>
    <customSheetView guid="{43BC9397-3E8C-478C-B548-E4A845A7F82B}" topLeftCell="A26">
      <selection activeCell="Q71" sqref="Q71"/>
      <pageMargins left="0.7" right="0.7" top="0.75" bottom="0.75" header="0.3" footer="0.3"/>
      <pageSetup paperSize="9" orientation="portrait" horizontalDpi="2400" verticalDpi="2400" r:id="rId1"/>
      <headerFooter>
        <oddFooter>1</oddFooter>
      </headerFooter>
    </customSheetView>
  </customSheetViews>
  <mergeCells count="6">
    <mergeCell ref="C58:D58"/>
    <mergeCell ref="C13:D13"/>
    <mergeCell ref="C27:D27"/>
    <mergeCell ref="C37:D37"/>
    <mergeCell ref="C42:D42"/>
    <mergeCell ref="C47:D47"/>
  </mergeCells>
  <pageMargins left="0.7" right="0.7" top="0.75" bottom="0.75" header="0.3" footer="0.3"/>
  <pageSetup paperSize="9" orientation="portrait" horizontalDpi="2400" verticalDpi="2400" r:id="rId2"/>
  <headerFooter>
    <oddFooter>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H159"/>
  <sheetViews>
    <sheetView workbookViewId="0"/>
  </sheetViews>
  <sheetFormatPr baseColWidth="10" defaultColWidth="11.42578125" defaultRowHeight="12.75"/>
  <cols>
    <col min="1" max="1" width="4.85546875" style="1916" customWidth="1"/>
    <col min="2" max="2" width="37.7109375" style="1916" customWidth="1"/>
    <col min="3" max="3" width="5.28515625" style="1916" customWidth="1"/>
    <col min="4" max="4" width="6.28515625" style="1916" customWidth="1"/>
    <col min="5" max="5" width="2.85546875" style="1916" customWidth="1"/>
    <col min="6" max="6" width="4.85546875" style="1916" customWidth="1"/>
    <col min="7" max="7" width="8.7109375" style="1916" customWidth="1"/>
    <col min="8" max="8" width="9.140625" style="1916" bestFit="1" customWidth="1"/>
    <col min="9" max="16384" width="11.42578125" style="1916"/>
  </cols>
  <sheetData>
    <row r="2" spans="1:8" s="1917" customFormat="1"/>
    <row r="3" spans="1:8" ht="25.5">
      <c r="A3" s="1918">
        <v>1</v>
      </c>
      <c r="B3" s="1919" t="s">
        <v>1582</v>
      </c>
      <c r="C3" s="1920"/>
      <c r="D3" s="1920"/>
      <c r="E3" s="1920"/>
      <c r="F3" s="1920"/>
      <c r="G3" s="1920"/>
      <c r="H3" s="1921"/>
    </row>
    <row r="4" spans="1:8">
      <c r="A4" s="1920"/>
      <c r="B4" s="1920"/>
      <c r="C4" s="1920"/>
      <c r="D4" s="1920"/>
      <c r="E4" s="1920"/>
      <c r="F4" s="1920"/>
      <c r="G4" s="1920"/>
      <c r="H4" s="1920"/>
    </row>
    <row r="5" spans="1:8" ht="13.5" thickBot="1">
      <c r="A5" s="1922">
        <v>1.3</v>
      </c>
      <c r="B5" s="1923" t="s">
        <v>2449</v>
      </c>
      <c r="C5" s="1924"/>
      <c r="D5" s="1924"/>
      <c r="E5" s="1924"/>
      <c r="F5" s="1924"/>
      <c r="G5" s="1924"/>
      <c r="H5" s="1924"/>
    </row>
    <row r="6" spans="1:8" ht="13.5" thickTop="1">
      <c r="A6" s="1925">
        <v>1</v>
      </c>
      <c r="B6" s="1926" t="s">
        <v>2450</v>
      </c>
      <c r="C6" s="1927">
        <v>1</v>
      </c>
      <c r="D6" s="1927">
        <v>1</v>
      </c>
      <c r="E6" s="1928" t="s">
        <v>1</v>
      </c>
      <c r="F6" s="1929">
        <f>PRODUCT(C6:D6)</f>
        <v>1</v>
      </c>
      <c r="G6" s="1927">
        <v>212.61</v>
      </c>
      <c r="H6" s="1930">
        <f>ROUND(F6*G6,2)</f>
        <v>212.61</v>
      </c>
    </row>
    <row r="7" spans="1:8" ht="13.5" thickBot="1">
      <c r="A7" s="1931">
        <v>2</v>
      </c>
      <c r="B7" s="1932" t="s">
        <v>621</v>
      </c>
      <c r="C7" s="1933">
        <v>5</v>
      </c>
      <c r="D7" s="1934">
        <v>0.01</v>
      </c>
      <c r="E7" s="1935" t="s">
        <v>46</v>
      </c>
      <c r="F7" s="1936">
        <f>PRODUCT(C7:D7)</f>
        <v>0.05</v>
      </c>
      <c r="G7" s="1933">
        <f>SUM(H6:H6)</f>
        <v>212.61</v>
      </c>
      <c r="H7" s="1937">
        <f>ROUND(F7*G7,2)</f>
        <v>10.63</v>
      </c>
    </row>
    <row r="8" spans="1:8" ht="13.5" thickTop="1">
      <c r="A8" s="1925">
        <v>3</v>
      </c>
      <c r="B8" s="1938" t="s">
        <v>2451</v>
      </c>
      <c r="C8" s="1939">
        <v>30</v>
      </c>
      <c r="D8" s="1934">
        <v>0.01</v>
      </c>
      <c r="E8" s="1935" t="s">
        <v>46</v>
      </c>
      <c r="F8" s="1936">
        <f>PRODUCT(C8:D8)</f>
        <v>0.3</v>
      </c>
      <c r="G8" s="1939">
        <f>SUM(H6:H7)</f>
        <v>223.24</v>
      </c>
      <c r="H8" s="1937">
        <f>ROUND(F8*G8,2)</f>
        <v>66.97</v>
      </c>
    </row>
    <row r="9" spans="1:8" ht="13.5" thickBot="1">
      <c r="A9" s="1940"/>
      <c r="B9" s="1941"/>
      <c r="C9" s="1941"/>
      <c r="D9" s="1941"/>
      <c r="E9" s="1941"/>
      <c r="F9" s="1941"/>
      <c r="G9" s="1942" t="s">
        <v>2452</v>
      </c>
      <c r="H9" s="1943">
        <f>SUM(H6:H8)</f>
        <v>290.20999999999998</v>
      </c>
    </row>
    <row r="10" spans="1:8" ht="13.5" thickTop="1">
      <c r="A10" s="1944"/>
      <c r="B10" s="1944"/>
      <c r="C10" s="1944"/>
      <c r="D10" s="1944"/>
      <c r="E10" s="1944"/>
      <c r="F10" s="1944"/>
      <c r="G10" s="1945"/>
      <c r="H10" s="1946"/>
    </row>
    <row r="11" spans="1:8">
      <c r="A11" s="1947">
        <v>3</v>
      </c>
      <c r="B11" s="1948" t="s">
        <v>1591</v>
      </c>
      <c r="C11" s="1944"/>
      <c r="D11" s="1944"/>
      <c r="E11" s="1944"/>
      <c r="F11" s="1944"/>
      <c r="G11" s="1945"/>
      <c r="H11" s="1946"/>
    </row>
    <row r="12" spans="1:8">
      <c r="A12" s="1944"/>
      <c r="B12" s="1944"/>
      <c r="C12" s="1944"/>
      <c r="D12" s="1944"/>
      <c r="E12" s="1944"/>
      <c r="F12" s="1944"/>
      <c r="G12" s="1945"/>
      <c r="H12" s="1946"/>
    </row>
    <row r="13" spans="1:8" ht="13.5" thickBot="1">
      <c r="A13" s="1922">
        <v>3.1</v>
      </c>
      <c r="B13" s="1923" t="s">
        <v>2453</v>
      </c>
      <c r="C13" s="1924"/>
      <c r="D13" s="1924"/>
      <c r="E13" s="1924"/>
      <c r="F13" s="1924"/>
      <c r="G13" s="1924"/>
      <c r="H13" s="1924"/>
    </row>
    <row r="14" spans="1:8" ht="14.25" thickTop="1" thickBot="1">
      <c r="A14" s="1925">
        <v>1</v>
      </c>
      <c r="B14" s="1926" t="s">
        <v>2454</v>
      </c>
      <c r="C14" s="1927">
        <v>1</v>
      </c>
      <c r="D14" s="1927">
        <v>2</v>
      </c>
      <c r="E14" s="1928" t="s">
        <v>1</v>
      </c>
      <c r="F14" s="1929">
        <f>PRODUCT(C14:D14)</f>
        <v>2</v>
      </c>
      <c r="G14" s="1927">
        <v>207.07</v>
      </c>
      <c r="H14" s="1930">
        <f t="shared" ref="H14:H20" si="0">ROUND(F14*G14,2)</f>
        <v>414.14</v>
      </c>
    </row>
    <row r="15" spans="1:8" ht="14.25" thickTop="1" thickBot="1">
      <c r="A15" s="1931">
        <v>2</v>
      </c>
      <c r="B15" s="1926" t="s">
        <v>2455</v>
      </c>
      <c r="C15" s="1927">
        <v>1</v>
      </c>
      <c r="D15" s="1927">
        <v>1</v>
      </c>
      <c r="E15" s="1928" t="s">
        <v>1</v>
      </c>
      <c r="F15" s="1929">
        <f>PRODUCT(C15:D15)</f>
        <v>1</v>
      </c>
      <c r="G15" s="1949">
        <v>172.46</v>
      </c>
      <c r="H15" s="1930">
        <f t="shared" si="0"/>
        <v>172.46</v>
      </c>
    </row>
    <row r="16" spans="1:8" ht="14.25" thickTop="1" thickBot="1">
      <c r="A16" s="1931">
        <v>3</v>
      </c>
      <c r="B16" s="1950" t="s">
        <v>2456</v>
      </c>
      <c r="C16" s="1951">
        <v>1</v>
      </c>
      <c r="D16" s="1951">
        <v>1</v>
      </c>
      <c r="E16" s="1952" t="s">
        <v>1</v>
      </c>
      <c r="F16" s="1953">
        <f>PRODUCT(C16:D16)</f>
        <v>1</v>
      </c>
      <c r="G16" s="1927">
        <v>235.75</v>
      </c>
      <c r="H16" s="1954">
        <f t="shared" si="0"/>
        <v>235.75</v>
      </c>
    </row>
    <row r="17" spans="1:8" ht="13.5" thickTop="1">
      <c r="A17" s="1925">
        <v>4</v>
      </c>
      <c r="B17" s="1950" t="s">
        <v>2457</v>
      </c>
      <c r="C17" s="1951">
        <v>1</v>
      </c>
      <c r="D17" s="1951">
        <v>0.5</v>
      </c>
      <c r="E17" s="1952" t="s">
        <v>1</v>
      </c>
      <c r="F17" s="1953">
        <v>1</v>
      </c>
      <c r="G17" s="1951">
        <v>579.77</v>
      </c>
      <c r="H17" s="1954">
        <f t="shared" si="0"/>
        <v>579.77</v>
      </c>
    </row>
    <row r="18" spans="1:8">
      <c r="A18" s="1931">
        <v>5</v>
      </c>
      <c r="B18" s="1950" t="s">
        <v>2458</v>
      </c>
      <c r="C18" s="1951">
        <v>1</v>
      </c>
      <c r="D18" s="1951">
        <v>0.5</v>
      </c>
      <c r="E18" s="1952" t="s">
        <v>1</v>
      </c>
      <c r="F18" s="1953">
        <v>1</v>
      </c>
      <c r="G18" s="1951">
        <v>96.96</v>
      </c>
      <c r="H18" s="1954">
        <f t="shared" si="0"/>
        <v>96.96</v>
      </c>
    </row>
    <row r="19" spans="1:8" ht="13.5" thickBot="1">
      <c r="A19" s="1931">
        <v>6</v>
      </c>
      <c r="B19" s="1932" t="s">
        <v>621</v>
      </c>
      <c r="C19" s="1933">
        <v>5</v>
      </c>
      <c r="D19" s="1934">
        <v>0.01</v>
      </c>
      <c r="E19" s="1935" t="s">
        <v>46</v>
      </c>
      <c r="F19" s="1936">
        <f>PRODUCT(C19:D19)</f>
        <v>0.05</v>
      </c>
      <c r="G19" s="1933">
        <f>SUM(H14:H18)</f>
        <v>1499.08</v>
      </c>
      <c r="H19" s="1937">
        <f t="shared" si="0"/>
        <v>74.95</v>
      </c>
    </row>
    <row r="20" spans="1:8" ht="13.5" thickTop="1">
      <c r="A20" s="1925">
        <v>7</v>
      </c>
      <c r="B20" s="1938" t="s">
        <v>2451</v>
      </c>
      <c r="C20" s="1939">
        <v>30</v>
      </c>
      <c r="D20" s="1934">
        <v>0.01</v>
      </c>
      <c r="E20" s="1935" t="s">
        <v>46</v>
      </c>
      <c r="F20" s="1936">
        <f>PRODUCT(C20:D20)</f>
        <v>0.3</v>
      </c>
      <c r="G20" s="1939">
        <f>SUM(H14:H19)</f>
        <v>1574.03</v>
      </c>
      <c r="H20" s="1937">
        <f t="shared" si="0"/>
        <v>472.21</v>
      </c>
    </row>
    <row r="21" spans="1:8" ht="13.5" thickBot="1">
      <c r="A21" s="1940"/>
      <c r="B21" s="1941"/>
      <c r="C21" s="1941"/>
      <c r="D21" s="1941"/>
      <c r="E21" s="1941"/>
      <c r="F21" s="1941"/>
      <c r="G21" s="1942" t="s">
        <v>2452</v>
      </c>
      <c r="H21" s="1943">
        <f>SUM(H14:H20)</f>
        <v>2046.24</v>
      </c>
    </row>
    <row r="22" spans="1:8" ht="13.5" thickTop="1">
      <c r="A22" s="1920"/>
      <c r="B22" s="1920"/>
      <c r="C22" s="1920"/>
      <c r="D22" s="1920"/>
      <c r="E22" s="1920"/>
      <c r="F22" s="1920"/>
      <c r="G22" s="1920"/>
      <c r="H22" s="1920"/>
    </row>
    <row r="23" spans="1:8" ht="13.5" thickBot="1">
      <c r="A23" s="1922">
        <v>3.2</v>
      </c>
      <c r="B23" s="1923" t="s">
        <v>2459</v>
      </c>
      <c r="C23" s="1924"/>
      <c r="D23" s="1924"/>
      <c r="E23" s="1924"/>
      <c r="F23" s="1924"/>
      <c r="G23" s="1924"/>
      <c r="H23" s="1924"/>
    </row>
    <row r="24" spans="1:8" ht="14.25" thickTop="1" thickBot="1">
      <c r="A24" s="1925">
        <v>1</v>
      </c>
      <c r="B24" s="1926" t="s">
        <v>2454</v>
      </c>
      <c r="C24" s="1955">
        <v>1</v>
      </c>
      <c r="D24" s="1955">
        <v>2</v>
      </c>
      <c r="E24" s="1956" t="s">
        <v>1</v>
      </c>
      <c r="F24" s="1957">
        <f>PRODUCT(C24:D24)</f>
        <v>2</v>
      </c>
      <c r="G24" s="1927">
        <v>207.07</v>
      </c>
      <c r="H24" s="1958">
        <f t="shared" ref="H24:H29" si="1">ROUND(F24*G24,2)</f>
        <v>414.14</v>
      </c>
    </row>
    <row r="25" spans="1:8" ht="14.25" thickTop="1" thickBot="1">
      <c r="A25" s="1931">
        <v>2</v>
      </c>
      <c r="B25" s="1926" t="s">
        <v>2455</v>
      </c>
      <c r="C25" s="1955">
        <v>1</v>
      </c>
      <c r="D25" s="1955">
        <v>1</v>
      </c>
      <c r="E25" s="1956" t="s">
        <v>1</v>
      </c>
      <c r="F25" s="1957">
        <f>PRODUCT(C25:D25)</f>
        <v>1</v>
      </c>
      <c r="G25" s="1949">
        <v>172.46</v>
      </c>
      <c r="H25" s="1958">
        <f t="shared" si="1"/>
        <v>172.46</v>
      </c>
    </row>
    <row r="26" spans="1:8" ht="14.25" thickTop="1" thickBot="1">
      <c r="A26" s="1931">
        <v>3</v>
      </c>
      <c r="B26" s="1950" t="s">
        <v>2456</v>
      </c>
      <c r="C26" s="1933">
        <v>1</v>
      </c>
      <c r="D26" s="1933">
        <v>1</v>
      </c>
      <c r="E26" s="1959" t="s">
        <v>1</v>
      </c>
      <c r="F26" s="1936">
        <f>PRODUCT(C26:D26)</f>
        <v>1</v>
      </c>
      <c r="G26" s="1927">
        <v>235.75</v>
      </c>
      <c r="H26" s="1937">
        <f t="shared" si="1"/>
        <v>235.75</v>
      </c>
    </row>
    <row r="27" spans="1:8" ht="13.5" thickTop="1">
      <c r="A27" s="1925">
        <v>4</v>
      </c>
      <c r="B27" s="1950" t="s">
        <v>2458</v>
      </c>
      <c r="C27" s="1933">
        <v>1</v>
      </c>
      <c r="D27" s="1933">
        <v>1</v>
      </c>
      <c r="E27" s="1959" t="s">
        <v>1</v>
      </c>
      <c r="F27" s="1936">
        <v>1</v>
      </c>
      <c r="G27" s="1951">
        <v>96.96</v>
      </c>
      <c r="H27" s="1937">
        <f t="shared" si="1"/>
        <v>96.96</v>
      </c>
    </row>
    <row r="28" spans="1:8">
      <c r="A28" s="1931">
        <v>5</v>
      </c>
      <c r="B28" s="1932" t="s">
        <v>621</v>
      </c>
      <c r="C28" s="1933">
        <v>5</v>
      </c>
      <c r="D28" s="1934">
        <v>0.01</v>
      </c>
      <c r="E28" s="1935" t="s">
        <v>46</v>
      </c>
      <c r="F28" s="1936">
        <f>PRODUCT(C28:D28)</f>
        <v>0.05</v>
      </c>
      <c r="G28" s="1933">
        <f>SUM(H24:H27)</f>
        <v>919.31</v>
      </c>
      <c r="H28" s="1937">
        <f t="shared" si="1"/>
        <v>45.97</v>
      </c>
    </row>
    <row r="29" spans="1:8">
      <c r="A29" s="1931">
        <v>6</v>
      </c>
      <c r="B29" s="1938" t="s">
        <v>2451</v>
      </c>
      <c r="C29" s="1939">
        <v>30</v>
      </c>
      <c r="D29" s="1934">
        <v>0.01</v>
      </c>
      <c r="E29" s="1935" t="s">
        <v>46</v>
      </c>
      <c r="F29" s="1936">
        <f>PRODUCT(C29:D29)</f>
        <v>0.3</v>
      </c>
      <c r="G29" s="1939">
        <f>SUM(H24:H28)</f>
        <v>965.28</v>
      </c>
      <c r="H29" s="1937">
        <f t="shared" si="1"/>
        <v>289.58</v>
      </c>
    </row>
    <row r="30" spans="1:8" ht="13.5" thickBot="1">
      <c r="A30" s="1940"/>
      <c r="B30" s="1941"/>
      <c r="C30" s="1941"/>
      <c r="D30" s="1941"/>
      <c r="E30" s="1941"/>
      <c r="F30" s="1941"/>
      <c r="G30" s="1942" t="s">
        <v>2452</v>
      </c>
      <c r="H30" s="1943">
        <f>SUM(H24:H29)</f>
        <v>1254.8599999999999</v>
      </c>
    </row>
    <row r="31" spans="1:8" ht="13.5" thickTop="1">
      <c r="A31" s="1920"/>
      <c r="B31" s="1920"/>
      <c r="C31" s="1920"/>
      <c r="D31" s="1920"/>
      <c r="E31" s="1920"/>
      <c r="F31" s="1920"/>
      <c r="G31" s="1920"/>
      <c r="H31" s="1920"/>
    </row>
    <row r="32" spans="1:8" ht="13.5" thickBot="1">
      <c r="A32" s="1922">
        <v>3.3</v>
      </c>
      <c r="B32" s="1923" t="s">
        <v>2460</v>
      </c>
      <c r="C32" s="1924"/>
      <c r="D32" s="1924"/>
      <c r="E32" s="1924"/>
      <c r="F32" s="1924"/>
      <c r="G32" s="1924"/>
      <c r="H32" s="1924"/>
    </row>
    <row r="33" spans="1:8" ht="14.25" thickTop="1" thickBot="1">
      <c r="A33" s="1925">
        <v>1</v>
      </c>
      <c r="B33" s="1926" t="s">
        <v>2454</v>
      </c>
      <c r="C33" s="1955">
        <v>1</v>
      </c>
      <c r="D33" s="1955">
        <v>2</v>
      </c>
      <c r="E33" s="1956" t="s">
        <v>1</v>
      </c>
      <c r="F33" s="1957">
        <f>PRODUCT(C33:D33)</f>
        <v>2</v>
      </c>
      <c r="G33" s="1927">
        <v>207.07</v>
      </c>
      <c r="H33" s="1958">
        <f t="shared" ref="H33:H38" si="2">ROUND(F33*G33,2)</f>
        <v>414.14</v>
      </c>
    </row>
    <row r="34" spans="1:8" ht="14.25" thickTop="1" thickBot="1">
      <c r="A34" s="1931">
        <v>2</v>
      </c>
      <c r="B34" s="1926" t="s">
        <v>2455</v>
      </c>
      <c r="C34" s="1955">
        <v>1</v>
      </c>
      <c r="D34" s="1955">
        <v>1</v>
      </c>
      <c r="E34" s="1956" t="s">
        <v>1</v>
      </c>
      <c r="F34" s="1957">
        <f>PRODUCT(C34:D34)</f>
        <v>1</v>
      </c>
      <c r="G34" s="1949">
        <v>172.46</v>
      </c>
      <c r="H34" s="1958">
        <f t="shared" si="2"/>
        <v>172.46</v>
      </c>
    </row>
    <row r="35" spans="1:8" ht="14.25" thickTop="1" thickBot="1">
      <c r="A35" s="1931">
        <v>3</v>
      </c>
      <c r="B35" s="1950" t="s">
        <v>2456</v>
      </c>
      <c r="C35" s="1933">
        <v>1</v>
      </c>
      <c r="D35" s="1933">
        <v>1</v>
      </c>
      <c r="E35" s="1959" t="s">
        <v>1</v>
      </c>
      <c r="F35" s="1936">
        <f>PRODUCT(C35:D35)</f>
        <v>1</v>
      </c>
      <c r="G35" s="1927">
        <v>235.75</v>
      </c>
      <c r="H35" s="1937">
        <f t="shared" si="2"/>
        <v>235.75</v>
      </c>
    </row>
    <row r="36" spans="1:8" ht="13.5" thickTop="1">
      <c r="A36" s="1925">
        <v>4</v>
      </c>
      <c r="B36" s="1950" t="s">
        <v>2458</v>
      </c>
      <c r="C36" s="1933">
        <v>1</v>
      </c>
      <c r="D36" s="1933">
        <v>1</v>
      </c>
      <c r="E36" s="1959" t="s">
        <v>1</v>
      </c>
      <c r="F36" s="1936">
        <v>1</v>
      </c>
      <c r="G36" s="1951">
        <v>96.96</v>
      </c>
      <c r="H36" s="1937">
        <f t="shared" si="2"/>
        <v>96.96</v>
      </c>
    </row>
    <row r="37" spans="1:8">
      <c r="A37" s="1931">
        <v>5</v>
      </c>
      <c r="B37" s="1932" t="s">
        <v>621</v>
      </c>
      <c r="C37" s="1933">
        <v>5</v>
      </c>
      <c r="D37" s="1934">
        <v>0.01</v>
      </c>
      <c r="E37" s="1935" t="s">
        <v>46</v>
      </c>
      <c r="F37" s="1936">
        <f>PRODUCT(C37:D37)</f>
        <v>0.05</v>
      </c>
      <c r="G37" s="1933">
        <f>SUM(H33:H36)</f>
        <v>919.31</v>
      </c>
      <c r="H37" s="1937">
        <f t="shared" si="2"/>
        <v>45.97</v>
      </c>
    </row>
    <row r="38" spans="1:8">
      <c r="A38" s="1931">
        <v>6</v>
      </c>
      <c r="B38" s="1938" t="s">
        <v>2451</v>
      </c>
      <c r="C38" s="1939">
        <v>30</v>
      </c>
      <c r="D38" s="1934">
        <v>0.01</v>
      </c>
      <c r="E38" s="1935" t="s">
        <v>46</v>
      </c>
      <c r="F38" s="1936">
        <f>PRODUCT(C38:D38)</f>
        <v>0.3</v>
      </c>
      <c r="G38" s="1939">
        <f>SUM(H33:H37)</f>
        <v>965.28</v>
      </c>
      <c r="H38" s="1937">
        <f t="shared" si="2"/>
        <v>289.58</v>
      </c>
    </row>
    <row r="39" spans="1:8" ht="13.5" thickBot="1">
      <c r="A39" s="1940"/>
      <c r="B39" s="1941"/>
      <c r="C39" s="1941"/>
      <c r="D39" s="1941"/>
      <c r="E39" s="1941"/>
      <c r="F39" s="1941"/>
      <c r="G39" s="1942" t="s">
        <v>2452</v>
      </c>
      <c r="H39" s="1943">
        <f>SUM(H33:H38)</f>
        <v>1254.8599999999999</v>
      </c>
    </row>
    <row r="40" spans="1:8" ht="13.5" thickTop="1">
      <c r="A40" s="1920"/>
      <c r="B40" s="1920"/>
      <c r="C40" s="1920"/>
      <c r="D40" s="1920"/>
      <c r="E40" s="1920"/>
      <c r="F40" s="1920"/>
      <c r="G40" s="1920"/>
      <c r="H40" s="1920"/>
    </row>
    <row r="41" spans="1:8" ht="13.5" thickBot="1">
      <c r="A41" s="1922">
        <v>3.4</v>
      </c>
      <c r="B41" s="1923" t="s">
        <v>2461</v>
      </c>
      <c r="C41" s="1924"/>
      <c r="D41" s="1924"/>
      <c r="E41" s="1924"/>
      <c r="F41" s="1924"/>
      <c r="G41" s="1924"/>
      <c r="H41" s="1924"/>
    </row>
    <row r="42" spans="1:8" ht="14.25" thickTop="1" thickBot="1">
      <c r="A42" s="1925">
        <v>1</v>
      </c>
      <c r="B42" s="1950" t="s">
        <v>2462</v>
      </c>
      <c r="C42" s="1951">
        <v>1</v>
      </c>
      <c r="D42" s="1951">
        <v>2</v>
      </c>
      <c r="E42" s="1959" t="s">
        <v>1</v>
      </c>
      <c r="F42" s="1936">
        <f>PRODUCT(C42:D42)</f>
        <v>2</v>
      </c>
      <c r="G42" s="1949">
        <v>98.49</v>
      </c>
      <c r="H42" s="1937">
        <f>ROUND(F42*G42,2)</f>
        <v>196.98</v>
      </c>
    </row>
    <row r="43" spans="1:8" ht="13.5" thickTop="1">
      <c r="A43" s="1931">
        <v>2</v>
      </c>
      <c r="B43" s="1950" t="s">
        <v>2463</v>
      </c>
      <c r="C43" s="1951">
        <v>1</v>
      </c>
      <c r="D43" s="1951">
        <v>1</v>
      </c>
      <c r="E43" s="1959" t="s">
        <v>1</v>
      </c>
      <c r="F43" s="1936">
        <f>PRODUCT(C43:D43)</f>
        <v>1</v>
      </c>
      <c r="G43" s="1927">
        <v>72.87</v>
      </c>
      <c r="H43" s="1937">
        <f>ROUND(F43*G43,2)</f>
        <v>72.87</v>
      </c>
    </row>
    <row r="44" spans="1:8">
      <c r="A44" s="1931">
        <v>3</v>
      </c>
      <c r="B44" s="1950" t="s">
        <v>2464</v>
      </c>
      <c r="C44" s="1951">
        <v>1</v>
      </c>
      <c r="D44" s="1951">
        <v>1</v>
      </c>
      <c r="E44" s="1959" t="s">
        <v>1</v>
      </c>
      <c r="F44" s="1936">
        <f>PRODUCT(C44:D44)</f>
        <v>1</v>
      </c>
      <c r="G44" s="1951">
        <v>138.37</v>
      </c>
      <c r="H44" s="1937">
        <f>ROUND(F44*G44,2)</f>
        <v>138.37</v>
      </c>
    </row>
    <row r="45" spans="1:8">
      <c r="A45" s="1931">
        <v>4</v>
      </c>
      <c r="B45" s="1932" t="s">
        <v>621</v>
      </c>
      <c r="C45" s="1933">
        <v>5</v>
      </c>
      <c r="D45" s="1934">
        <v>0.01</v>
      </c>
      <c r="E45" s="1935" t="s">
        <v>46</v>
      </c>
      <c r="F45" s="1936">
        <f>PRODUCT(C45:D45)</f>
        <v>0.05</v>
      </c>
      <c r="G45" s="1933">
        <f>SUM(H42:H42)</f>
        <v>196.98</v>
      </c>
      <c r="H45" s="1937">
        <f>ROUND(F45*G45,2)</f>
        <v>9.85</v>
      </c>
    </row>
    <row r="46" spans="1:8">
      <c r="A46" s="1960">
        <v>5</v>
      </c>
      <c r="B46" s="1938" t="s">
        <v>2451</v>
      </c>
      <c r="C46" s="1939">
        <v>30</v>
      </c>
      <c r="D46" s="1934">
        <v>0.01</v>
      </c>
      <c r="E46" s="1935" t="s">
        <v>46</v>
      </c>
      <c r="F46" s="1936">
        <f>PRODUCT(C46:D46)</f>
        <v>0.3</v>
      </c>
      <c r="G46" s="1939">
        <f>SUM(H42:H45)</f>
        <v>418.07</v>
      </c>
      <c r="H46" s="1937">
        <f>ROUND(F46*G46,2)</f>
        <v>125.42</v>
      </c>
    </row>
    <row r="47" spans="1:8" ht="13.5" thickBot="1">
      <c r="A47" s="1940"/>
      <c r="B47" s="1941"/>
      <c r="C47" s="1941"/>
      <c r="D47" s="1941"/>
      <c r="E47" s="1941"/>
      <c r="F47" s="1941"/>
      <c r="G47" s="1942" t="s">
        <v>2452</v>
      </c>
      <c r="H47" s="1943">
        <f>SUM(H42:H46)</f>
        <v>543.49</v>
      </c>
    </row>
    <row r="48" spans="1:8" ht="13.5" thickTop="1">
      <c r="A48" s="1944"/>
      <c r="B48" s="1944"/>
      <c r="C48" s="1944"/>
      <c r="D48" s="1944"/>
      <c r="E48" s="1944"/>
      <c r="F48" s="1944"/>
      <c r="G48" s="1945"/>
      <c r="H48" s="1961"/>
    </row>
    <row r="49" spans="1:8" ht="13.5" thickBot="1">
      <c r="A49" s="1922">
        <v>3.5</v>
      </c>
      <c r="B49" s="1923" t="s">
        <v>2465</v>
      </c>
      <c r="C49" s="1924"/>
      <c r="D49" s="1924"/>
      <c r="E49" s="1924"/>
      <c r="F49" s="1924"/>
      <c r="G49" s="1924"/>
      <c r="H49" s="1924"/>
    </row>
    <row r="50" spans="1:8" ht="14.25" thickTop="1" thickBot="1">
      <c r="A50" s="1925">
        <v>1</v>
      </c>
      <c r="B50" s="1950" t="s">
        <v>2463</v>
      </c>
      <c r="C50" s="1951">
        <v>1</v>
      </c>
      <c r="D50" s="1951">
        <v>2</v>
      </c>
      <c r="E50" s="1959" t="s">
        <v>1</v>
      </c>
      <c r="F50" s="1936">
        <f t="shared" ref="F50:F55" si="3">PRODUCT(C50:D50)</f>
        <v>2</v>
      </c>
      <c r="G50" s="1927">
        <v>72.87</v>
      </c>
      <c r="H50" s="1937">
        <f t="shared" ref="H50:H55" si="4">ROUND(F50*G50,2)</f>
        <v>145.74</v>
      </c>
    </row>
    <row r="51" spans="1:8" ht="13.5" thickTop="1">
      <c r="A51" s="1931">
        <v>2</v>
      </c>
      <c r="B51" s="1950" t="s">
        <v>2466</v>
      </c>
      <c r="C51" s="1951">
        <v>1</v>
      </c>
      <c r="D51" s="1951">
        <v>1</v>
      </c>
      <c r="E51" s="1959" t="s">
        <v>1</v>
      </c>
      <c r="F51" s="1936">
        <f t="shared" si="3"/>
        <v>1</v>
      </c>
      <c r="G51" s="1927">
        <v>48.8</v>
      </c>
      <c r="H51" s="1937">
        <f t="shared" si="4"/>
        <v>48.8</v>
      </c>
    </row>
    <row r="52" spans="1:8">
      <c r="A52" s="1931">
        <v>3</v>
      </c>
      <c r="B52" s="1950" t="s">
        <v>2467</v>
      </c>
      <c r="C52" s="1951">
        <v>1</v>
      </c>
      <c r="D52" s="1951">
        <v>0.5</v>
      </c>
      <c r="E52" s="1959" t="s">
        <v>1</v>
      </c>
      <c r="F52" s="1936">
        <f t="shared" si="3"/>
        <v>0.5</v>
      </c>
      <c r="G52" s="1951">
        <v>69.680000000000007</v>
      </c>
      <c r="H52" s="1937">
        <f t="shared" si="4"/>
        <v>34.840000000000003</v>
      </c>
    </row>
    <row r="53" spans="1:8">
      <c r="A53" s="1931">
        <v>4</v>
      </c>
      <c r="B53" s="1950" t="s">
        <v>2468</v>
      </c>
      <c r="C53" s="1951">
        <v>1</v>
      </c>
      <c r="D53" s="1951">
        <v>0.5</v>
      </c>
      <c r="E53" s="1959" t="s">
        <v>1</v>
      </c>
      <c r="F53" s="1936">
        <f t="shared" si="3"/>
        <v>0.5</v>
      </c>
      <c r="G53" s="1951">
        <v>126.71</v>
      </c>
      <c r="H53" s="1937">
        <f t="shared" si="4"/>
        <v>63.36</v>
      </c>
    </row>
    <row r="54" spans="1:8">
      <c r="A54" s="1931">
        <v>5</v>
      </c>
      <c r="B54" s="1932" t="s">
        <v>621</v>
      </c>
      <c r="C54" s="1933">
        <v>5</v>
      </c>
      <c r="D54" s="1934">
        <v>0.01</v>
      </c>
      <c r="E54" s="1935" t="s">
        <v>46</v>
      </c>
      <c r="F54" s="1936">
        <f t="shared" si="3"/>
        <v>0.05</v>
      </c>
      <c r="G54" s="1933">
        <f>SUM(H50:H50)</f>
        <v>145.74</v>
      </c>
      <c r="H54" s="1937">
        <f t="shared" si="4"/>
        <v>7.29</v>
      </c>
    </row>
    <row r="55" spans="1:8">
      <c r="A55" s="1960">
        <v>6</v>
      </c>
      <c r="B55" s="1938" t="s">
        <v>2451</v>
      </c>
      <c r="C55" s="1939">
        <v>30</v>
      </c>
      <c r="D55" s="1934">
        <v>0.01</v>
      </c>
      <c r="E55" s="1935" t="s">
        <v>46</v>
      </c>
      <c r="F55" s="1936">
        <f t="shared" si="3"/>
        <v>0.3</v>
      </c>
      <c r="G55" s="1939">
        <f>SUM(H50:H54)</f>
        <v>300.02999999999997</v>
      </c>
      <c r="H55" s="1937">
        <f t="shared" si="4"/>
        <v>90.01</v>
      </c>
    </row>
    <row r="56" spans="1:8" ht="13.5" thickBot="1">
      <c r="A56" s="1940"/>
      <c r="B56" s="1941"/>
      <c r="C56" s="1941"/>
      <c r="D56" s="1941"/>
      <c r="E56" s="1941"/>
      <c r="F56" s="1941"/>
      <c r="G56" s="1942" t="s">
        <v>2452</v>
      </c>
      <c r="H56" s="1943">
        <f>SUM(H50:H55)</f>
        <v>390.04</v>
      </c>
    </row>
    <row r="57" spans="1:8" ht="13.5" thickTop="1">
      <c r="A57" s="1944"/>
      <c r="B57" s="1944"/>
      <c r="C57" s="1944"/>
      <c r="D57" s="1944"/>
      <c r="E57" s="1944"/>
      <c r="F57" s="1944"/>
      <c r="G57" s="1945"/>
      <c r="H57" s="1961"/>
    </row>
    <row r="58" spans="1:8" ht="13.5" thickBot="1">
      <c r="A58" s="1922">
        <v>3.6</v>
      </c>
      <c r="B58" s="1923" t="s">
        <v>2469</v>
      </c>
      <c r="C58" s="1924"/>
      <c r="D58" s="1924"/>
      <c r="E58" s="1924"/>
      <c r="F58" s="1924"/>
      <c r="G58" s="1924"/>
      <c r="H58" s="1924"/>
    </row>
    <row r="59" spans="1:8" ht="14.25" thickTop="1" thickBot="1">
      <c r="A59" s="1925">
        <v>1</v>
      </c>
      <c r="B59" s="1950" t="s">
        <v>2462</v>
      </c>
      <c r="C59" s="1951">
        <v>1</v>
      </c>
      <c r="D59" s="1951">
        <v>2</v>
      </c>
      <c r="E59" s="1959" t="s">
        <v>1</v>
      </c>
      <c r="F59" s="1936">
        <f>PRODUCT(C59:D59)</f>
        <v>2</v>
      </c>
      <c r="G59" s="1949">
        <v>98.49</v>
      </c>
      <c r="H59" s="1937">
        <f>ROUND(F59*G59,2)</f>
        <v>196.98</v>
      </c>
    </row>
    <row r="60" spans="1:8" ht="13.5" thickTop="1">
      <c r="A60" s="1931">
        <v>2</v>
      </c>
      <c r="B60" s="1950" t="s">
        <v>2463</v>
      </c>
      <c r="C60" s="1951">
        <v>1</v>
      </c>
      <c r="D60" s="1951">
        <v>1</v>
      </c>
      <c r="E60" s="1959" t="s">
        <v>1</v>
      </c>
      <c r="F60" s="1936">
        <f>PRODUCT(C60:D60)</f>
        <v>1</v>
      </c>
      <c r="G60" s="1927">
        <v>72.87</v>
      </c>
      <c r="H60" s="1937">
        <f>ROUND(F60*G60,2)</f>
        <v>72.87</v>
      </c>
    </row>
    <row r="61" spans="1:8">
      <c r="A61" s="1931">
        <v>3</v>
      </c>
      <c r="B61" s="1950" t="s">
        <v>2464</v>
      </c>
      <c r="C61" s="1951">
        <v>1</v>
      </c>
      <c r="D61" s="1951">
        <v>1</v>
      </c>
      <c r="E61" s="1959" t="s">
        <v>1</v>
      </c>
      <c r="F61" s="1936">
        <f>PRODUCT(C61:D61)</f>
        <v>1</v>
      </c>
      <c r="G61" s="1951">
        <v>138.37</v>
      </c>
      <c r="H61" s="1937">
        <f>ROUND(F61*G61,2)</f>
        <v>138.37</v>
      </c>
    </row>
    <row r="62" spans="1:8">
      <c r="A62" s="1931">
        <v>4</v>
      </c>
      <c r="B62" s="1932" t="s">
        <v>621</v>
      </c>
      <c r="C62" s="1933">
        <v>5</v>
      </c>
      <c r="D62" s="1934">
        <v>0.01</v>
      </c>
      <c r="E62" s="1935" t="s">
        <v>46</v>
      </c>
      <c r="F62" s="1936">
        <f>PRODUCT(C62:D62)</f>
        <v>0.05</v>
      </c>
      <c r="G62" s="1933">
        <f>SUM(H59:H59)</f>
        <v>196.98</v>
      </c>
      <c r="H62" s="1937">
        <f>ROUND(F62*G62,2)</f>
        <v>9.85</v>
      </c>
    </row>
    <row r="63" spans="1:8">
      <c r="A63" s="1960">
        <v>5</v>
      </c>
      <c r="B63" s="1938" t="s">
        <v>2451</v>
      </c>
      <c r="C63" s="1939">
        <v>30</v>
      </c>
      <c r="D63" s="1934">
        <v>0.01</v>
      </c>
      <c r="E63" s="1935" t="s">
        <v>46</v>
      </c>
      <c r="F63" s="1936">
        <f>PRODUCT(C63:D63)</f>
        <v>0.3</v>
      </c>
      <c r="G63" s="1939">
        <f>SUM(H59:H62)</f>
        <v>418.07</v>
      </c>
      <c r="H63" s="1937">
        <f>ROUND(F63*G63,2)</f>
        <v>125.42</v>
      </c>
    </row>
    <row r="64" spans="1:8" ht="13.5" thickBot="1">
      <c r="A64" s="1940"/>
      <c r="B64" s="1941"/>
      <c r="C64" s="1941"/>
      <c r="D64" s="1941"/>
      <c r="E64" s="1941"/>
      <c r="F64" s="1941"/>
      <c r="G64" s="1942" t="s">
        <v>2452</v>
      </c>
      <c r="H64" s="1943">
        <f>SUM(H59:H63)</f>
        <v>543.49</v>
      </c>
    </row>
    <row r="65" spans="1:8" ht="13.5" thickTop="1">
      <c r="A65" s="1944"/>
      <c r="B65" s="1944"/>
      <c r="C65" s="1944"/>
      <c r="D65" s="1944"/>
      <c r="E65" s="1944"/>
      <c r="F65" s="1944"/>
      <c r="G65" s="1945"/>
      <c r="H65" s="1946"/>
    </row>
    <row r="66" spans="1:8" ht="13.5" thickBot="1">
      <c r="A66" s="1922">
        <v>3.7</v>
      </c>
      <c r="B66" s="1923" t="s">
        <v>2470</v>
      </c>
      <c r="C66" s="1924"/>
      <c r="D66" s="1924"/>
      <c r="E66" s="1924"/>
      <c r="F66" s="1924"/>
      <c r="G66" s="1924"/>
      <c r="H66" s="1924"/>
    </row>
    <row r="67" spans="1:8" ht="14.25" thickTop="1" thickBot="1">
      <c r="A67" s="1925">
        <v>1</v>
      </c>
      <c r="B67" s="1950" t="s">
        <v>2463</v>
      </c>
      <c r="C67" s="1951">
        <v>1</v>
      </c>
      <c r="D67" s="1951">
        <v>2</v>
      </c>
      <c r="E67" s="1959" t="s">
        <v>1</v>
      </c>
      <c r="F67" s="1936">
        <f t="shared" ref="F67:F72" si="5">PRODUCT(C67:D67)</f>
        <v>2</v>
      </c>
      <c r="G67" s="1927">
        <v>72.87</v>
      </c>
      <c r="H67" s="1937">
        <f t="shared" ref="H67:H72" si="6">ROUND(F67*G67,2)</f>
        <v>145.74</v>
      </c>
    </row>
    <row r="68" spans="1:8" ht="13.5" thickTop="1">
      <c r="A68" s="1931">
        <v>2</v>
      </c>
      <c r="B68" s="1950" t="s">
        <v>2466</v>
      </c>
      <c r="C68" s="1951">
        <v>1</v>
      </c>
      <c r="D68" s="1951">
        <v>1</v>
      </c>
      <c r="E68" s="1959" t="s">
        <v>1</v>
      </c>
      <c r="F68" s="1936">
        <f t="shared" si="5"/>
        <v>1</v>
      </c>
      <c r="G68" s="1927">
        <v>48.8</v>
      </c>
      <c r="H68" s="1937">
        <f t="shared" si="6"/>
        <v>48.8</v>
      </c>
    </row>
    <row r="69" spans="1:8">
      <c r="A69" s="1931">
        <v>3</v>
      </c>
      <c r="B69" s="1950" t="s">
        <v>2467</v>
      </c>
      <c r="C69" s="1951">
        <v>1</v>
      </c>
      <c r="D69" s="1951">
        <v>0.5</v>
      </c>
      <c r="E69" s="1959" t="s">
        <v>1</v>
      </c>
      <c r="F69" s="1936">
        <f t="shared" si="5"/>
        <v>0.5</v>
      </c>
      <c r="G69" s="1951">
        <v>69.680000000000007</v>
      </c>
      <c r="H69" s="1937">
        <f t="shared" si="6"/>
        <v>34.840000000000003</v>
      </c>
    </row>
    <row r="70" spans="1:8">
      <c r="A70" s="1931">
        <v>4</v>
      </c>
      <c r="B70" s="1950" t="s">
        <v>2468</v>
      </c>
      <c r="C70" s="1951">
        <v>1</v>
      </c>
      <c r="D70" s="1951">
        <v>0.5</v>
      </c>
      <c r="E70" s="1959" t="s">
        <v>1</v>
      </c>
      <c r="F70" s="1936">
        <f t="shared" si="5"/>
        <v>0.5</v>
      </c>
      <c r="G70" s="1951">
        <v>126.71</v>
      </c>
      <c r="H70" s="1937">
        <f t="shared" si="6"/>
        <v>63.36</v>
      </c>
    </row>
    <row r="71" spans="1:8">
      <c r="A71" s="1931">
        <v>5</v>
      </c>
      <c r="B71" s="1932" t="s">
        <v>621</v>
      </c>
      <c r="C71" s="1933">
        <v>5</v>
      </c>
      <c r="D71" s="1934">
        <v>0.01</v>
      </c>
      <c r="E71" s="1935" t="s">
        <v>46</v>
      </c>
      <c r="F71" s="1936">
        <f t="shared" si="5"/>
        <v>0.05</v>
      </c>
      <c r="G71" s="1933">
        <f>SUM(H67:H67)</f>
        <v>145.74</v>
      </c>
      <c r="H71" s="1937">
        <f t="shared" si="6"/>
        <v>7.29</v>
      </c>
    </row>
    <row r="72" spans="1:8">
      <c r="A72" s="1960">
        <v>6</v>
      </c>
      <c r="B72" s="1938" t="s">
        <v>2451</v>
      </c>
      <c r="C72" s="1939">
        <v>30</v>
      </c>
      <c r="D72" s="1934">
        <v>0.01</v>
      </c>
      <c r="E72" s="1935" t="s">
        <v>46</v>
      </c>
      <c r="F72" s="1936">
        <f t="shared" si="5"/>
        <v>0.3</v>
      </c>
      <c r="G72" s="1939">
        <f>SUM(H67:H71)</f>
        <v>300.02999999999997</v>
      </c>
      <c r="H72" s="1937">
        <f t="shared" si="6"/>
        <v>90.01</v>
      </c>
    </row>
    <row r="73" spans="1:8" ht="13.5" thickBot="1">
      <c r="A73" s="1940"/>
      <c r="B73" s="1941"/>
      <c r="C73" s="1941"/>
      <c r="D73" s="1941"/>
      <c r="E73" s="1941"/>
      <c r="F73" s="1941"/>
      <c r="G73" s="1942" t="s">
        <v>2452</v>
      </c>
      <c r="H73" s="1943">
        <f>SUM(H67:H72)</f>
        <v>390.04</v>
      </c>
    </row>
    <row r="74" spans="1:8" ht="13.5" thickTop="1">
      <c r="A74" s="1944"/>
      <c r="B74" s="1944"/>
      <c r="C74" s="1944"/>
      <c r="D74" s="1944"/>
      <c r="E74" s="1944"/>
      <c r="F74" s="1944"/>
      <c r="G74" s="1945"/>
      <c r="H74" s="1962"/>
    </row>
    <row r="75" spans="1:8" ht="13.5" thickBot="1">
      <c r="A75" s="1922">
        <v>3.8</v>
      </c>
      <c r="B75" s="1923" t="s">
        <v>2471</v>
      </c>
      <c r="C75" s="1924"/>
      <c r="D75" s="1924"/>
      <c r="E75" s="1924"/>
      <c r="F75" s="1924"/>
      <c r="G75" s="1924"/>
      <c r="H75" s="1924"/>
    </row>
    <row r="76" spans="1:8" ht="14.25" thickTop="1" thickBot="1">
      <c r="A76" s="1925">
        <v>1</v>
      </c>
      <c r="B76" s="1950" t="s">
        <v>2462</v>
      </c>
      <c r="C76" s="1951">
        <v>1</v>
      </c>
      <c r="D76" s="1951">
        <v>2</v>
      </c>
      <c r="E76" s="1959" t="s">
        <v>1</v>
      </c>
      <c r="F76" s="1936">
        <f>PRODUCT(C76:D76)</f>
        <v>2</v>
      </c>
      <c r="G76" s="1949">
        <v>98.49</v>
      </c>
      <c r="H76" s="1937">
        <f>ROUND(F76*G76,2)</f>
        <v>196.98</v>
      </c>
    </row>
    <row r="77" spans="1:8" ht="13.5" thickTop="1">
      <c r="A77" s="1931">
        <v>2</v>
      </c>
      <c r="B77" s="1950" t="s">
        <v>2463</v>
      </c>
      <c r="C77" s="1951">
        <v>1</v>
      </c>
      <c r="D77" s="1951">
        <v>1</v>
      </c>
      <c r="E77" s="1959" t="s">
        <v>1</v>
      </c>
      <c r="F77" s="1936">
        <f>PRODUCT(C77:D77)</f>
        <v>1</v>
      </c>
      <c r="G77" s="1927">
        <v>72.87</v>
      </c>
      <c r="H77" s="1937">
        <f>ROUND(F77*G77,2)</f>
        <v>72.87</v>
      </c>
    </row>
    <row r="78" spans="1:8">
      <c r="A78" s="1931">
        <v>3</v>
      </c>
      <c r="B78" s="1950" t="s">
        <v>2464</v>
      </c>
      <c r="C78" s="1951">
        <v>1</v>
      </c>
      <c r="D78" s="1951">
        <v>1</v>
      </c>
      <c r="E78" s="1959" t="s">
        <v>1</v>
      </c>
      <c r="F78" s="1936">
        <f>PRODUCT(C78:D78)</f>
        <v>1</v>
      </c>
      <c r="G78" s="1951">
        <v>138.37</v>
      </c>
      <c r="H78" s="1937">
        <f>ROUND(F78*G78,2)</f>
        <v>138.37</v>
      </c>
    </row>
    <row r="79" spans="1:8">
      <c r="A79" s="1931">
        <v>4</v>
      </c>
      <c r="B79" s="1932" t="s">
        <v>621</v>
      </c>
      <c r="C79" s="1933">
        <v>5</v>
      </c>
      <c r="D79" s="1934">
        <v>0.01</v>
      </c>
      <c r="E79" s="1935" t="s">
        <v>46</v>
      </c>
      <c r="F79" s="1936">
        <f>PRODUCT(C79:D79)</f>
        <v>0.05</v>
      </c>
      <c r="G79" s="1933">
        <f>SUM(H76:H76)</f>
        <v>196.98</v>
      </c>
      <c r="H79" s="1937">
        <f>ROUND(F79*G79,2)</f>
        <v>9.85</v>
      </c>
    </row>
    <row r="80" spans="1:8">
      <c r="A80" s="1960">
        <v>5</v>
      </c>
      <c r="B80" s="1938" t="s">
        <v>2451</v>
      </c>
      <c r="C80" s="1939">
        <v>30</v>
      </c>
      <c r="D80" s="1934">
        <v>0.01</v>
      </c>
      <c r="E80" s="1935" t="s">
        <v>46</v>
      </c>
      <c r="F80" s="1936">
        <f>PRODUCT(C80:D80)</f>
        <v>0.3</v>
      </c>
      <c r="G80" s="1939">
        <f>SUM(H76:H79)</f>
        <v>418.07</v>
      </c>
      <c r="H80" s="1937">
        <f>ROUND(F80*G80,2)</f>
        <v>125.42</v>
      </c>
    </row>
    <row r="81" spans="1:8" ht="13.5" thickBot="1">
      <c r="A81" s="1940"/>
      <c r="B81" s="1941"/>
      <c r="C81" s="1941"/>
      <c r="D81" s="1941"/>
      <c r="E81" s="1941"/>
      <c r="F81" s="1941"/>
      <c r="G81" s="1942" t="s">
        <v>2452</v>
      </c>
      <c r="H81" s="1943">
        <f>SUM(H76:H80)</f>
        <v>543.49</v>
      </c>
    </row>
    <row r="82" spans="1:8" ht="13.5" thickTop="1">
      <c r="A82" s="1944"/>
      <c r="B82" s="1944"/>
      <c r="C82" s="1944"/>
      <c r="D82" s="1944"/>
      <c r="E82" s="1944"/>
      <c r="F82" s="1944"/>
      <c r="G82" s="1945"/>
      <c r="H82" s="1962"/>
    </row>
    <row r="83" spans="1:8" ht="13.5" thickBot="1">
      <c r="A83" s="1922">
        <v>3.9</v>
      </c>
      <c r="B83" s="1923" t="s">
        <v>2472</v>
      </c>
      <c r="C83" s="1924"/>
      <c r="D83" s="1924"/>
      <c r="E83" s="1924"/>
      <c r="F83" s="1924"/>
      <c r="G83" s="1924"/>
      <c r="H83" s="1924"/>
    </row>
    <row r="84" spans="1:8" ht="14.25" thickTop="1" thickBot="1">
      <c r="A84" s="1925">
        <v>1</v>
      </c>
      <c r="B84" s="1950" t="s">
        <v>2463</v>
      </c>
      <c r="C84" s="1951">
        <v>1</v>
      </c>
      <c r="D84" s="1951">
        <v>2</v>
      </c>
      <c r="E84" s="1959" t="s">
        <v>1</v>
      </c>
      <c r="F84" s="1936">
        <f>PRODUCT(C84:D84)</f>
        <v>2</v>
      </c>
      <c r="G84" s="1927">
        <v>72.87</v>
      </c>
      <c r="H84" s="1937">
        <f>ROUND(F84*G84,2)</f>
        <v>145.74</v>
      </c>
    </row>
    <row r="85" spans="1:8" ht="13.5" thickTop="1">
      <c r="A85" s="1931">
        <v>2</v>
      </c>
      <c r="B85" s="1950" t="s">
        <v>2466</v>
      </c>
      <c r="C85" s="1951">
        <v>1</v>
      </c>
      <c r="D85" s="1951">
        <v>1</v>
      </c>
      <c r="E85" s="1959" t="s">
        <v>1</v>
      </c>
      <c r="F85" s="1936">
        <f>PRODUCT(C85:D85)</f>
        <v>1</v>
      </c>
      <c r="G85" s="1927">
        <v>48.8</v>
      </c>
      <c r="H85" s="1937">
        <f>ROUND(F85*G85,2)</f>
        <v>48.8</v>
      </c>
    </row>
    <row r="86" spans="1:8">
      <c r="A86" s="1931">
        <v>3</v>
      </c>
      <c r="B86" s="1950" t="s">
        <v>2464</v>
      </c>
      <c r="C86" s="1951">
        <v>1</v>
      </c>
      <c r="D86" s="1951">
        <v>1</v>
      </c>
      <c r="E86" s="1959" t="s">
        <v>1</v>
      </c>
      <c r="F86" s="1936">
        <f>PRODUCT(C86:D86)</f>
        <v>1</v>
      </c>
      <c r="G86" s="1951">
        <v>138.37</v>
      </c>
      <c r="H86" s="1937">
        <f>ROUND(F86*G86,2)</f>
        <v>138.37</v>
      </c>
    </row>
    <row r="87" spans="1:8">
      <c r="A87" s="1931">
        <v>4</v>
      </c>
      <c r="B87" s="1932" t="s">
        <v>621</v>
      </c>
      <c r="C87" s="1933">
        <v>5</v>
      </c>
      <c r="D87" s="1934">
        <v>0.01</v>
      </c>
      <c r="E87" s="1935" t="s">
        <v>46</v>
      </c>
      <c r="F87" s="1936">
        <f>PRODUCT(C87:D87)</f>
        <v>0.05</v>
      </c>
      <c r="G87" s="1933">
        <f>SUM(H84:H84)</f>
        <v>145.74</v>
      </c>
      <c r="H87" s="1937">
        <f>ROUND(F87*G87,2)</f>
        <v>7.29</v>
      </c>
    </row>
    <row r="88" spans="1:8">
      <c r="A88" s="1960">
        <v>5</v>
      </c>
      <c r="B88" s="1938" t="s">
        <v>2451</v>
      </c>
      <c r="C88" s="1939">
        <v>30</v>
      </c>
      <c r="D88" s="1934">
        <v>0.01</v>
      </c>
      <c r="E88" s="1935" t="s">
        <v>46</v>
      </c>
      <c r="F88" s="1936">
        <f>PRODUCT(C88:D88)</f>
        <v>0.3</v>
      </c>
      <c r="G88" s="1939">
        <f>SUM(H84:H87)</f>
        <v>340.2</v>
      </c>
      <c r="H88" s="1937">
        <f>ROUND(F88*G88,2)</f>
        <v>102.06</v>
      </c>
    </row>
    <row r="89" spans="1:8" ht="13.5" thickBot="1">
      <c r="A89" s="1940"/>
      <c r="B89" s="1941"/>
      <c r="C89" s="1941"/>
      <c r="D89" s="1941"/>
      <c r="E89" s="1941"/>
      <c r="F89" s="1941"/>
      <c r="G89" s="1942" t="s">
        <v>2452</v>
      </c>
      <c r="H89" s="1943">
        <f>SUM(H84:H88)</f>
        <v>442.26</v>
      </c>
    </row>
    <row r="90" spans="1:8" ht="13.5" thickTop="1">
      <c r="A90" s="1944"/>
      <c r="B90" s="1944"/>
      <c r="C90" s="1944"/>
      <c r="D90" s="1944"/>
      <c r="E90" s="1944"/>
      <c r="F90" s="1944"/>
      <c r="G90" s="1945"/>
      <c r="H90" s="1962"/>
    </row>
    <row r="91" spans="1:8" ht="13.5" thickBot="1">
      <c r="A91" s="1963">
        <v>3.1</v>
      </c>
      <c r="B91" s="1923" t="s">
        <v>2473</v>
      </c>
      <c r="C91" s="1924"/>
      <c r="D91" s="1924"/>
      <c r="E91" s="1924"/>
      <c r="F91" s="1924"/>
      <c r="G91" s="1924"/>
      <c r="H91" s="1924"/>
    </row>
    <row r="92" spans="1:8" ht="14.25" thickTop="1" thickBot="1">
      <c r="A92" s="1925">
        <v>1</v>
      </c>
      <c r="B92" s="1950" t="s">
        <v>2463</v>
      </c>
      <c r="C92" s="1951">
        <v>1</v>
      </c>
      <c r="D92" s="1951">
        <v>2</v>
      </c>
      <c r="E92" s="1959" t="s">
        <v>1</v>
      </c>
      <c r="F92" s="1936">
        <f>PRODUCT(C92:D92)</f>
        <v>2</v>
      </c>
      <c r="G92" s="1927">
        <v>72.87</v>
      </c>
      <c r="H92" s="1937">
        <f>ROUND(F92*G92,2)</f>
        <v>145.74</v>
      </c>
    </row>
    <row r="93" spans="1:8" ht="13.5" thickTop="1">
      <c r="A93" s="1931">
        <v>2</v>
      </c>
      <c r="B93" s="1950" t="s">
        <v>2466</v>
      </c>
      <c r="C93" s="1951">
        <v>1</v>
      </c>
      <c r="D93" s="1951">
        <v>1</v>
      </c>
      <c r="E93" s="1959" t="s">
        <v>1</v>
      </c>
      <c r="F93" s="1936">
        <f>PRODUCT(C93:D93)</f>
        <v>1</v>
      </c>
      <c r="G93" s="1927">
        <v>48.8</v>
      </c>
      <c r="H93" s="1937">
        <f>ROUND(F93*G93,2)</f>
        <v>48.8</v>
      </c>
    </row>
    <row r="94" spans="1:8">
      <c r="A94" s="1931">
        <v>3</v>
      </c>
      <c r="B94" s="1950" t="s">
        <v>2464</v>
      </c>
      <c r="C94" s="1951">
        <v>1</v>
      </c>
      <c r="D94" s="1951">
        <v>1</v>
      </c>
      <c r="E94" s="1959" t="s">
        <v>1</v>
      </c>
      <c r="F94" s="1936">
        <f>PRODUCT(C94:D94)</f>
        <v>1</v>
      </c>
      <c r="G94" s="1951">
        <v>138.37</v>
      </c>
      <c r="H94" s="1937">
        <f>ROUND(F94*G94,2)</f>
        <v>138.37</v>
      </c>
    </row>
    <row r="95" spans="1:8">
      <c r="A95" s="1931">
        <v>4</v>
      </c>
      <c r="B95" s="1932" t="s">
        <v>621</v>
      </c>
      <c r="C95" s="1933">
        <v>5</v>
      </c>
      <c r="D95" s="1934">
        <v>0.01</v>
      </c>
      <c r="E95" s="1935" t="s">
        <v>46</v>
      </c>
      <c r="F95" s="1936">
        <f>PRODUCT(C95:D95)</f>
        <v>0.05</v>
      </c>
      <c r="G95" s="1933">
        <f>SUM(H92:H92)</f>
        <v>145.74</v>
      </c>
      <c r="H95" s="1937">
        <f>ROUND(F95*G95,2)</f>
        <v>7.29</v>
      </c>
    </row>
    <row r="96" spans="1:8">
      <c r="A96" s="1960">
        <v>5</v>
      </c>
      <c r="B96" s="1938" t="s">
        <v>2451</v>
      </c>
      <c r="C96" s="1939">
        <v>30</v>
      </c>
      <c r="D96" s="1934">
        <v>0.01</v>
      </c>
      <c r="E96" s="1935" t="s">
        <v>46</v>
      </c>
      <c r="F96" s="1936">
        <f>PRODUCT(C96:D96)</f>
        <v>0.3</v>
      </c>
      <c r="G96" s="1939">
        <f>SUM(H92:H95)</f>
        <v>340.2</v>
      </c>
      <c r="H96" s="1937">
        <f>ROUND(F96*G96,2)</f>
        <v>102.06</v>
      </c>
    </row>
    <row r="97" spans="1:8" ht="13.5" thickBot="1">
      <c r="A97" s="1940"/>
      <c r="B97" s="1941"/>
      <c r="C97" s="1941"/>
      <c r="D97" s="1941"/>
      <c r="E97" s="1941"/>
      <c r="F97" s="1941"/>
      <c r="G97" s="1942" t="s">
        <v>2452</v>
      </c>
      <c r="H97" s="1943">
        <f>SUM(H92:H96)</f>
        <v>442.26</v>
      </c>
    </row>
    <row r="98" spans="1:8" ht="13.5" thickTop="1">
      <c r="A98" s="1944"/>
      <c r="B98" s="1944"/>
      <c r="C98" s="1944"/>
      <c r="D98" s="1944"/>
      <c r="E98" s="1944"/>
      <c r="F98" s="1944"/>
      <c r="G98" s="1945"/>
      <c r="H98" s="1962"/>
    </row>
    <row r="99" spans="1:8" ht="13.5" thickBot="1">
      <c r="A99" s="1963">
        <v>3.11</v>
      </c>
      <c r="B99" s="1923" t="s">
        <v>2474</v>
      </c>
      <c r="C99" s="1924"/>
      <c r="D99" s="1924"/>
      <c r="E99" s="1924"/>
      <c r="F99" s="1924"/>
      <c r="G99" s="1924"/>
      <c r="H99" s="1924"/>
    </row>
    <row r="100" spans="1:8" ht="14.25" thickTop="1" thickBot="1">
      <c r="A100" s="1925">
        <v>1</v>
      </c>
      <c r="B100" s="1950" t="s">
        <v>2462</v>
      </c>
      <c r="C100" s="1951">
        <v>1</v>
      </c>
      <c r="D100" s="1951">
        <v>2</v>
      </c>
      <c r="E100" s="1959" t="s">
        <v>1</v>
      </c>
      <c r="F100" s="1936">
        <f>PRODUCT(C100:D100)</f>
        <v>2</v>
      </c>
      <c r="G100" s="1949">
        <v>98.49</v>
      </c>
      <c r="H100" s="1937">
        <f>ROUND(F100*G100,2)</f>
        <v>196.98</v>
      </c>
    </row>
    <row r="101" spans="1:8" ht="13.5" thickTop="1">
      <c r="A101" s="1931">
        <v>2</v>
      </c>
      <c r="B101" s="1950" t="s">
        <v>2463</v>
      </c>
      <c r="C101" s="1951">
        <v>1</v>
      </c>
      <c r="D101" s="1951">
        <v>1</v>
      </c>
      <c r="E101" s="1959" t="s">
        <v>1</v>
      </c>
      <c r="F101" s="1936">
        <f>PRODUCT(C101:D101)</f>
        <v>1</v>
      </c>
      <c r="G101" s="1927">
        <v>72.87</v>
      </c>
      <c r="H101" s="1937">
        <f>ROUND(F101*G101,2)</f>
        <v>72.87</v>
      </c>
    </row>
    <row r="102" spans="1:8">
      <c r="A102" s="1931">
        <v>3</v>
      </c>
      <c r="B102" s="1950" t="s">
        <v>2464</v>
      </c>
      <c r="C102" s="1951">
        <v>1</v>
      </c>
      <c r="D102" s="1951">
        <v>1</v>
      </c>
      <c r="E102" s="1959" t="s">
        <v>1</v>
      </c>
      <c r="F102" s="1936">
        <f>PRODUCT(C102:D102)</f>
        <v>1</v>
      </c>
      <c r="G102" s="1951">
        <v>138.37</v>
      </c>
      <c r="H102" s="1937">
        <f>ROUND(F102*G102,2)</f>
        <v>138.37</v>
      </c>
    </row>
    <row r="103" spans="1:8">
      <c r="A103" s="1931">
        <v>4</v>
      </c>
      <c r="B103" s="1932" t="s">
        <v>621</v>
      </c>
      <c r="C103" s="1933">
        <v>5</v>
      </c>
      <c r="D103" s="1934">
        <v>0.01</v>
      </c>
      <c r="E103" s="1935" t="s">
        <v>46</v>
      </c>
      <c r="F103" s="1936">
        <f>PRODUCT(C103:D103)</f>
        <v>0.05</v>
      </c>
      <c r="G103" s="1933">
        <f>SUM(H100:H100)</f>
        <v>196.98</v>
      </c>
      <c r="H103" s="1937">
        <f>ROUND(F103*G103,2)</f>
        <v>9.85</v>
      </c>
    </row>
    <row r="104" spans="1:8">
      <c r="A104" s="1960">
        <v>5</v>
      </c>
      <c r="B104" s="1938" t="s">
        <v>2451</v>
      </c>
      <c r="C104" s="1939">
        <v>30</v>
      </c>
      <c r="D104" s="1934">
        <v>0.01</v>
      </c>
      <c r="E104" s="1935" t="s">
        <v>46</v>
      </c>
      <c r="F104" s="1936">
        <f>PRODUCT(C104:D104)</f>
        <v>0.3</v>
      </c>
      <c r="G104" s="1939">
        <f>SUM(H100:H103)</f>
        <v>418.07</v>
      </c>
      <c r="H104" s="1937">
        <f>ROUND(F104*G104,2)</f>
        <v>125.42</v>
      </c>
    </row>
    <row r="105" spans="1:8" ht="13.5" thickBot="1">
      <c r="A105" s="1940"/>
      <c r="B105" s="1941"/>
      <c r="C105" s="1941"/>
      <c r="D105" s="1941"/>
      <c r="E105" s="1941"/>
      <c r="F105" s="1941"/>
      <c r="G105" s="1942" t="s">
        <v>2452</v>
      </c>
      <c r="H105" s="1943">
        <f>SUM(H100:H104)</f>
        <v>543.49</v>
      </c>
    </row>
    <row r="106" spans="1:8" ht="13.5" thickTop="1">
      <c r="A106" s="1944"/>
      <c r="B106" s="1944"/>
      <c r="C106" s="1944"/>
      <c r="D106" s="1944"/>
      <c r="E106" s="1944"/>
      <c r="F106" s="1944"/>
      <c r="G106" s="1945"/>
      <c r="H106" s="1962"/>
    </row>
    <row r="107" spans="1:8" ht="13.5" thickBot="1">
      <c r="A107" s="1963">
        <v>3.12</v>
      </c>
      <c r="B107" s="1923" t="s">
        <v>2475</v>
      </c>
      <c r="C107" s="1924"/>
      <c r="D107" s="1924"/>
      <c r="E107" s="1924"/>
      <c r="F107" s="1924"/>
      <c r="G107" s="1924"/>
      <c r="H107" s="1924"/>
    </row>
    <row r="108" spans="1:8" ht="13.5" thickTop="1">
      <c r="A108" s="1931">
        <v>1</v>
      </c>
      <c r="B108" s="1950" t="s">
        <v>2476</v>
      </c>
      <c r="C108" s="1951">
        <v>1</v>
      </c>
      <c r="D108" s="1951">
        <v>3</v>
      </c>
      <c r="E108" s="1959" t="s">
        <v>1</v>
      </c>
      <c r="F108" s="1936">
        <f>PRODUCT(C108:D108)</f>
        <v>3</v>
      </c>
      <c r="G108" s="1927">
        <v>38.71</v>
      </c>
      <c r="H108" s="1937">
        <f>ROUND(F108*G108,2)</f>
        <v>116.13</v>
      </c>
    </row>
    <row r="109" spans="1:8">
      <c r="A109" s="1931">
        <v>2</v>
      </c>
      <c r="B109" s="1950" t="s">
        <v>2467</v>
      </c>
      <c r="C109" s="1951">
        <v>1</v>
      </c>
      <c r="D109" s="1951">
        <v>0.5</v>
      </c>
      <c r="E109" s="1959" t="s">
        <v>1</v>
      </c>
      <c r="F109" s="1936">
        <f>PRODUCT(C109:D109)</f>
        <v>0.5</v>
      </c>
      <c r="G109" s="1951">
        <v>69.680000000000007</v>
      </c>
      <c r="H109" s="1937">
        <f>ROUND(F109*G109,2)</f>
        <v>34.840000000000003</v>
      </c>
    </row>
    <row r="110" spans="1:8">
      <c r="A110" s="1931">
        <v>3</v>
      </c>
      <c r="B110" s="1950" t="s">
        <v>2468</v>
      </c>
      <c r="C110" s="1951">
        <v>1</v>
      </c>
      <c r="D110" s="1951">
        <v>0.5</v>
      </c>
      <c r="E110" s="1959" t="s">
        <v>1</v>
      </c>
      <c r="F110" s="1936">
        <f>PRODUCT(C110:D110)</f>
        <v>0.5</v>
      </c>
      <c r="G110" s="1951">
        <v>126.71</v>
      </c>
      <c r="H110" s="1937">
        <f>ROUND(F110*G110,2)</f>
        <v>63.36</v>
      </c>
    </row>
    <row r="111" spans="1:8">
      <c r="A111" s="1931">
        <v>4</v>
      </c>
      <c r="B111" s="1932" t="s">
        <v>621</v>
      </c>
      <c r="C111" s="1933">
        <v>5</v>
      </c>
      <c r="D111" s="1934">
        <v>0.01</v>
      </c>
      <c r="E111" s="1935" t="s">
        <v>46</v>
      </c>
      <c r="F111" s="1936">
        <f>PRODUCT(C111:D111)</f>
        <v>0.05</v>
      </c>
      <c r="G111" s="1933">
        <f>SUM(H108:H108)</f>
        <v>116.13</v>
      </c>
      <c r="H111" s="1937">
        <f>ROUND(F111*G111,2)</f>
        <v>5.81</v>
      </c>
    </row>
    <row r="112" spans="1:8">
      <c r="A112" s="1960">
        <v>5</v>
      </c>
      <c r="B112" s="1938" t="s">
        <v>2451</v>
      </c>
      <c r="C112" s="1939">
        <v>30</v>
      </c>
      <c r="D112" s="1934">
        <v>0.01</v>
      </c>
      <c r="E112" s="1935" t="s">
        <v>46</v>
      </c>
      <c r="F112" s="1936">
        <f>PRODUCT(C112:D112)</f>
        <v>0.3</v>
      </c>
      <c r="G112" s="1939">
        <f>SUM(H108:H111)</f>
        <v>220.14</v>
      </c>
      <c r="H112" s="1937">
        <f>ROUND(F112*G112,2)</f>
        <v>66.040000000000006</v>
      </c>
    </row>
    <row r="113" spans="1:8" ht="13.5" thickBot="1">
      <c r="A113" s="1940"/>
      <c r="B113" s="1941"/>
      <c r="C113" s="1941"/>
      <c r="D113" s="1941"/>
      <c r="E113" s="1941"/>
      <c r="F113" s="1941"/>
      <c r="G113" s="1942" t="s">
        <v>2452</v>
      </c>
      <c r="H113" s="1943">
        <f>SUM(H108:H112)</f>
        <v>286.18</v>
      </c>
    </row>
    <row r="114" spans="1:8" ht="13.5" thickTop="1">
      <c r="A114" s="1944"/>
      <c r="B114" s="1944"/>
      <c r="C114" s="1944"/>
      <c r="D114" s="1944"/>
      <c r="E114" s="1944"/>
      <c r="F114" s="1944"/>
      <c r="G114" s="1945"/>
      <c r="H114" s="1946"/>
    </row>
    <row r="115" spans="1:8" ht="13.5" thickBot="1">
      <c r="A115" s="1963">
        <v>3.13</v>
      </c>
      <c r="B115" s="1923" t="s">
        <v>2477</v>
      </c>
      <c r="C115" s="1924"/>
      <c r="D115" s="1924"/>
      <c r="E115" s="1924"/>
      <c r="F115" s="1924"/>
      <c r="G115" s="1924"/>
      <c r="H115" s="1924"/>
    </row>
    <row r="116" spans="1:8" ht="13.5" thickTop="1">
      <c r="A116" s="1931">
        <v>1</v>
      </c>
      <c r="B116" s="1950" t="s">
        <v>2476</v>
      </c>
      <c r="C116" s="1951">
        <v>1</v>
      </c>
      <c r="D116" s="1951">
        <v>3</v>
      </c>
      <c r="E116" s="1959" t="s">
        <v>1</v>
      </c>
      <c r="F116" s="1936">
        <f>PRODUCT(C116:D116)</f>
        <v>3</v>
      </c>
      <c r="G116" s="1927">
        <v>38.71</v>
      </c>
      <c r="H116" s="1937">
        <f>ROUND(F116*G116,2)</f>
        <v>116.13</v>
      </c>
    </row>
    <row r="117" spans="1:8">
      <c r="A117" s="1931">
        <v>2</v>
      </c>
      <c r="B117" s="1950" t="s">
        <v>2467</v>
      </c>
      <c r="C117" s="1951">
        <v>1</v>
      </c>
      <c r="D117" s="1951">
        <v>0.5</v>
      </c>
      <c r="E117" s="1959" t="s">
        <v>1</v>
      </c>
      <c r="F117" s="1936">
        <f>PRODUCT(C117:D117)</f>
        <v>0.5</v>
      </c>
      <c r="G117" s="1951">
        <v>69.680000000000007</v>
      </c>
      <c r="H117" s="1937">
        <f>ROUND(F117*G117,2)</f>
        <v>34.840000000000003</v>
      </c>
    </row>
    <row r="118" spans="1:8">
      <c r="A118" s="1931">
        <v>3</v>
      </c>
      <c r="B118" s="1950" t="s">
        <v>2468</v>
      </c>
      <c r="C118" s="1951">
        <v>1</v>
      </c>
      <c r="D118" s="1951">
        <v>0.5</v>
      </c>
      <c r="E118" s="1959" t="s">
        <v>1</v>
      </c>
      <c r="F118" s="1936">
        <f>PRODUCT(C118:D118)</f>
        <v>0.5</v>
      </c>
      <c r="G118" s="1951">
        <v>126.71</v>
      </c>
      <c r="H118" s="1937">
        <f>ROUND(F118*G118,2)</f>
        <v>63.36</v>
      </c>
    </row>
    <row r="119" spans="1:8">
      <c r="A119" s="1931">
        <v>4</v>
      </c>
      <c r="B119" s="1932" t="s">
        <v>621</v>
      </c>
      <c r="C119" s="1933">
        <v>5</v>
      </c>
      <c r="D119" s="1934">
        <v>0.01</v>
      </c>
      <c r="E119" s="1935" t="s">
        <v>46</v>
      </c>
      <c r="F119" s="1936">
        <f>PRODUCT(C119:D119)</f>
        <v>0.05</v>
      </c>
      <c r="G119" s="1933">
        <f>SUM(H116:H116)</f>
        <v>116.13</v>
      </c>
      <c r="H119" s="1937">
        <f>ROUND(F119*G119,2)</f>
        <v>5.81</v>
      </c>
    </row>
    <row r="120" spans="1:8">
      <c r="A120" s="1960">
        <v>5</v>
      </c>
      <c r="B120" s="1938" t="s">
        <v>2451</v>
      </c>
      <c r="C120" s="1939">
        <v>30</v>
      </c>
      <c r="D120" s="1934">
        <v>0.01</v>
      </c>
      <c r="E120" s="1935" t="s">
        <v>46</v>
      </c>
      <c r="F120" s="1936">
        <f>PRODUCT(C120:D120)</f>
        <v>0.3</v>
      </c>
      <c r="G120" s="1939">
        <f>SUM(H116:H119)</f>
        <v>220.14</v>
      </c>
      <c r="H120" s="1937">
        <f>ROUND(F120*G120,2)</f>
        <v>66.040000000000006</v>
      </c>
    </row>
    <row r="121" spans="1:8" ht="13.5" thickBot="1">
      <c r="A121" s="1940"/>
      <c r="B121" s="1941"/>
      <c r="C121" s="1941"/>
      <c r="D121" s="1941"/>
      <c r="E121" s="1941"/>
      <c r="F121" s="1941"/>
      <c r="G121" s="1942" t="s">
        <v>2452</v>
      </c>
      <c r="H121" s="1943">
        <f>SUM(H116:H120)</f>
        <v>286.18</v>
      </c>
    </row>
    <row r="122" spans="1:8" ht="13.5" thickTop="1">
      <c r="A122" s="1944"/>
      <c r="B122" s="1944"/>
      <c r="C122" s="1944"/>
      <c r="D122" s="1944"/>
      <c r="E122" s="1944"/>
      <c r="F122" s="1944"/>
      <c r="G122" s="1945"/>
      <c r="H122" s="1946"/>
    </row>
    <row r="123" spans="1:8" ht="13.5" thickBot="1">
      <c r="A123" s="1963">
        <v>3.14</v>
      </c>
      <c r="B123" s="1923" t="s">
        <v>2478</v>
      </c>
      <c r="C123" s="1924"/>
      <c r="D123" s="1924"/>
      <c r="E123" s="1924"/>
      <c r="F123" s="1924"/>
      <c r="G123" s="1924"/>
      <c r="H123" s="1924"/>
    </row>
    <row r="124" spans="1:8" ht="14.25" thickTop="1" thickBot="1">
      <c r="A124" s="1931">
        <v>1</v>
      </c>
      <c r="B124" s="1950" t="s">
        <v>2466</v>
      </c>
      <c r="C124" s="1951">
        <v>1</v>
      </c>
      <c r="D124" s="1951">
        <v>2</v>
      </c>
      <c r="E124" s="1959" t="s">
        <v>1</v>
      </c>
      <c r="F124" s="1936">
        <f>PRODUCT(C124:D124)</f>
        <v>2</v>
      </c>
      <c r="G124" s="1927">
        <v>48.8</v>
      </c>
      <c r="H124" s="1937">
        <f>ROUND(F124*G124,2)</f>
        <v>97.6</v>
      </c>
    </row>
    <row r="125" spans="1:8" ht="13.5" thickTop="1">
      <c r="A125" s="1931">
        <v>2</v>
      </c>
      <c r="B125" s="1950" t="s">
        <v>2476</v>
      </c>
      <c r="C125" s="1951">
        <v>1</v>
      </c>
      <c r="D125" s="1951">
        <v>1</v>
      </c>
      <c r="E125" s="1959" t="s">
        <v>1</v>
      </c>
      <c r="F125" s="1936">
        <f>PRODUCT(C125:D125)</f>
        <v>1</v>
      </c>
      <c r="G125" s="1927">
        <v>38.71</v>
      </c>
      <c r="H125" s="1937">
        <f>ROUND(F125*G125,2)</f>
        <v>38.71</v>
      </c>
    </row>
    <row r="126" spans="1:8">
      <c r="A126" s="1931">
        <v>3</v>
      </c>
      <c r="B126" s="1950" t="s">
        <v>2464</v>
      </c>
      <c r="C126" s="1951">
        <v>1</v>
      </c>
      <c r="D126" s="1951">
        <v>1</v>
      </c>
      <c r="E126" s="1959" t="s">
        <v>1</v>
      </c>
      <c r="F126" s="1936">
        <f>PRODUCT(C126:D126)</f>
        <v>1</v>
      </c>
      <c r="G126" s="1951">
        <v>138.37</v>
      </c>
      <c r="H126" s="1937">
        <f>ROUND(F126*G126,2)</f>
        <v>138.37</v>
      </c>
    </row>
    <row r="127" spans="1:8">
      <c r="A127" s="1931">
        <v>4</v>
      </c>
      <c r="B127" s="1932" t="s">
        <v>621</v>
      </c>
      <c r="C127" s="1933">
        <v>5</v>
      </c>
      <c r="D127" s="1934">
        <v>0.01</v>
      </c>
      <c r="E127" s="1935" t="s">
        <v>46</v>
      </c>
      <c r="F127" s="1936">
        <f>PRODUCT(C127:D127)</f>
        <v>0.05</v>
      </c>
      <c r="G127" s="1933">
        <f>SUM(H125:H125)</f>
        <v>38.71</v>
      </c>
      <c r="H127" s="1937">
        <f>ROUND(F127*G127,2)</f>
        <v>1.94</v>
      </c>
    </row>
    <row r="128" spans="1:8">
      <c r="A128" s="1960">
        <v>5</v>
      </c>
      <c r="B128" s="1938" t="s">
        <v>2451</v>
      </c>
      <c r="C128" s="1939">
        <v>30</v>
      </c>
      <c r="D128" s="1934">
        <v>0.01</v>
      </c>
      <c r="E128" s="1935" t="s">
        <v>46</v>
      </c>
      <c r="F128" s="1936">
        <f>PRODUCT(C128:D128)</f>
        <v>0.3</v>
      </c>
      <c r="G128" s="1939">
        <f>SUM(H125:H127)</f>
        <v>179.02</v>
      </c>
      <c r="H128" s="1937">
        <f>ROUND(F128*G128,2)</f>
        <v>53.71</v>
      </c>
    </row>
    <row r="129" spans="1:8" ht="13.5" thickBot="1">
      <c r="A129" s="1940"/>
      <c r="B129" s="1941"/>
      <c r="C129" s="1941"/>
      <c r="D129" s="1941"/>
      <c r="E129" s="1941"/>
      <c r="F129" s="1941"/>
      <c r="G129" s="1942" t="s">
        <v>2452</v>
      </c>
      <c r="H129" s="1943">
        <f>SUM(H125:H128)</f>
        <v>232.73</v>
      </c>
    </row>
    <row r="130" spans="1:8" ht="13.5" thickTop="1">
      <c r="A130" s="1944"/>
      <c r="B130" s="1944"/>
      <c r="C130" s="1944"/>
      <c r="D130" s="1944"/>
      <c r="E130" s="1944"/>
      <c r="F130" s="1944"/>
      <c r="G130" s="1945"/>
      <c r="H130" s="1946"/>
    </row>
    <row r="131" spans="1:8" ht="13.5" thickBot="1">
      <c r="A131" s="1963">
        <v>3.15</v>
      </c>
      <c r="B131" s="1923" t="s">
        <v>2479</v>
      </c>
      <c r="C131" s="1924"/>
      <c r="D131" s="1924"/>
      <c r="E131" s="1924"/>
      <c r="F131" s="1924"/>
      <c r="G131" s="1924"/>
      <c r="H131" s="1924"/>
    </row>
    <row r="132" spans="1:8" ht="14.25" thickTop="1" thickBot="1">
      <c r="A132" s="1931">
        <v>1</v>
      </c>
      <c r="B132" s="1950" t="s">
        <v>2466</v>
      </c>
      <c r="C132" s="1951">
        <v>1</v>
      </c>
      <c r="D132" s="1951">
        <v>2</v>
      </c>
      <c r="E132" s="1959" t="s">
        <v>1</v>
      </c>
      <c r="F132" s="1936">
        <f>PRODUCT(C132:D132)</f>
        <v>2</v>
      </c>
      <c r="G132" s="1927">
        <v>48.8</v>
      </c>
      <c r="H132" s="1937">
        <f>ROUND(F132*G132,2)</f>
        <v>97.6</v>
      </c>
    </row>
    <row r="133" spans="1:8" ht="13.5" thickTop="1">
      <c r="A133" s="1931">
        <v>2</v>
      </c>
      <c r="B133" s="1950" t="s">
        <v>2476</v>
      </c>
      <c r="C133" s="1951">
        <v>1</v>
      </c>
      <c r="D133" s="1951">
        <v>1</v>
      </c>
      <c r="E133" s="1959" t="s">
        <v>1</v>
      </c>
      <c r="F133" s="1936">
        <f>PRODUCT(C133:D133)</f>
        <v>1</v>
      </c>
      <c r="G133" s="1927">
        <v>38.71</v>
      </c>
      <c r="H133" s="1937">
        <f>ROUND(F133*G133,2)</f>
        <v>38.71</v>
      </c>
    </row>
    <row r="134" spans="1:8">
      <c r="A134" s="1931">
        <v>3</v>
      </c>
      <c r="B134" s="1950" t="s">
        <v>2464</v>
      </c>
      <c r="C134" s="1951">
        <v>1</v>
      </c>
      <c r="D134" s="1951">
        <v>1</v>
      </c>
      <c r="E134" s="1959" t="s">
        <v>1</v>
      </c>
      <c r="F134" s="1936">
        <f>PRODUCT(C134:D134)</f>
        <v>1</v>
      </c>
      <c r="G134" s="1951">
        <v>138.37</v>
      </c>
      <c r="H134" s="1937">
        <f>ROUND(F134*G134,2)</f>
        <v>138.37</v>
      </c>
    </row>
    <row r="135" spans="1:8">
      <c r="A135" s="1931">
        <v>4</v>
      </c>
      <c r="B135" s="1932" t="s">
        <v>621</v>
      </c>
      <c r="C135" s="1933">
        <v>5</v>
      </c>
      <c r="D135" s="1934">
        <v>0.01</v>
      </c>
      <c r="E135" s="1935" t="s">
        <v>46</v>
      </c>
      <c r="F135" s="1936">
        <f>PRODUCT(C135:D135)</f>
        <v>0.05</v>
      </c>
      <c r="G135" s="1933">
        <f>SUM(H133:H133)</f>
        <v>38.71</v>
      </c>
      <c r="H135" s="1937">
        <f>ROUND(F135*G135,2)</f>
        <v>1.94</v>
      </c>
    </row>
    <row r="136" spans="1:8">
      <c r="A136" s="1960">
        <v>5</v>
      </c>
      <c r="B136" s="1938" t="s">
        <v>2451</v>
      </c>
      <c r="C136" s="1939">
        <v>30</v>
      </c>
      <c r="D136" s="1934">
        <v>0.01</v>
      </c>
      <c r="E136" s="1935" t="s">
        <v>46</v>
      </c>
      <c r="F136" s="1936">
        <f>PRODUCT(C136:D136)</f>
        <v>0.3</v>
      </c>
      <c r="G136" s="1939">
        <f>SUM(H133:H135)</f>
        <v>179.02</v>
      </c>
      <c r="H136" s="1937">
        <f>ROUND(F136*G136,2)</f>
        <v>53.71</v>
      </c>
    </row>
    <row r="137" spans="1:8" ht="13.5" thickBot="1">
      <c r="A137" s="1940"/>
      <c r="B137" s="1941"/>
      <c r="C137" s="1941"/>
      <c r="D137" s="1941"/>
      <c r="E137" s="1941"/>
      <c r="F137" s="1941"/>
      <c r="G137" s="1942" t="s">
        <v>2452</v>
      </c>
      <c r="H137" s="1943">
        <f>SUM(H133:H136)</f>
        <v>232.73</v>
      </c>
    </row>
    <row r="138" spans="1:8" ht="13.5" thickTop="1">
      <c r="A138" s="1944"/>
      <c r="B138" s="1944"/>
      <c r="C138" s="1944"/>
      <c r="D138" s="1944"/>
      <c r="E138" s="1944"/>
      <c r="F138" s="1944"/>
      <c r="G138" s="1945"/>
      <c r="H138" s="1946"/>
    </row>
    <row r="139" spans="1:8" ht="13.5" thickBot="1">
      <c r="A139" s="1963">
        <v>3.16</v>
      </c>
      <c r="B139" s="1923" t="s">
        <v>2480</v>
      </c>
      <c r="C139" s="1924"/>
      <c r="D139" s="1924"/>
      <c r="E139" s="1924"/>
      <c r="F139" s="1924"/>
      <c r="G139" s="1924"/>
      <c r="H139" s="1924"/>
    </row>
    <row r="140" spans="1:8" ht="13.5" thickTop="1">
      <c r="A140" s="1931">
        <v>1</v>
      </c>
      <c r="B140" s="1950" t="s">
        <v>2466</v>
      </c>
      <c r="C140" s="1951">
        <v>1</v>
      </c>
      <c r="D140" s="1951">
        <v>3</v>
      </c>
      <c r="E140" s="1959" t="s">
        <v>1</v>
      </c>
      <c r="F140" s="1936">
        <f>PRODUCT(C140:D140)</f>
        <v>3</v>
      </c>
      <c r="G140" s="1927">
        <v>48.8</v>
      </c>
      <c r="H140" s="1937">
        <f>ROUND(F140*G140,2)</f>
        <v>146.4</v>
      </c>
    </row>
    <row r="141" spans="1:8">
      <c r="A141" s="1931">
        <v>2</v>
      </c>
      <c r="B141" s="1950" t="s">
        <v>2467</v>
      </c>
      <c r="C141" s="1951">
        <v>1</v>
      </c>
      <c r="D141" s="1951">
        <v>0.5</v>
      </c>
      <c r="E141" s="1959" t="s">
        <v>1</v>
      </c>
      <c r="F141" s="1936">
        <f>PRODUCT(C141:D141)</f>
        <v>0.5</v>
      </c>
      <c r="G141" s="1951">
        <v>69.680000000000007</v>
      </c>
      <c r="H141" s="1937">
        <f>ROUND(F141*G141,2)</f>
        <v>34.840000000000003</v>
      </c>
    </row>
    <row r="142" spans="1:8">
      <c r="A142" s="1931">
        <v>3</v>
      </c>
      <c r="B142" s="1950" t="s">
        <v>2468</v>
      </c>
      <c r="C142" s="1951">
        <v>1</v>
      </c>
      <c r="D142" s="1951">
        <v>0.5</v>
      </c>
      <c r="E142" s="1959" t="s">
        <v>1</v>
      </c>
      <c r="F142" s="1936">
        <f>PRODUCT(C142:D142)</f>
        <v>0.5</v>
      </c>
      <c r="G142" s="1951">
        <v>126.71</v>
      </c>
      <c r="H142" s="1937">
        <f>ROUND(F142*G142,2)</f>
        <v>63.36</v>
      </c>
    </row>
    <row r="143" spans="1:8">
      <c r="A143" s="1931">
        <v>4</v>
      </c>
      <c r="B143" s="1932" t="s">
        <v>621</v>
      </c>
      <c r="C143" s="1933">
        <v>5</v>
      </c>
      <c r="D143" s="1934">
        <v>0.01</v>
      </c>
      <c r="E143" s="1935" t="s">
        <v>46</v>
      </c>
      <c r="F143" s="1936">
        <f>PRODUCT(C143:D143)</f>
        <v>0.05</v>
      </c>
      <c r="G143" s="1933">
        <f>SUM(H141:H141)</f>
        <v>34.840000000000003</v>
      </c>
      <c r="H143" s="1937">
        <f>ROUND(F143*G143,2)</f>
        <v>1.74</v>
      </c>
    </row>
    <row r="144" spans="1:8">
      <c r="A144" s="1960">
        <v>5</v>
      </c>
      <c r="B144" s="1938" t="s">
        <v>2451</v>
      </c>
      <c r="C144" s="1939">
        <v>30</v>
      </c>
      <c r="D144" s="1934">
        <v>0.01</v>
      </c>
      <c r="E144" s="1935" t="s">
        <v>46</v>
      </c>
      <c r="F144" s="1936">
        <f>PRODUCT(C144:D144)</f>
        <v>0.3</v>
      </c>
      <c r="G144" s="1939">
        <f>SUM(H141:H143)</f>
        <v>99.94</v>
      </c>
      <c r="H144" s="1937">
        <f>ROUND(F144*G144,2)</f>
        <v>29.98</v>
      </c>
    </row>
    <row r="145" spans="1:8" ht="13.5" thickBot="1">
      <c r="A145" s="1940"/>
      <c r="B145" s="1941"/>
      <c r="C145" s="1941"/>
      <c r="D145" s="1941"/>
      <c r="E145" s="1941"/>
      <c r="F145" s="1941"/>
      <c r="G145" s="1942" t="s">
        <v>2452</v>
      </c>
      <c r="H145" s="1943">
        <f>SUM(H141:H144)</f>
        <v>129.91999999999999</v>
      </c>
    </row>
    <row r="146" spans="1:8" ht="13.5" thickTop="1">
      <c r="A146" s="1944"/>
      <c r="B146" s="1944"/>
      <c r="C146" s="1944"/>
      <c r="D146" s="1944"/>
      <c r="E146" s="1944"/>
      <c r="F146" s="1944"/>
      <c r="G146" s="1945"/>
      <c r="H146" s="1946"/>
    </row>
    <row r="147" spans="1:8" ht="25.5">
      <c r="A147" s="1918">
        <v>4</v>
      </c>
      <c r="B147" s="1919" t="s">
        <v>1639</v>
      </c>
      <c r="C147" s="1944"/>
      <c r="D147" s="1944"/>
      <c r="E147" s="1944"/>
      <c r="F147" s="1944"/>
      <c r="G147" s="1945"/>
      <c r="H147" s="1946"/>
    </row>
    <row r="149" spans="1:8" ht="13.5" thickBot="1">
      <c r="A149" s="1964">
        <v>4.8</v>
      </c>
      <c r="B149" s="1965" t="s">
        <v>2481</v>
      </c>
      <c r="C149" s="1966"/>
      <c r="D149" s="1966"/>
      <c r="E149" s="1966"/>
      <c r="F149" s="1966"/>
      <c r="G149" s="1966"/>
      <c r="H149" s="1966"/>
    </row>
    <row r="150" spans="1:8" ht="14.25" thickTop="1" thickBot="1">
      <c r="A150" s="1925">
        <v>1</v>
      </c>
      <c r="B150" s="1926" t="s">
        <v>2454</v>
      </c>
      <c r="C150" s="1955">
        <v>1</v>
      </c>
      <c r="D150" s="1955">
        <v>2</v>
      </c>
      <c r="E150" s="1956" t="s">
        <v>1</v>
      </c>
      <c r="F150" s="1957">
        <f>PRODUCT(C150:D150)</f>
        <v>2</v>
      </c>
      <c r="G150" s="1927">
        <v>207.07</v>
      </c>
      <c r="H150" s="1958">
        <f>ROUND(F150*G150,2)</f>
        <v>414.14</v>
      </c>
    </row>
    <row r="151" spans="1:8" ht="14.25" thickTop="1" thickBot="1">
      <c r="A151" s="1931">
        <v>2</v>
      </c>
      <c r="B151" s="1926" t="s">
        <v>2455</v>
      </c>
      <c r="C151" s="1955">
        <v>1</v>
      </c>
      <c r="D151" s="1955">
        <v>1</v>
      </c>
      <c r="E151" s="1956" t="s">
        <v>1</v>
      </c>
      <c r="F151" s="1957">
        <f>PRODUCT(C151:D151)</f>
        <v>1</v>
      </c>
      <c r="G151" s="1949">
        <v>172.46</v>
      </c>
      <c r="H151" s="1958">
        <f>ROUND(F151*G151,2)</f>
        <v>172.46</v>
      </c>
    </row>
    <row r="152" spans="1:8" ht="13.5" thickTop="1">
      <c r="A152" s="1925">
        <v>3</v>
      </c>
      <c r="B152" s="1950" t="s">
        <v>2482</v>
      </c>
      <c r="C152" s="1933">
        <v>1</v>
      </c>
      <c r="D152" s="1933">
        <v>1</v>
      </c>
      <c r="E152" s="1959" t="s">
        <v>1</v>
      </c>
      <c r="F152" s="1936">
        <v>1</v>
      </c>
      <c r="G152" s="1951">
        <v>215.19</v>
      </c>
      <c r="H152" s="1937">
        <f>ROUND(F152*G152,2)</f>
        <v>215.19</v>
      </c>
    </row>
    <row r="153" spans="1:8">
      <c r="A153" s="1931">
        <v>4</v>
      </c>
      <c r="B153" s="1932" t="s">
        <v>621</v>
      </c>
      <c r="C153" s="1933">
        <v>5</v>
      </c>
      <c r="D153" s="1934">
        <v>0.01</v>
      </c>
      <c r="E153" s="1935" t="s">
        <v>46</v>
      </c>
      <c r="F153" s="1936">
        <f>PRODUCT(C153:D153)</f>
        <v>0.05</v>
      </c>
      <c r="G153" s="1933">
        <f>SUM(H150:H152)</f>
        <v>801.79</v>
      </c>
      <c r="H153" s="1937">
        <f>ROUND(F153*G153,2)</f>
        <v>40.090000000000003</v>
      </c>
    </row>
    <row r="154" spans="1:8">
      <c r="A154" s="1931">
        <v>5</v>
      </c>
      <c r="B154" s="1938" t="s">
        <v>2451</v>
      </c>
      <c r="C154" s="1939">
        <v>30</v>
      </c>
      <c r="D154" s="1934">
        <v>0.01</v>
      </c>
      <c r="E154" s="1935" t="s">
        <v>46</v>
      </c>
      <c r="F154" s="1936">
        <f>PRODUCT(C154:D154)</f>
        <v>0.3</v>
      </c>
      <c r="G154" s="1939">
        <f>SUM(H150:H153)</f>
        <v>841.88</v>
      </c>
      <c r="H154" s="1937">
        <f>ROUND(F154*G154,2)</f>
        <v>252.56</v>
      </c>
    </row>
    <row r="155" spans="1:8" ht="13.5" thickBot="1">
      <c r="A155" s="1940"/>
      <c r="B155" s="1941"/>
      <c r="C155" s="1941"/>
      <c r="D155" s="1941"/>
      <c r="E155" s="1941"/>
      <c r="F155" s="1941"/>
      <c r="G155" s="1942" t="s">
        <v>2452</v>
      </c>
      <c r="H155" s="1967">
        <f>SUM(H150:H154)</f>
        <v>1094.44</v>
      </c>
    </row>
    <row r="156" spans="1:8" ht="13.5" thickTop="1"/>
    <row r="158" spans="1:8" ht="13.5" thickBot="1">
      <c r="H158" s="1967">
        <f>SUM(H3:H156)</f>
        <v>22235.42</v>
      </c>
    </row>
    <row r="159" spans="1:8" ht="13.5"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2:I251"/>
  <sheetViews>
    <sheetView workbookViewId="0"/>
  </sheetViews>
  <sheetFormatPr baseColWidth="10" defaultColWidth="11.42578125" defaultRowHeight="12.75"/>
  <cols>
    <col min="1" max="1" width="4.5703125" customWidth="1"/>
    <col min="2" max="2" width="46.7109375" bestFit="1" customWidth="1"/>
  </cols>
  <sheetData>
    <row r="2" spans="2:7">
      <c r="B2" s="4769" t="s">
        <v>1025</v>
      </c>
      <c r="C2" s="4769"/>
      <c r="D2" s="4769"/>
      <c r="E2" s="4769"/>
      <c r="F2" s="4769"/>
      <c r="G2" s="1083"/>
    </row>
    <row r="3" spans="2:7">
      <c r="B3" s="1600" t="s">
        <v>117</v>
      </c>
      <c r="C3" s="1602" t="s">
        <v>118</v>
      </c>
      <c r="D3" s="1656">
        <v>1</v>
      </c>
      <c r="E3" s="1085">
        <v>2.5</v>
      </c>
      <c r="F3" s="1086">
        <f t="shared" ref="F3:F11" si="0">E3*D3</f>
        <v>2.5</v>
      </c>
      <c r="G3" s="1083"/>
    </row>
    <row r="4" spans="2:7">
      <c r="B4" s="1600" t="s">
        <v>119</v>
      </c>
      <c r="C4" s="1602" t="s">
        <v>1026</v>
      </c>
      <c r="D4" s="1086">
        <v>1</v>
      </c>
      <c r="E4" s="1085">
        <v>325</v>
      </c>
      <c r="F4" s="1086">
        <f t="shared" si="0"/>
        <v>325</v>
      </c>
      <c r="G4" s="1083"/>
    </row>
    <row r="5" spans="2:7">
      <c r="B5" s="1600" t="s">
        <v>1545</v>
      </c>
      <c r="C5" s="1602" t="s">
        <v>1026</v>
      </c>
      <c r="D5" s="1086">
        <v>1</v>
      </c>
      <c r="E5" s="1085">
        <v>271.02</v>
      </c>
      <c r="F5" s="1086">
        <f t="shared" si="0"/>
        <v>271.02</v>
      </c>
      <c r="G5" s="1083"/>
    </row>
    <row r="6" spans="2:7">
      <c r="B6" s="1600" t="s">
        <v>1027</v>
      </c>
      <c r="C6" s="1602" t="s">
        <v>2</v>
      </c>
      <c r="D6" s="1086">
        <v>1</v>
      </c>
      <c r="E6" s="1085">
        <v>1100</v>
      </c>
      <c r="F6" s="1086">
        <f t="shared" si="0"/>
        <v>1100</v>
      </c>
      <c r="G6" s="1083"/>
    </row>
    <row r="7" spans="2:7">
      <c r="B7" s="1600" t="s">
        <v>1028</v>
      </c>
      <c r="C7" s="1602" t="s">
        <v>2</v>
      </c>
      <c r="D7" s="1086">
        <v>1</v>
      </c>
      <c r="E7" s="1085">
        <v>1200</v>
      </c>
      <c r="F7" s="1086">
        <f t="shared" si="0"/>
        <v>1200</v>
      </c>
      <c r="G7" s="1083"/>
    </row>
    <row r="8" spans="2:7">
      <c r="B8" s="1654" t="s">
        <v>1029</v>
      </c>
      <c r="C8" s="1653" t="s">
        <v>2</v>
      </c>
      <c r="D8" s="1597">
        <v>1</v>
      </c>
      <c r="E8" s="1655">
        <v>1100</v>
      </c>
      <c r="F8" s="1597">
        <f t="shared" si="0"/>
        <v>1100</v>
      </c>
      <c r="G8" s="1235"/>
    </row>
    <row r="9" spans="2:7">
      <c r="B9" s="1600" t="s">
        <v>1546</v>
      </c>
      <c r="C9" s="1602" t="s">
        <v>127</v>
      </c>
      <c r="D9" s="1086">
        <v>1</v>
      </c>
      <c r="E9" s="1086">
        <v>1</v>
      </c>
      <c r="F9" s="1086">
        <f t="shared" si="0"/>
        <v>1</v>
      </c>
      <c r="G9" s="1083"/>
    </row>
    <row r="10" spans="2:7">
      <c r="B10" s="1600" t="s">
        <v>8</v>
      </c>
      <c r="C10" s="1602" t="s">
        <v>127</v>
      </c>
      <c r="D10" s="1086">
        <v>1</v>
      </c>
      <c r="E10" s="1203">
        <v>12.5</v>
      </c>
      <c r="F10" s="1086">
        <f t="shared" si="0"/>
        <v>12.5</v>
      </c>
      <c r="G10" s="1083"/>
    </row>
    <row r="11" spans="2:7">
      <c r="B11" s="1600" t="s">
        <v>125</v>
      </c>
      <c r="C11" s="1602" t="s">
        <v>126</v>
      </c>
      <c r="D11" s="1086">
        <v>1</v>
      </c>
      <c r="E11" s="1085">
        <v>2500</v>
      </c>
      <c r="F11" s="1086">
        <f t="shared" si="0"/>
        <v>2500</v>
      </c>
      <c r="G11" s="1083"/>
    </row>
    <row r="12" spans="2:7">
      <c r="B12" s="1087"/>
      <c r="C12" s="1603"/>
      <c r="D12" s="1087"/>
      <c r="E12" s="1087"/>
      <c r="F12" s="1087"/>
      <c r="G12" s="1083"/>
    </row>
    <row r="13" spans="2:7">
      <c r="B13" s="1088" t="s">
        <v>129</v>
      </c>
      <c r="C13" s="1603"/>
      <c r="D13" s="1087"/>
      <c r="E13" s="1087"/>
      <c r="F13" s="1087"/>
      <c r="G13" s="1083"/>
    </row>
    <row r="14" spans="2:7">
      <c r="B14" s="1089" t="s">
        <v>130</v>
      </c>
      <c r="C14" s="1595" t="s">
        <v>2</v>
      </c>
      <c r="D14" s="1090">
        <v>1</v>
      </c>
      <c r="E14" s="1090">
        <f>+F6</f>
        <v>1100</v>
      </c>
      <c r="F14" s="1086">
        <f>E14*D14</f>
        <v>1100</v>
      </c>
      <c r="G14" s="1083"/>
    </row>
    <row r="15" spans="2:7">
      <c r="B15" s="1089" t="s">
        <v>131</v>
      </c>
      <c r="C15" s="1604" t="s">
        <v>2</v>
      </c>
      <c r="D15" s="1090">
        <v>1</v>
      </c>
      <c r="E15" s="1090">
        <v>12</v>
      </c>
      <c r="F15" s="1086">
        <f>E15*D15</f>
        <v>12</v>
      </c>
      <c r="G15" s="1083"/>
    </row>
    <row r="16" spans="2:7">
      <c r="B16" s="1091"/>
      <c r="C16" s="1605" t="s">
        <v>315</v>
      </c>
      <c r="D16" s="1090"/>
      <c r="E16" s="1090"/>
      <c r="F16" s="1092">
        <f>SUM(F14:F15)</f>
        <v>1112</v>
      </c>
      <c r="G16" s="1083"/>
    </row>
    <row r="17" spans="2:7">
      <c r="B17" s="1087"/>
      <c r="C17" s="1603"/>
      <c r="D17" s="1087"/>
      <c r="E17" s="1087"/>
      <c r="F17" s="1093"/>
      <c r="G17" s="1083"/>
    </row>
    <row r="18" spans="2:7">
      <c r="B18" s="1088" t="s">
        <v>133</v>
      </c>
      <c r="C18" s="1603"/>
      <c r="D18" s="1087"/>
      <c r="E18" s="1087"/>
      <c r="F18" s="1087"/>
      <c r="G18" s="1083"/>
    </row>
    <row r="19" spans="2:7">
      <c r="B19" s="1089" t="s">
        <v>130</v>
      </c>
      <c r="C19" s="1595" t="s">
        <v>2</v>
      </c>
      <c r="D19" s="1090">
        <v>1</v>
      </c>
      <c r="E19" s="1090">
        <f>+F7</f>
        <v>1200</v>
      </c>
      <c r="F19" s="1086">
        <f>E19*D19</f>
        <v>1200</v>
      </c>
      <c r="G19" s="1083"/>
    </row>
    <row r="20" spans="2:7">
      <c r="B20" s="1089" t="s">
        <v>131</v>
      </c>
      <c r="C20" s="1604" t="s">
        <v>2</v>
      </c>
      <c r="D20" s="1090">
        <v>1</v>
      </c>
      <c r="E20" s="1090">
        <v>12</v>
      </c>
      <c r="F20" s="1086">
        <f>E20*D20</f>
        <v>12</v>
      </c>
      <c r="G20" s="1083"/>
    </row>
    <row r="21" spans="2:7">
      <c r="B21" s="1089"/>
      <c r="C21" s="1605" t="s">
        <v>315</v>
      </c>
      <c r="D21" s="1090"/>
      <c r="E21" s="1090"/>
      <c r="F21" s="1092">
        <f>SUM(F19:F20)</f>
        <v>1212</v>
      </c>
      <c r="G21" s="1083"/>
    </row>
    <row r="22" spans="2:7">
      <c r="B22" s="1087"/>
      <c r="C22" s="1606"/>
      <c r="D22" s="1094"/>
      <c r="E22" s="1094"/>
      <c r="F22" s="1095"/>
      <c r="G22" s="1083"/>
    </row>
    <row r="23" spans="2:7">
      <c r="B23" s="1096" t="s">
        <v>1030</v>
      </c>
      <c r="C23" s="1594"/>
      <c r="D23" s="1089"/>
      <c r="E23" s="1089"/>
      <c r="F23" s="1089"/>
      <c r="G23" s="1083"/>
    </row>
    <row r="24" spans="2:7">
      <c r="B24" s="1654" t="s">
        <v>1547</v>
      </c>
      <c r="C24" s="1595" t="s">
        <v>2</v>
      </c>
      <c r="D24" s="1596">
        <v>1.02</v>
      </c>
      <c r="E24" s="1596">
        <v>7995</v>
      </c>
      <c r="F24" s="1597">
        <f>E24*D24</f>
        <v>8154.9</v>
      </c>
      <c r="G24" s="1235"/>
    </row>
    <row r="25" spans="2:7">
      <c r="B25" s="1089"/>
      <c r="C25" s="1594"/>
      <c r="D25" s="1089"/>
      <c r="E25" s="1098" t="s">
        <v>1031</v>
      </c>
      <c r="F25" s="1099">
        <f>SUM(F24:F24)</f>
        <v>8154.9</v>
      </c>
      <c r="G25" s="1083"/>
    </row>
    <row r="26" spans="2:7">
      <c r="B26" s="1087"/>
      <c r="C26" s="1606"/>
      <c r="D26" s="1094"/>
      <c r="E26" s="1094"/>
      <c r="F26" s="1095"/>
      <c r="G26" s="1083"/>
    </row>
    <row r="27" spans="2:7">
      <c r="B27" s="1096" t="s">
        <v>1032</v>
      </c>
      <c r="C27" s="1594"/>
      <c r="D27" s="1089"/>
      <c r="E27" s="1089"/>
      <c r="F27" s="1089"/>
      <c r="G27" s="1083"/>
    </row>
    <row r="28" spans="2:7">
      <c r="B28" s="1089" t="s">
        <v>122</v>
      </c>
      <c r="C28" s="1595" t="s">
        <v>2</v>
      </c>
      <c r="D28" s="1090">
        <v>0.45</v>
      </c>
      <c r="E28" s="1090">
        <f>+F16</f>
        <v>1112</v>
      </c>
      <c r="F28" s="1086">
        <f>E28*D28</f>
        <v>500.4</v>
      </c>
      <c r="G28" s="1083"/>
    </row>
    <row r="29" spans="2:7">
      <c r="B29" s="1089" t="s">
        <v>124</v>
      </c>
      <c r="C29" s="1595" t="s">
        <v>2</v>
      </c>
      <c r="D29" s="1090">
        <v>0.9</v>
      </c>
      <c r="E29" s="1090">
        <f>+F21</f>
        <v>1212</v>
      </c>
      <c r="F29" s="1086">
        <f>E29*D29</f>
        <v>1090.8</v>
      </c>
      <c r="G29" s="1083"/>
    </row>
    <row r="30" spans="2:7">
      <c r="B30" s="1089" t="s">
        <v>142</v>
      </c>
      <c r="C30" s="1595" t="s">
        <v>1026</v>
      </c>
      <c r="D30" s="1090">
        <v>13</v>
      </c>
      <c r="E30" s="1090">
        <f>+F4</f>
        <v>325</v>
      </c>
      <c r="F30" s="1086">
        <f>E30*D30</f>
        <v>4225</v>
      </c>
      <c r="G30" s="1083"/>
    </row>
    <row r="31" spans="2:7">
      <c r="B31" s="1089" t="s">
        <v>117</v>
      </c>
      <c r="C31" s="1595" t="s">
        <v>118</v>
      </c>
      <c r="D31" s="1090">
        <v>60</v>
      </c>
      <c r="E31" s="1090">
        <f>+F3</f>
        <v>2.5</v>
      </c>
      <c r="F31" s="1086">
        <f>E31*D31</f>
        <v>150</v>
      </c>
      <c r="G31" s="1083"/>
    </row>
    <row r="32" spans="2:7">
      <c r="B32" s="1089" t="s">
        <v>139</v>
      </c>
      <c r="C32" s="1595" t="s">
        <v>2</v>
      </c>
      <c r="D32" s="1090">
        <v>1</v>
      </c>
      <c r="E32" s="1090">
        <v>950</v>
      </c>
      <c r="F32" s="1086">
        <f>E32*D32</f>
        <v>950</v>
      </c>
      <c r="G32" s="1083"/>
    </row>
    <row r="33" spans="2:7">
      <c r="B33" s="1089" t="s">
        <v>140</v>
      </c>
      <c r="C33" s="1594"/>
      <c r="D33" s="1089"/>
      <c r="E33" s="1089"/>
      <c r="F33" s="1097">
        <f>SUM(F28+F29+F30+F31)*0.02</f>
        <v>119.32</v>
      </c>
      <c r="G33" s="1083"/>
    </row>
    <row r="34" spans="2:7">
      <c r="B34" s="1089"/>
      <c r="C34" s="1594"/>
      <c r="D34" s="1089"/>
      <c r="E34" s="1098" t="s">
        <v>1031</v>
      </c>
      <c r="F34" s="1404">
        <f>SUM(F28:F33)</f>
        <v>7035.52</v>
      </c>
      <c r="G34" s="1083"/>
    </row>
    <row r="35" spans="2:7">
      <c r="G35" s="1083"/>
    </row>
    <row r="36" spans="2:7">
      <c r="B36" s="1096" t="s">
        <v>141</v>
      </c>
      <c r="C36" s="1594"/>
      <c r="D36" s="1089"/>
      <c r="E36" s="1089"/>
      <c r="F36" s="1089"/>
      <c r="G36" s="1083"/>
    </row>
    <row r="37" spans="2:7">
      <c r="B37" s="1654" t="s">
        <v>1770</v>
      </c>
      <c r="C37" s="1595" t="s">
        <v>2</v>
      </c>
      <c r="D37" s="1596">
        <v>1.02</v>
      </c>
      <c r="E37" s="1596">
        <v>7384</v>
      </c>
      <c r="F37" s="1597">
        <f>E37*D37</f>
        <v>7531.68</v>
      </c>
      <c r="G37" s="1235"/>
    </row>
    <row r="38" spans="2:7">
      <c r="B38" s="1089"/>
      <c r="C38" s="1594"/>
      <c r="D38" s="1089"/>
      <c r="E38" s="1098" t="s">
        <v>1031</v>
      </c>
      <c r="F38" s="1099">
        <f>SUM(F37:F37)</f>
        <v>7531.68</v>
      </c>
      <c r="G38" s="1083"/>
    </row>
    <row r="39" spans="2:7">
      <c r="G39" s="1083"/>
    </row>
    <row r="40" spans="2:7">
      <c r="B40" s="1096" t="s">
        <v>1565</v>
      </c>
      <c r="C40" s="1594"/>
      <c r="D40" s="1089"/>
      <c r="E40" s="1089"/>
      <c r="F40" s="1089"/>
      <c r="G40" s="1083"/>
    </row>
    <row r="41" spans="2:7">
      <c r="B41" s="1654" t="s">
        <v>1566</v>
      </c>
      <c r="C41" s="1595" t="s">
        <v>2</v>
      </c>
      <c r="D41" s="1596">
        <v>1.02</v>
      </c>
      <c r="E41" s="1596">
        <v>6925</v>
      </c>
      <c r="F41" s="1597">
        <f>E41*D41</f>
        <v>7063.5</v>
      </c>
      <c r="G41" s="1235"/>
    </row>
    <row r="42" spans="2:7">
      <c r="B42" s="1089"/>
      <c r="C42" s="1594"/>
      <c r="D42" s="1089"/>
      <c r="E42" s="1098" t="s">
        <v>1031</v>
      </c>
      <c r="F42" s="1099">
        <f>SUM(F41:F41)</f>
        <v>7063.5</v>
      </c>
      <c r="G42" s="1083"/>
    </row>
    <row r="43" spans="2:7">
      <c r="B43" s="1087"/>
      <c r="C43" s="1606"/>
      <c r="D43" s="1094"/>
      <c r="E43" s="1094"/>
      <c r="F43" s="1095"/>
      <c r="G43" s="1083"/>
    </row>
    <row r="44" spans="2:7">
      <c r="B44" s="1096" t="s">
        <v>1033</v>
      </c>
      <c r="C44" s="1594"/>
      <c r="D44" s="1089"/>
      <c r="E44" s="1089"/>
      <c r="F44" s="1089"/>
      <c r="G44" s="1083"/>
    </row>
    <row r="45" spans="2:7">
      <c r="B45" s="1089" t="s">
        <v>122</v>
      </c>
      <c r="C45" s="1607" t="s">
        <v>2</v>
      </c>
      <c r="D45" s="1090">
        <v>0.52</v>
      </c>
      <c r="E45" s="1090">
        <f>SUM(F16)</f>
        <v>1112</v>
      </c>
      <c r="F45" s="1086">
        <f>E45*D45</f>
        <v>578.24</v>
      </c>
      <c r="G45" s="1083"/>
    </row>
    <row r="46" spans="2:7">
      <c r="B46" s="1089" t="s">
        <v>124</v>
      </c>
      <c r="C46" s="1607" t="s">
        <v>2</v>
      </c>
      <c r="D46" s="1090">
        <v>0.85</v>
      </c>
      <c r="E46" s="1090">
        <f>F21</f>
        <v>1212</v>
      </c>
      <c r="F46" s="1086">
        <f>E46*D46</f>
        <v>1030.2</v>
      </c>
      <c r="G46" s="1083"/>
    </row>
    <row r="47" spans="2:7">
      <c r="B47" s="1089" t="s">
        <v>135</v>
      </c>
      <c r="C47" s="1607" t="s">
        <v>1026</v>
      </c>
      <c r="D47" s="1090">
        <v>6.44</v>
      </c>
      <c r="E47" s="1090">
        <f>F4</f>
        <v>325</v>
      </c>
      <c r="F47" s="1086">
        <f>E47*D47</f>
        <v>2093</v>
      </c>
      <c r="G47" s="1083"/>
    </row>
    <row r="48" spans="2:7">
      <c r="B48" s="1089" t="s">
        <v>117</v>
      </c>
      <c r="C48" s="1607" t="s">
        <v>118</v>
      </c>
      <c r="D48" s="1090">
        <v>60</v>
      </c>
      <c r="E48" s="1090">
        <f>F3</f>
        <v>2.5</v>
      </c>
      <c r="F48" s="1086">
        <f>E48*D48</f>
        <v>150</v>
      </c>
      <c r="G48" s="1083"/>
    </row>
    <row r="49" spans="2:7">
      <c r="B49" s="1089" t="s">
        <v>139</v>
      </c>
      <c r="C49" s="1607" t="s">
        <v>2</v>
      </c>
      <c r="D49" s="1090">
        <v>1</v>
      </c>
      <c r="E49" s="1090">
        <v>850</v>
      </c>
      <c r="F49" s="1086">
        <f>E49*D49</f>
        <v>850</v>
      </c>
      <c r="G49" s="1083"/>
    </row>
    <row r="50" spans="2:7">
      <c r="B50" s="1089" t="s">
        <v>140</v>
      </c>
      <c r="C50" s="1607"/>
      <c r="D50" s="1090"/>
      <c r="E50" s="1090"/>
      <c r="F50" s="1097">
        <f>SUM(F45+F46+F47+F48)*0.02</f>
        <v>77.03</v>
      </c>
      <c r="G50" s="1083"/>
    </row>
    <row r="51" spans="2:7">
      <c r="B51" s="1089"/>
      <c r="C51" s="1604"/>
      <c r="D51" s="1089"/>
      <c r="E51" s="1098" t="s">
        <v>1031</v>
      </c>
      <c r="F51" s="1099">
        <f>SUM(F45:F50)</f>
        <v>4778.47</v>
      </c>
      <c r="G51" s="1083"/>
    </row>
    <row r="52" spans="2:7">
      <c r="B52" s="1087"/>
      <c r="C52" s="1608"/>
      <c r="D52" s="1087"/>
      <c r="E52" s="1100"/>
      <c r="F52" s="1095"/>
      <c r="G52" s="1083"/>
    </row>
    <row r="53" spans="2:7">
      <c r="B53" s="1101" t="s">
        <v>1043</v>
      </c>
      <c r="C53" s="1615"/>
      <c r="D53" s="1094"/>
      <c r="E53" s="1095"/>
      <c r="F53" s="1103"/>
      <c r="G53" s="1083"/>
    </row>
    <row r="54" spans="2:7">
      <c r="B54" s="1089" t="s">
        <v>181</v>
      </c>
      <c r="C54" s="1607" t="s">
        <v>126</v>
      </c>
      <c r="D54" s="1090">
        <v>1</v>
      </c>
      <c r="E54" s="1086">
        <v>2500</v>
      </c>
      <c r="F54" s="1086">
        <f>E54*D54</f>
        <v>2500</v>
      </c>
      <c r="G54" s="1083"/>
    </row>
    <row r="55" spans="2:7">
      <c r="B55" s="1111" t="s">
        <v>41</v>
      </c>
      <c r="C55" s="1607" t="s">
        <v>126</v>
      </c>
      <c r="D55" s="1090">
        <v>1</v>
      </c>
      <c r="E55" s="1086">
        <v>255.66</v>
      </c>
      <c r="F55" s="1086">
        <f>E55*D55</f>
        <v>255.66</v>
      </c>
      <c r="G55" s="1083"/>
    </row>
    <row r="56" spans="2:7">
      <c r="B56" s="1089" t="s">
        <v>1044</v>
      </c>
      <c r="C56" s="1607" t="s">
        <v>183</v>
      </c>
      <c r="D56" s="1090">
        <v>2</v>
      </c>
      <c r="E56" s="1084">
        <v>45</v>
      </c>
      <c r="F56" s="1086">
        <f>E56*D56</f>
        <v>90</v>
      </c>
      <c r="G56" s="1083"/>
    </row>
    <row r="57" spans="2:7">
      <c r="B57" s="1089"/>
      <c r="C57" s="1607"/>
      <c r="D57" s="1090"/>
      <c r="E57" s="1099" t="s">
        <v>1031</v>
      </c>
      <c r="F57" s="1102">
        <f>SUM(F54:F56)</f>
        <v>2845.66</v>
      </c>
      <c r="G57" s="1083"/>
    </row>
    <row r="58" spans="2:7">
      <c r="B58" s="1087"/>
      <c r="C58" s="1615"/>
      <c r="D58" s="1094"/>
      <c r="E58" s="1095"/>
      <c r="F58" s="1103"/>
      <c r="G58" s="1083"/>
    </row>
    <row r="59" spans="2:7">
      <c r="B59" s="1101" t="s">
        <v>1034</v>
      </c>
      <c r="C59" s="1608"/>
      <c r="D59" s="1087"/>
      <c r="E59" s="1087"/>
      <c r="F59" s="1087"/>
      <c r="G59" s="1083"/>
    </row>
    <row r="60" spans="2:7">
      <c r="B60" s="1089" t="s">
        <v>145</v>
      </c>
      <c r="C60" s="1607" t="s">
        <v>2</v>
      </c>
      <c r="D60" s="1090">
        <v>1</v>
      </c>
      <c r="E60" s="1090">
        <f>+F8</f>
        <v>1100</v>
      </c>
      <c r="F60" s="1086">
        <f>E60*D60</f>
        <v>1100</v>
      </c>
      <c r="G60" s="1083"/>
    </row>
    <row r="61" spans="2:7">
      <c r="B61" s="1089" t="s">
        <v>131</v>
      </c>
      <c r="C61" s="1604" t="s">
        <v>2</v>
      </c>
      <c r="D61" s="1090">
        <v>1</v>
      </c>
      <c r="E61" s="1090">
        <v>12</v>
      </c>
      <c r="F61" s="1086">
        <f>E61*D61</f>
        <v>12</v>
      </c>
      <c r="G61" s="1083"/>
    </row>
    <row r="62" spans="2:7">
      <c r="B62" s="1089"/>
      <c r="C62" s="1604"/>
      <c r="D62" s="1089"/>
      <c r="E62" s="1098" t="s">
        <v>1031</v>
      </c>
      <c r="F62" s="1099">
        <f>SUM(F60:F61)</f>
        <v>1112</v>
      </c>
      <c r="G62" s="1083"/>
    </row>
    <row r="63" spans="2:7">
      <c r="B63" s="1087"/>
      <c r="C63" s="1603"/>
      <c r="D63" s="1087"/>
      <c r="E63" s="1087"/>
      <c r="F63" s="1087"/>
      <c r="G63" s="1083"/>
    </row>
    <row r="64" spans="2:7">
      <c r="B64" s="1088" t="s">
        <v>146</v>
      </c>
      <c r="C64" s="1603"/>
      <c r="D64" s="1087"/>
      <c r="E64" s="1087"/>
      <c r="F64" s="1087"/>
      <c r="G64" s="1083"/>
    </row>
    <row r="65" spans="2:7">
      <c r="B65" s="1089" t="s">
        <v>122</v>
      </c>
      <c r="C65" s="1607" t="s">
        <v>2</v>
      </c>
      <c r="D65" s="1090">
        <v>1.02</v>
      </c>
      <c r="E65" s="1090" t="str">
        <f>+$E$62</f>
        <v>R.D.$</v>
      </c>
      <c r="F65" s="1086"/>
      <c r="G65" s="1083"/>
    </row>
    <row r="66" spans="2:7">
      <c r="B66" s="1089" t="s">
        <v>135</v>
      </c>
      <c r="C66" s="1607" t="s">
        <v>1026</v>
      </c>
      <c r="D66" s="1090">
        <v>9.4600000000000009</v>
      </c>
      <c r="E66" s="1090">
        <f>F4</f>
        <v>325</v>
      </c>
      <c r="F66" s="1086">
        <f>E66*D66</f>
        <v>3074.5</v>
      </c>
      <c r="G66" s="1083"/>
    </row>
    <row r="67" spans="2:7">
      <c r="B67" s="1089" t="s">
        <v>117</v>
      </c>
      <c r="C67" s="1607" t="s">
        <v>118</v>
      </c>
      <c r="D67" s="1090">
        <v>50</v>
      </c>
      <c r="E67" s="1090">
        <f>$E$3</f>
        <v>2.5</v>
      </c>
      <c r="F67" s="1086">
        <f>E67*D67</f>
        <v>125</v>
      </c>
      <c r="G67" s="1083"/>
    </row>
    <row r="68" spans="2:7">
      <c r="B68" s="1089" t="s">
        <v>121</v>
      </c>
      <c r="C68" s="1607" t="s">
        <v>1026</v>
      </c>
      <c r="D68" s="1090">
        <v>3.07</v>
      </c>
      <c r="E68" s="1090">
        <f>$E$5</f>
        <v>271.02</v>
      </c>
      <c r="F68" s="1086">
        <f>E68*D68</f>
        <v>832.03</v>
      </c>
      <c r="G68" s="1083"/>
    </row>
    <row r="69" spans="2:7">
      <c r="B69" s="1089" t="s">
        <v>147</v>
      </c>
      <c r="C69" s="1607" t="s">
        <v>148</v>
      </c>
      <c r="D69" s="1090">
        <v>0.5</v>
      </c>
      <c r="E69" s="1090">
        <v>650</v>
      </c>
      <c r="F69" s="1086">
        <f>E69*D69</f>
        <v>325</v>
      </c>
      <c r="G69" s="1083"/>
    </row>
    <row r="70" spans="2:7">
      <c r="B70" s="1089" t="s">
        <v>149</v>
      </c>
      <c r="C70" s="1607"/>
      <c r="D70" s="1090"/>
      <c r="E70" s="1090"/>
      <c r="F70" s="1097">
        <f>SUM(F66+F67+F65+F68)*0.03</f>
        <v>120.95</v>
      </c>
      <c r="G70" s="1083"/>
    </row>
    <row r="71" spans="2:7">
      <c r="B71" s="1089" t="s">
        <v>43</v>
      </c>
      <c r="C71" s="1604"/>
      <c r="D71" s="1089"/>
      <c r="E71" s="1099" t="s">
        <v>1031</v>
      </c>
      <c r="F71" s="1099">
        <f>SUM(F65:F70)</f>
        <v>4477.4799999999996</v>
      </c>
      <c r="G71" s="1083"/>
    </row>
    <row r="72" spans="2:7" ht="13.5" thickBot="1">
      <c r="B72" s="1087"/>
      <c r="C72" s="1608"/>
      <c r="D72" s="1087"/>
      <c r="E72" s="1095"/>
      <c r="F72" s="1095"/>
      <c r="G72" s="1083"/>
    </row>
    <row r="73" spans="2:7" ht="13.5" thickTop="1">
      <c r="B73" s="1718" t="s">
        <v>150</v>
      </c>
      <c r="C73" s="1719"/>
      <c r="D73" s="1679"/>
      <c r="E73" s="1679"/>
      <c r="G73" s="1083"/>
    </row>
    <row r="74" spans="2:7">
      <c r="B74" s="1681" t="s">
        <v>151</v>
      </c>
      <c r="C74" s="1604" t="s">
        <v>2</v>
      </c>
      <c r="D74" s="1089">
        <v>0.998</v>
      </c>
      <c r="E74" s="1090" t="str">
        <f>+$E$62</f>
        <v>R.D.$</v>
      </c>
      <c r="F74" s="1682"/>
      <c r="G74" s="1083"/>
    </row>
    <row r="75" spans="2:7">
      <c r="B75" s="1681" t="s">
        <v>117</v>
      </c>
      <c r="C75" s="1604" t="s">
        <v>118</v>
      </c>
      <c r="D75" s="1089">
        <v>69.040000000000006</v>
      </c>
      <c r="E75" s="1090">
        <f>$E$3</f>
        <v>2.5</v>
      </c>
      <c r="F75" s="1682">
        <f>E75*D75</f>
        <v>172.6</v>
      </c>
      <c r="G75" s="1083"/>
    </row>
    <row r="76" spans="2:7">
      <c r="B76" s="1681" t="s">
        <v>135</v>
      </c>
      <c r="C76" s="1604" t="s">
        <v>1026</v>
      </c>
      <c r="D76" s="1089">
        <v>11.51</v>
      </c>
      <c r="E76" s="1090">
        <f>$E$4</f>
        <v>325</v>
      </c>
      <c r="F76" s="1682">
        <f>E76*D76</f>
        <v>3740.75</v>
      </c>
      <c r="G76" s="1083"/>
    </row>
    <row r="77" spans="2:7">
      <c r="B77" s="1681" t="s">
        <v>147</v>
      </c>
      <c r="C77" s="1604" t="s">
        <v>148</v>
      </c>
      <c r="D77" s="1097">
        <v>0.5</v>
      </c>
      <c r="E77" s="1090">
        <v>650</v>
      </c>
      <c r="F77" s="1682">
        <f>E77*D77</f>
        <v>325</v>
      </c>
      <c r="G77" s="1083"/>
    </row>
    <row r="78" spans="2:7">
      <c r="B78" s="1681" t="s">
        <v>149</v>
      </c>
      <c r="C78" s="1604"/>
      <c r="D78" s="1089"/>
      <c r="E78" s="1090"/>
      <c r="F78" s="1720">
        <f>SUM(F74+F75+F73+F76)*0.03</f>
        <v>117.4</v>
      </c>
      <c r="G78" s="1083"/>
    </row>
    <row r="79" spans="2:7" ht="13.5" thickBot="1">
      <c r="B79" s="1683"/>
      <c r="C79" s="1721"/>
      <c r="D79" s="1722"/>
      <c r="E79" s="1723" t="s">
        <v>1031</v>
      </c>
      <c r="F79" s="1724">
        <f>SUM(F74:F78)</f>
        <v>4355.75</v>
      </c>
      <c r="G79" s="1083"/>
    </row>
    <row r="80" spans="2:7" ht="14.25" thickTop="1" thickBot="1">
      <c r="B80" s="1087"/>
      <c r="C80" s="1603"/>
      <c r="D80" s="1087"/>
      <c r="E80" s="1100"/>
      <c r="F80" s="1095"/>
      <c r="G80" s="1083"/>
    </row>
    <row r="81" spans="2:7" ht="14.25" thickTop="1" thickBot="1">
      <c r="B81" s="1677" t="s">
        <v>587</v>
      </c>
      <c r="C81" s="1693"/>
      <c r="D81" s="1694"/>
      <c r="E81" s="1694"/>
      <c r="F81" s="1695"/>
      <c r="G81" s="1083"/>
    </row>
    <row r="82" spans="2:7" ht="13.5" thickTop="1">
      <c r="B82" s="1688" t="s">
        <v>171</v>
      </c>
      <c r="C82" s="1689" t="s">
        <v>2</v>
      </c>
      <c r="D82" s="1690">
        <v>6.3E-2</v>
      </c>
      <c r="E82" s="1691">
        <f>+F79</f>
        <v>4355.75</v>
      </c>
      <c r="F82" s="1692">
        <f t="shared" ref="F82:F87" si="1">E82*D82</f>
        <v>274.41000000000003</v>
      </c>
      <c r="G82" s="1083"/>
    </row>
    <row r="83" spans="2:7">
      <c r="B83" s="1681" t="s">
        <v>154</v>
      </c>
      <c r="C83" s="1607" t="s">
        <v>155</v>
      </c>
      <c r="D83" s="1090">
        <v>0.33</v>
      </c>
      <c r="E83" s="1086">
        <v>45</v>
      </c>
      <c r="F83" s="1682">
        <f t="shared" si="1"/>
        <v>14.85</v>
      </c>
      <c r="G83" s="1083"/>
    </row>
    <row r="84" spans="2:7">
      <c r="B84" s="1681" t="s">
        <v>156</v>
      </c>
      <c r="C84" s="1607" t="s">
        <v>42</v>
      </c>
      <c r="D84" s="1090">
        <v>1</v>
      </c>
      <c r="E84" s="1084">
        <v>10</v>
      </c>
      <c r="F84" s="1682">
        <f t="shared" si="1"/>
        <v>10</v>
      </c>
      <c r="G84" s="1083"/>
    </row>
    <row r="85" spans="2:7">
      <c r="B85" s="1681" t="s">
        <v>172</v>
      </c>
      <c r="C85" s="1607" t="s">
        <v>42</v>
      </c>
      <c r="D85" s="1090">
        <v>1</v>
      </c>
      <c r="E85" s="1084">
        <v>10</v>
      </c>
      <c r="F85" s="1682">
        <f t="shared" si="1"/>
        <v>10</v>
      </c>
      <c r="G85" s="1083"/>
    </row>
    <row r="86" spans="2:7">
      <c r="B86" s="1681" t="s">
        <v>1036</v>
      </c>
      <c r="C86" s="1607" t="s">
        <v>11</v>
      </c>
      <c r="D86" s="1090">
        <v>1</v>
      </c>
      <c r="E86" s="1086">
        <v>90</v>
      </c>
      <c r="F86" s="1682">
        <f t="shared" si="1"/>
        <v>90</v>
      </c>
      <c r="G86" s="1083"/>
    </row>
    <row r="87" spans="2:7">
      <c r="B87" s="1681" t="s">
        <v>167</v>
      </c>
      <c r="C87" s="1604" t="s">
        <v>1026</v>
      </c>
      <c r="D87" s="1089">
        <v>5.2999999999999999E-2</v>
      </c>
      <c r="E87" s="1086">
        <f>+E101</f>
        <v>325</v>
      </c>
      <c r="F87" s="1682">
        <f t="shared" si="1"/>
        <v>17.23</v>
      </c>
      <c r="G87" s="1083"/>
    </row>
    <row r="88" spans="2:7" ht="13.5" thickBot="1">
      <c r="B88" s="1683"/>
      <c r="C88" s="1684" t="s">
        <v>1037</v>
      </c>
      <c r="D88" s="1685"/>
      <c r="E88" s="1686" t="s">
        <v>1038</v>
      </c>
      <c r="F88" s="1687">
        <f>SUM(F82:F87)</f>
        <v>416.49</v>
      </c>
      <c r="G88" s="1083"/>
    </row>
    <row r="89" spans="2:7" ht="14.25" thickTop="1" thickBot="1">
      <c r="B89" s="1083"/>
      <c r="C89" s="1603"/>
      <c r="D89" s="1087"/>
      <c r="E89" s="1094"/>
      <c r="F89" s="1087"/>
      <c r="G89" s="1083"/>
    </row>
    <row r="90" spans="2:7" ht="13.5" thickTop="1">
      <c r="B90" s="1703" t="s">
        <v>174</v>
      </c>
      <c r="C90" s="1704"/>
      <c r="D90" s="1705"/>
      <c r="E90" s="1705"/>
      <c r="F90" s="1706"/>
      <c r="G90" s="1697"/>
    </row>
    <row r="91" spans="2:7">
      <c r="B91" s="1707" t="s">
        <v>175</v>
      </c>
      <c r="C91" s="1699" t="s">
        <v>2</v>
      </c>
      <c r="D91" s="1698">
        <v>6.3E-2</v>
      </c>
      <c r="E91" s="1700">
        <f>+F79</f>
        <v>4355.75</v>
      </c>
      <c r="F91" s="1708">
        <f>E91*D91</f>
        <v>274.41000000000003</v>
      </c>
      <c r="G91" s="1697"/>
    </row>
    <row r="92" spans="2:7">
      <c r="B92" s="1707" t="s">
        <v>154</v>
      </c>
      <c r="C92" s="1699" t="s">
        <v>155</v>
      </c>
      <c r="D92" s="1701">
        <v>0.33</v>
      </c>
      <c r="E92" s="1700">
        <v>45</v>
      </c>
      <c r="F92" s="1708">
        <f>E92*D92</f>
        <v>14.85</v>
      </c>
      <c r="G92" s="1697"/>
    </row>
    <row r="93" spans="2:7">
      <c r="B93" s="1707" t="s">
        <v>176</v>
      </c>
      <c r="C93" s="1699" t="s">
        <v>42</v>
      </c>
      <c r="D93" s="1701">
        <v>1</v>
      </c>
      <c r="E93" s="1702">
        <v>10</v>
      </c>
      <c r="F93" s="1708">
        <f>E93*D93</f>
        <v>10</v>
      </c>
      <c r="G93" s="1697"/>
    </row>
    <row r="94" spans="2:7">
      <c r="B94" s="1707" t="s">
        <v>41</v>
      </c>
      <c r="C94" s="1699" t="s">
        <v>11</v>
      </c>
      <c r="D94" s="1701">
        <v>1</v>
      </c>
      <c r="E94" s="1700">
        <v>103.91</v>
      </c>
      <c r="F94" s="1708">
        <f>E94*D94</f>
        <v>103.91</v>
      </c>
      <c r="G94" s="1697"/>
    </row>
    <row r="95" spans="2:7" ht="13.5" thickBot="1">
      <c r="B95" s="1709"/>
      <c r="C95" s="1710" t="s">
        <v>1037</v>
      </c>
      <c r="D95" s="1711"/>
      <c r="E95" s="1712" t="s">
        <v>1031</v>
      </c>
      <c r="F95" s="1734">
        <f>+SUM(F91:F94)</f>
        <v>403.17</v>
      </c>
      <c r="G95" s="1697"/>
    </row>
    <row r="96" spans="2:7" ht="14.25" thickTop="1" thickBot="1">
      <c r="B96" s="1713"/>
      <c r="C96" s="1714"/>
      <c r="D96" s="1715"/>
      <c r="E96" s="1716"/>
      <c r="F96" s="1717"/>
      <c r="G96" s="1697"/>
    </row>
    <row r="97" spans="2:7" ht="13.5" thickTop="1">
      <c r="B97" s="1703" t="s">
        <v>165</v>
      </c>
      <c r="C97" s="1678"/>
      <c r="D97" s="1679"/>
      <c r="E97" s="1725"/>
      <c r="F97" s="1680"/>
      <c r="G97" s="1083"/>
    </row>
    <row r="98" spans="2:7">
      <c r="B98" s="1681" t="s">
        <v>166</v>
      </c>
      <c r="C98" s="1604" t="s">
        <v>2</v>
      </c>
      <c r="D98" s="1089">
        <v>2.5999999999999999E-2</v>
      </c>
      <c r="E98" s="1086" t="str">
        <f>+$E$71</f>
        <v>R.D.$</v>
      </c>
      <c r="F98" s="1682" t="e">
        <f>+E98*D98</f>
        <v>#VALUE!</v>
      </c>
      <c r="G98" s="1083"/>
    </row>
    <row r="99" spans="2:7">
      <c r="B99" s="1681" t="s">
        <v>154</v>
      </c>
      <c r="C99" s="1604" t="s">
        <v>155</v>
      </c>
      <c r="D99" s="1089">
        <v>3.3000000000000002E-2</v>
      </c>
      <c r="E99" s="1086">
        <v>45</v>
      </c>
      <c r="F99" s="1682">
        <f>E99*D99</f>
        <v>1.49</v>
      </c>
      <c r="G99" s="1083"/>
    </row>
    <row r="100" spans="2:7">
      <c r="B100" s="1681" t="s">
        <v>156</v>
      </c>
      <c r="C100" s="1604" t="s">
        <v>42</v>
      </c>
      <c r="D100" s="1097">
        <v>1</v>
      </c>
      <c r="E100" s="1084">
        <v>10</v>
      </c>
      <c r="F100" s="1682">
        <f>E100*D100</f>
        <v>10</v>
      </c>
      <c r="G100" s="1083"/>
    </row>
    <row r="101" spans="2:7">
      <c r="B101" s="1681" t="s">
        <v>167</v>
      </c>
      <c r="C101" s="1604" t="s">
        <v>1026</v>
      </c>
      <c r="D101" s="1089">
        <v>5.2999999999999999E-2</v>
      </c>
      <c r="E101" s="1086">
        <f>$E$4</f>
        <v>325</v>
      </c>
      <c r="F101" s="1682">
        <f>E101*D101</f>
        <v>17.23</v>
      </c>
      <c r="G101" s="1083"/>
    </row>
    <row r="102" spans="2:7">
      <c r="B102" s="1729" t="s">
        <v>162</v>
      </c>
      <c r="C102" s="1599" t="s">
        <v>11</v>
      </c>
      <c r="D102" s="1730">
        <v>1</v>
      </c>
      <c r="E102" s="1597">
        <v>118.79</v>
      </c>
      <c r="F102" s="1731">
        <f>E102*D102</f>
        <v>118.79</v>
      </c>
      <c r="G102" s="1235"/>
    </row>
    <row r="103" spans="2:7" ht="13.5" thickBot="1">
      <c r="B103" s="1683"/>
      <c r="C103" s="1726"/>
      <c r="D103" s="1727"/>
      <c r="E103" s="1728" t="s">
        <v>1031</v>
      </c>
      <c r="F103" s="1687" t="e">
        <f>SUM(F98:F102)</f>
        <v>#VALUE!</v>
      </c>
      <c r="G103" s="1083"/>
    </row>
    <row r="104" spans="2:7" ht="13.5" thickTop="1">
      <c r="B104" s="1101" t="s">
        <v>158</v>
      </c>
      <c r="C104" s="1608"/>
      <c r="D104" s="1104" t="e">
        <f>F103-F101</f>
        <v>#VALUE!</v>
      </c>
      <c r="E104" s="1103"/>
      <c r="F104" s="1103"/>
      <c r="G104" s="1083"/>
    </row>
    <row r="105" spans="2:7" ht="13.5" thickBot="1">
      <c r="B105" s="1101"/>
      <c r="C105" s="1608"/>
      <c r="D105" s="1104"/>
      <c r="E105" s="1103"/>
      <c r="F105" s="1103"/>
      <c r="G105" s="1083"/>
    </row>
    <row r="106" spans="2:7" ht="13.5" thickTop="1">
      <c r="B106" s="1733" t="s">
        <v>1035</v>
      </c>
      <c r="C106" s="1678"/>
      <c r="D106" s="1679"/>
      <c r="E106" s="1679"/>
      <c r="F106" s="1680"/>
      <c r="G106" s="1083"/>
    </row>
    <row r="107" spans="2:7">
      <c r="B107" s="1681" t="s">
        <v>153</v>
      </c>
      <c r="C107" s="1604" t="s">
        <v>2</v>
      </c>
      <c r="D107" s="1089">
        <v>2.5999999999999999E-2</v>
      </c>
      <c r="E107" s="1086" t="str">
        <f>+$E$71</f>
        <v>R.D.$</v>
      </c>
      <c r="F107" s="1682" t="e">
        <f>E107*D107</f>
        <v>#VALUE!</v>
      </c>
      <c r="G107" s="1083"/>
    </row>
    <row r="108" spans="2:7">
      <c r="B108" s="1681" t="s">
        <v>154</v>
      </c>
      <c r="C108" s="1604" t="s">
        <v>155</v>
      </c>
      <c r="D108" s="1089">
        <v>3.3000000000000002E-2</v>
      </c>
      <c r="E108" s="1086">
        <v>45</v>
      </c>
      <c r="F108" s="1682">
        <f>E108*D108</f>
        <v>1.49</v>
      </c>
      <c r="G108" s="1083"/>
    </row>
    <row r="109" spans="2:7">
      <c r="B109" s="1681" t="s">
        <v>156</v>
      </c>
      <c r="C109" s="1604" t="s">
        <v>42</v>
      </c>
      <c r="D109" s="1097">
        <v>1</v>
      </c>
      <c r="E109" s="1084">
        <v>10</v>
      </c>
      <c r="F109" s="1682">
        <f>E109*D109</f>
        <v>10</v>
      </c>
      <c r="G109" s="1083"/>
    </row>
    <row r="110" spans="2:7">
      <c r="B110" s="1681" t="s">
        <v>41</v>
      </c>
      <c r="C110" s="1604" t="s">
        <v>11</v>
      </c>
      <c r="D110" s="1097">
        <v>1</v>
      </c>
      <c r="E110" s="1086">
        <v>151.19</v>
      </c>
      <c r="F110" s="1682">
        <f>E110*D110</f>
        <v>151.19</v>
      </c>
      <c r="G110" s="1083"/>
    </row>
    <row r="111" spans="2:7" ht="13.5" thickBot="1">
      <c r="B111" s="1683"/>
      <c r="C111" s="1721"/>
      <c r="D111" s="1722"/>
      <c r="E111" s="1732" t="s">
        <v>1031</v>
      </c>
      <c r="F111" s="1687" t="e">
        <f>SUM(F107:F110)</f>
        <v>#VALUE!</v>
      </c>
      <c r="G111" s="1083"/>
    </row>
    <row r="112" spans="2:7" ht="13.5" thickTop="1">
      <c r="B112" s="1087"/>
      <c r="C112" s="1615"/>
      <c r="D112" s="1094"/>
      <c r="E112" s="1095"/>
      <c r="F112" s="1103"/>
      <c r="G112" s="1083"/>
    </row>
    <row r="113" spans="2:7">
      <c r="B113" s="1391" t="s">
        <v>177</v>
      </c>
      <c r="C113" s="1603"/>
      <c r="D113" s="1087"/>
      <c r="E113" s="1087"/>
      <c r="F113" s="1087"/>
      <c r="G113" s="1083"/>
    </row>
    <row r="114" spans="2:7">
      <c r="B114" s="1089" t="s">
        <v>178</v>
      </c>
      <c r="C114" s="1607" t="s">
        <v>2</v>
      </c>
      <c r="D114" s="1089">
        <v>4.3E-3</v>
      </c>
      <c r="E114" s="1086" t="str">
        <f>+$E$71</f>
        <v>R.D.$</v>
      </c>
      <c r="F114" s="1086" t="e">
        <f>E114*D114</f>
        <v>#VALUE!</v>
      </c>
      <c r="G114" s="1083"/>
    </row>
    <row r="115" spans="2:7">
      <c r="B115" s="1089" t="s">
        <v>154</v>
      </c>
      <c r="C115" s="1607" t="s">
        <v>155</v>
      </c>
      <c r="D115" s="1106">
        <v>0.109</v>
      </c>
      <c r="E115" s="1086">
        <v>45</v>
      </c>
      <c r="F115" s="1086">
        <f>E115*D115</f>
        <v>4.91</v>
      </c>
      <c r="G115" s="1083"/>
    </row>
    <row r="116" spans="2:7">
      <c r="B116" s="1089" t="s">
        <v>41</v>
      </c>
      <c r="C116" s="1607" t="s">
        <v>2</v>
      </c>
      <c r="D116" s="1090">
        <v>1</v>
      </c>
      <c r="E116" s="1696">
        <v>60</v>
      </c>
      <c r="F116" s="1086">
        <f>E116*D116</f>
        <v>60</v>
      </c>
      <c r="G116" s="1083"/>
    </row>
    <row r="117" spans="2:7">
      <c r="B117" s="1089"/>
      <c r="C117" s="1607" t="s">
        <v>1037</v>
      </c>
      <c r="D117" s="1090"/>
      <c r="E117" s="1099" t="s">
        <v>1039</v>
      </c>
      <c r="F117" s="1102" t="e">
        <f>SUM(F114:F116)</f>
        <v>#VALUE!</v>
      </c>
      <c r="G117" s="1083"/>
    </row>
    <row r="118" spans="2:7">
      <c r="B118" s="1087"/>
      <c r="C118" s="1603"/>
      <c r="D118" s="1087"/>
      <c r="E118" s="1100"/>
      <c r="F118" s="1095"/>
      <c r="G118" s="1083"/>
    </row>
    <row r="119" spans="2:7">
      <c r="B119" s="1391" t="s">
        <v>862</v>
      </c>
      <c r="C119" s="1618"/>
      <c r="D119" s="1101"/>
      <c r="E119" s="1101"/>
      <c r="F119" s="1101"/>
      <c r="G119" s="1083"/>
    </row>
    <row r="120" spans="2:7">
      <c r="B120" s="1089" t="s">
        <v>1071</v>
      </c>
      <c r="C120" s="1604" t="s">
        <v>976</v>
      </c>
      <c r="D120" s="1089">
        <v>0.2</v>
      </c>
      <c r="E120">
        <f>+F1060</f>
        <v>0</v>
      </c>
      <c r="F120" s="1086">
        <f>E120*D120</f>
        <v>0</v>
      </c>
      <c r="G120" s="1083"/>
    </row>
    <row r="121" spans="2:7">
      <c r="B121" s="1089" t="s">
        <v>259</v>
      </c>
      <c r="C121" s="1604" t="s">
        <v>11</v>
      </c>
      <c r="D121" s="1097">
        <v>0.55000000000000004</v>
      </c>
      <c r="E121" s="1086" t="e">
        <f>+F111</f>
        <v>#VALUE!</v>
      </c>
      <c r="F121" s="1086" t="e">
        <f>E121*D121</f>
        <v>#VALUE!</v>
      </c>
      <c r="G121" s="1083"/>
    </row>
    <row r="122" spans="2:7">
      <c r="B122" s="1089" t="s">
        <v>618</v>
      </c>
      <c r="C122" s="1599" t="s">
        <v>1</v>
      </c>
      <c r="D122" s="1097">
        <v>2</v>
      </c>
      <c r="E122" s="1086" t="e">
        <f>+F117</f>
        <v>#VALUE!</v>
      </c>
      <c r="F122" s="1086" t="e">
        <f>E122*D122</f>
        <v>#VALUE!</v>
      </c>
      <c r="G122" s="1083"/>
    </row>
    <row r="123" spans="2:7">
      <c r="B123" s="1089"/>
      <c r="C123" s="1594"/>
      <c r="D123" s="1089"/>
      <c r="E123" s="1116" t="s">
        <v>1031</v>
      </c>
      <c r="F123" s="1099" t="e">
        <f>SUM(F120:F122)</f>
        <v>#VALUE!</v>
      </c>
      <c r="G123" s="1083"/>
    </row>
    <row r="124" spans="2:7">
      <c r="B124" s="1087"/>
      <c r="C124" s="1603"/>
      <c r="D124" s="1087"/>
      <c r="E124" s="1087"/>
      <c r="F124" s="1087"/>
      <c r="G124" s="1083"/>
    </row>
    <row r="125" spans="2:7">
      <c r="B125" s="1392" t="s">
        <v>1229</v>
      </c>
      <c r="C125" s="1603"/>
      <c r="D125" s="1087"/>
      <c r="E125" s="1087"/>
      <c r="F125" s="1087"/>
      <c r="G125" s="1083"/>
    </row>
    <row r="126" spans="2:7">
      <c r="B126" s="1089" t="s">
        <v>1059</v>
      </c>
      <c r="C126" s="1604" t="s">
        <v>11</v>
      </c>
      <c r="D126" s="1097">
        <v>1</v>
      </c>
      <c r="E126" s="1086">
        <v>18</v>
      </c>
      <c r="F126" s="1086">
        <f>E126*D126</f>
        <v>18</v>
      </c>
      <c r="G126" s="1083"/>
    </row>
    <row r="127" spans="2:7">
      <c r="B127" s="1089" t="s">
        <v>1060</v>
      </c>
      <c r="C127" s="1604" t="s">
        <v>2</v>
      </c>
      <c r="D127" s="1089">
        <v>0.105</v>
      </c>
      <c r="E127" s="1086" t="str">
        <f>+$E$42</f>
        <v>R.D.$</v>
      </c>
      <c r="F127" s="1086" t="e">
        <f>E127*D127</f>
        <v>#VALUE!</v>
      </c>
      <c r="G127" s="1083"/>
    </row>
    <row r="128" spans="2:7">
      <c r="B128" s="1089" t="s">
        <v>154</v>
      </c>
      <c r="C128" s="1604" t="s">
        <v>155</v>
      </c>
      <c r="D128" s="1089">
        <v>2.1999999999999999E-2</v>
      </c>
      <c r="E128" s="1086">
        <v>45</v>
      </c>
      <c r="F128" s="1086">
        <f>E128*D128</f>
        <v>0.99</v>
      </c>
      <c r="G128" s="1083"/>
    </row>
    <row r="129" spans="2:7">
      <c r="B129" s="1654" t="s">
        <v>1061</v>
      </c>
      <c r="C129" s="1599" t="s">
        <v>11</v>
      </c>
      <c r="D129" s="1730">
        <v>1</v>
      </c>
      <c r="E129" s="1597">
        <v>90</v>
      </c>
      <c r="F129" s="1597">
        <f>E129*D129</f>
        <v>90</v>
      </c>
      <c r="G129" s="1235"/>
    </row>
    <row r="130" spans="2:7">
      <c r="B130" s="1089" t="s">
        <v>1062</v>
      </c>
      <c r="C130" s="1604" t="s">
        <v>1</v>
      </c>
      <c r="D130" s="1097">
        <f>1/0.8</f>
        <v>1.25</v>
      </c>
      <c r="E130" s="1086" t="e">
        <f>+F117</f>
        <v>#VALUE!</v>
      </c>
      <c r="F130" s="1086" t="e">
        <f>E130*D130</f>
        <v>#VALUE!</v>
      </c>
      <c r="G130" s="1083"/>
    </row>
    <row r="131" spans="2:7">
      <c r="B131" s="1089"/>
      <c r="C131" s="1594"/>
      <c r="D131" s="1089"/>
      <c r="E131" s="1098" t="s">
        <v>1031</v>
      </c>
      <c r="F131" s="1102" t="e">
        <f>SUM(F126:F130)</f>
        <v>#VALUE!</v>
      </c>
      <c r="G131" s="1083"/>
    </row>
    <row r="132" spans="2:7">
      <c r="B132" s="1087"/>
      <c r="C132" s="1608"/>
      <c r="D132" s="1087"/>
      <c r="E132" s="1094">
        <v>0.8</v>
      </c>
      <c r="F132" s="1104" t="e">
        <f>ROUND(F131-F130+E130*1/0.8,2)</f>
        <v>#VALUE!</v>
      </c>
      <c r="G132" s="1083"/>
    </row>
    <row r="133" spans="2:7">
      <c r="B133" s="1713"/>
      <c r="C133" s="1714"/>
      <c r="D133" s="1715"/>
      <c r="E133" s="1716">
        <v>1</v>
      </c>
      <c r="F133" s="1717"/>
      <c r="G133" s="1697"/>
    </row>
    <row r="134" spans="2:7" ht="13.5" thickBot="1">
      <c r="B134" s="1392" t="s">
        <v>781</v>
      </c>
      <c r="C134" s="1614"/>
      <c r="D134" s="1135"/>
      <c r="E134" s="1135"/>
      <c r="F134" s="1135"/>
      <c r="G134" s="1083"/>
    </row>
    <row r="135" spans="2:7" ht="13.5" thickTop="1">
      <c r="B135" s="1137" t="s">
        <v>1225</v>
      </c>
      <c r="C135" s="1610">
        <v>1.05</v>
      </c>
      <c r="D135" s="1138" t="s">
        <v>2</v>
      </c>
      <c r="E135" s="1139">
        <f>+E439</f>
        <v>0</v>
      </c>
      <c r="F135" s="1140">
        <f>C135*E135</f>
        <v>0</v>
      </c>
      <c r="G135" s="1083"/>
    </row>
    <row r="136" spans="2:7">
      <c r="B136" s="1141" t="s">
        <v>1087</v>
      </c>
      <c r="C136" s="1611">
        <v>4.4800000000000004</v>
      </c>
      <c r="D136" s="1142" t="s">
        <v>126</v>
      </c>
      <c r="E136" s="1143">
        <f>+E440</f>
        <v>0</v>
      </c>
      <c r="F136" s="1144">
        <f>C136*E136</f>
        <v>0</v>
      </c>
      <c r="G136" s="1083"/>
    </row>
    <row r="137" spans="2:7">
      <c r="B137" s="1141" t="s">
        <v>1089</v>
      </c>
      <c r="C137" s="1611">
        <f>1/(0.2*0.15)</f>
        <v>33.33</v>
      </c>
      <c r="D137" s="1152" t="s">
        <v>1</v>
      </c>
      <c r="E137" s="1143">
        <v>1000</v>
      </c>
      <c r="F137" s="1144">
        <f>C137*E137</f>
        <v>33330</v>
      </c>
      <c r="G137" s="1083"/>
    </row>
    <row r="138" spans="2:7" ht="13.5" thickBot="1">
      <c r="B138" s="1145"/>
      <c r="C138" s="1612"/>
      <c r="D138" s="1146"/>
      <c r="E138" s="1147" t="s">
        <v>1031</v>
      </c>
      <c r="F138" s="1148">
        <f>ROUND(SUM(F135:F137),2)</f>
        <v>33330</v>
      </c>
      <c r="G138" s="1083"/>
    </row>
    <row r="139" spans="2:7" ht="13.5" thickTop="1">
      <c r="B139" s="1156"/>
      <c r="C139" s="1613"/>
      <c r="D139" s="1149"/>
      <c r="E139" s="1150"/>
      <c r="F139" s="1151"/>
      <c r="G139" s="1083"/>
    </row>
    <row r="140" spans="2:7" ht="13.5" thickBot="1">
      <c r="B140" s="1387" t="s">
        <v>597</v>
      </c>
      <c r="C140" s="1609"/>
      <c r="D140" s="1131"/>
      <c r="E140" s="1132"/>
      <c r="F140" s="1133"/>
      <c r="G140" s="1083"/>
    </row>
    <row r="141" spans="2:7" ht="13.5" thickTop="1">
      <c r="B141" s="1137" t="s">
        <v>1225</v>
      </c>
      <c r="C141" s="1610">
        <v>1.05</v>
      </c>
      <c r="D141" s="1138" t="s">
        <v>2</v>
      </c>
      <c r="E141" s="1139" t="e">
        <f>+#REF!</f>
        <v>#REF!</v>
      </c>
      <c r="F141" s="1140" t="e">
        <f>C141*E141</f>
        <v>#REF!</v>
      </c>
      <c r="G141" s="1083"/>
    </row>
    <row r="142" spans="2:7">
      <c r="B142" s="1141" t="s">
        <v>272</v>
      </c>
      <c r="C142" s="1611">
        <v>0.99</v>
      </c>
      <c r="D142" s="1142" t="s">
        <v>126</v>
      </c>
      <c r="E142" s="1143">
        <f>+F466</f>
        <v>0</v>
      </c>
      <c r="F142" s="1144">
        <f>C142*E142</f>
        <v>0</v>
      </c>
      <c r="G142" s="1083"/>
    </row>
    <row r="143" spans="2:7" ht="13.5" thickBot="1">
      <c r="B143" s="1145"/>
      <c r="C143" s="1612"/>
      <c r="D143" s="1146"/>
      <c r="E143" s="1147" t="s">
        <v>1031</v>
      </c>
      <c r="F143" s="1148" t="e">
        <f>ROUND(SUM(F141:F142),2)</f>
        <v>#REF!</v>
      </c>
      <c r="G143" s="1083"/>
    </row>
    <row r="144" spans="2:7" ht="13.5" thickTop="1">
      <c r="B144" s="1149"/>
      <c r="C144" s="1613"/>
      <c r="D144" s="1149"/>
      <c r="E144" s="1150"/>
      <c r="F144" s="1151"/>
      <c r="G144" s="1083"/>
    </row>
    <row r="145" spans="2:7" ht="13.5" thickBot="1">
      <c r="B145" s="1392" t="s">
        <v>599</v>
      </c>
      <c r="C145" s="1614"/>
      <c r="D145" s="1135"/>
      <c r="E145" s="1135"/>
      <c r="F145" s="1135"/>
      <c r="G145" s="1083"/>
    </row>
    <row r="146" spans="2:7" ht="13.5" thickTop="1">
      <c r="B146" s="1137" t="s">
        <v>1225</v>
      </c>
      <c r="C146" s="1610">
        <v>1.05</v>
      </c>
      <c r="D146" s="1138" t="s">
        <v>2</v>
      </c>
      <c r="E146" s="1139" t="e">
        <f>+E141</f>
        <v>#REF!</v>
      </c>
      <c r="F146" s="1140" t="e">
        <f>C146*E146</f>
        <v>#REF!</v>
      </c>
      <c r="G146" s="1083"/>
    </row>
    <row r="147" spans="2:7">
      <c r="B147" s="1141" t="s">
        <v>1087</v>
      </c>
      <c r="C147" s="1611">
        <v>2.5</v>
      </c>
      <c r="D147" s="1142" t="s">
        <v>126</v>
      </c>
      <c r="E147" s="1143">
        <f>+E547</f>
        <v>0</v>
      </c>
      <c r="F147" s="1144">
        <f>C147*E147</f>
        <v>0</v>
      </c>
      <c r="G147" s="1083"/>
    </row>
    <row r="148" spans="2:7">
      <c r="B148" s="1141" t="s">
        <v>1089</v>
      </c>
      <c r="C148" s="1611">
        <f>1/0.15</f>
        <v>6.67</v>
      </c>
      <c r="D148" s="1152" t="s">
        <v>1</v>
      </c>
      <c r="E148" s="1143">
        <v>1000</v>
      </c>
      <c r="F148" s="1144">
        <f>C148*E148</f>
        <v>6670</v>
      </c>
      <c r="G148" s="1083"/>
    </row>
    <row r="149" spans="2:7" ht="13.5" thickBot="1">
      <c r="B149" s="1145"/>
      <c r="C149" s="1612"/>
      <c r="D149" s="1146"/>
      <c r="E149" s="1147" t="s">
        <v>1031</v>
      </c>
      <c r="F149" s="1148" t="e">
        <f>ROUND(SUM(F146:F148),2)</f>
        <v>#REF!</v>
      </c>
      <c r="G149" s="1083"/>
    </row>
    <row r="150" spans="2:7" ht="14.25" thickTop="1" thickBot="1"/>
    <row r="151" spans="2:7" ht="14.25" thickTop="1" thickBot="1">
      <c r="B151" s="1677" t="s">
        <v>1996</v>
      </c>
      <c r="C151" s="1670"/>
      <c r="D151" s="1671"/>
      <c r="E151" s="1676"/>
      <c r="F151" s="1672"/>
      <c r="G151" s="1083"/>
    </row>
    <row r="152" spans="2:7" ht="13.5" thickTop="1">
      <c r="B152" s="1137" t="s">
        <v>271</v>
      </c>
      <c r="C152" s="1610">
        <v>1.05</v>
      </c>
      <c r="D152" s="1138" t="s">
        <v>2</v>
      </c>
      <c r="E152" s="1143">
        <f>+F38</f>
        <v>7531.68</v>
      </c>
      <c r="F152" s="1140">
        <f>C152*E152</f>
        <v>7908.26</v>
      </c>
      <c r="G152" s="1083"/>
    </row>
    <row r="153" spans="2:7">
      <c r="B153" s="1141" t="s">
        <v>1087</v>
      </c>
      <c r="C153" s="1611">
        <v>0.53</v>
      </c>
      <c r="D153" s="1142" t="s">
        <v>126</v>
      </c>
      <c r="E153" s="1143">
        <f>+F57</f>
        <v>2845.66</v>
      </c>
      <c r="F153" s="1144">
        <f>C153*E153</f>
        <v>1508.2</v>
      </c>
      <c r="G153" s="1083"/>
    </row>
    <row r="154" spans="2:7">
      <c r="B154" s="1141" t="s">
        <v>1089</v>
      </c>
      <c r="C154" s="1611">
        <f>1/0.35</f>
        <v>2.86</v>
      </c>
      <c r="D154" s="1152" t="s">
        <v>1</v>
      </c>
      <c r="E154" s="1143">
        <v>1000</v>
      </c>
      <c r="F154" s="1144">
        <f>C154*E154</f>
        <v>2860</v>
      </c>
      <c r="G154" s="1083"/>
    </row>
    <row r="155" spans="2:7" ht="13.5" thickBot="1">
      <c r="B155" s="1145"/>
      <c r="C155" s="1612"/>
      <c r="D155" s="1146"/>
      <c r="E155" s="1147" t="s">
        <v>1031</v>
      </c>
      <c r="F155" s="1673">
        <f>ROUND(SUM(F152:F154),2)</f>
        <v>12276.46</v>
      </c>
      <c r="G155" s="1083"/>
    </row>
    <row r="156" spans="2:7" ht="13.5" thickTop="1">
      <c r="B156" s="1666"/>
      <c r="C156" s="1609"/>
      <c r="D156" s="1131"/>
      <c r="E156" s="1132"/>
      <c r="F156" s="1133"/>
      <c r="G156" s="1083"/>
    </row>
    <row r="157" spans="2:7" ht="13.5" thickBot="1">
      <c r="B157" t="s">
        <v>1997</v>
      </c>
      <c r="C157" s="1609"/>
      <c r="D157" s="1131"/>
      <c r="E157" s="1132"/>
      <c r="F157" s="1133"/>
      <c r="G157" s="1083"/>
    </row>
    <row r="158" spans="2:7" ht="13.5" thickTop="1">
      <c r="B158" s="1137" t="s">
        <v>271</v>
      </c>
      <c r="C158" s="1645">
        <v>1.05</v>
      </c>
      <c r="D158" s="1646" t="s">
        <v>2</v>
      </c>
      <c r="E158" s="1647">
        <f>+F38</f>
        <v>7531.68</v>
      </c>
      <c r="F158" s="1647">
        <f>C158*E158</f>
        <v>7908.26</v>
      </c>
      <c r="G158" s="1083"/>
    </row>
    <row r="159" spans="2:7">
      <c r="B159" s="1141" t="s">
        <v>1087</v>
      </c>
      <c r="C159" s="1611">
        <v>0.86</v>
      </c>
      <c r="D159" s="1142" t="s">
        <v>126</v>
      </c>
      <c r="E159" s="1143">
        <f>+F57</f>
        <v>2845.66</v>
      </c>
      <c r="F159" s="1143">
        <f>C159*E159</f>
        <v>2447.27</v>
      </c>
      <c r="G159" s="1083"/>
    </row>
    <row r="160" spans="2:7">
      <c r="B160" s="1141" t="s">
        <v>1089</v>
      </c>
      <c r="C160" s="1667">
        <f>1/0.25</f>
        <v>4</v>
      </c>
      <c r="D160" s="1152" t="s">
        <v>1100</v>
      </c>
      <c r="E160" s="1668">
        <v>1000</v>
      </c>
      <c r="F160" s="1143">
        <f>C160*E160</f>
        <v>4000</v>
      </c>
      <c r="G160" s="1083"/>
    </row>
    <row r="161" spans="2:7">
      <c r="B161" s="1649"/>
      <c r="C161" s="1650"/>
      <c r="D161" s="1649"/>
      <c r="E161" s="1651" t="s">
        <v>1031</v>
      </c>
      <c r="F161" s="1652">
        <f>ROUND(SUM(F158:F160),2)</f>
        <v>14355.53</v>
      </c>
      <c r="G161" s="1083"/>
    </row>
    <row r="162" spans="2:7" ht="13.5" thickBot="1">
      <c r="B162" s="1149"/>
      <c r="C162" s="1613"/>
      <c r="D162" s="1149"/>
      <c r="E162" s="1150"/>
      <c r="F162" s="1151"/>
      <c r="G162" s="1083"/>
    </row>
    <row r="163" spans="2:7" ht="14.25" thickTop="1" thickBot="1">
      <c r="B163" s="1674" t="s">
        <v>1998</v>
      </c>
      <c r="C163" s="1670"/>
      <c r="D163" s="1671"/>
      <c r="E163" s="1671"/>
      <c r="F163" s="1672"/>
      <c r="G163" s="1083"/>
    </row>
    <row r="164" spans="2:7" ht="13.5" thickTop="1">
      <c r="B164" s="1137" t="s">
        <v>271</v>
      </c>
      <c r="C164" s="1645">
        <v>1.05</v>
      </c>
      <c r="D164" s="1646" t="s">
        <v>2</v>
      </c>
      <c r="E164" s="1647">
        <f>+F38</f>
        <v>7531.68</v>
      </c>
      <c r="F164" s="1675">
        <f>C164*E164</f>
        <v>7908.26</v>
      </c>
      <c r="G164" s="1083"/>
    </row>
    <row r="165" spans="2:7">
      <c r="B165" s="1141" t="s">
        <v>1087</v>
      </c>
      <c r="C165" s="1611">
        <v>5.04</v>
      </c>
      <c r="D165" s="1142" t="s">
        <v>126</v>
      </c>
      <c r="E165" s="1143">
        <f>+F57</f>
        <v>2845.66</v>
      </c>
      <c r="F165" s="1144">
        <f>C165*E165</f>
        <v>14342.13</v>
      </c>
      <c r="G165" s="1083"/>
    </row>
    <row r="166" spans="2:7">
      <c r="B166" s="1141" t="s">
        <v>1089</v>
      </c>
      <c r="C166" s="1611">
        <f>1/(0.4*0.4)</f>
        <v>6.25</v>
      </c>
      <c r="D166" s="1152" t="s">
        <v>1</v>
      </c>
      <c r="E166" s="1143">
        <v>350</v>
      </c>
      <c r="F166" s="1144">
        <f>C166*E166</f>
        <v>2187.5</v>
      </c>
      <c r="G166" s="1083"/>
    </row>
    <row r="167" spans="2:7" ht="13.5" thickBot="1">
      <c r="B167" s="1145"/>
      <c r="C167" s="1612"/>
      <c r="D167" s="1146"/>
      <c r="E167" s="1147" t="s">
        <v>1031</v>
      </c>
      <c r="F167" s="1673">
        <f>ROUND(SUM(F164:F166),2)</f>
        <v>24437.89</v>
      </c>
      <c r="G167" s="1083"/>
    </row>
    <row r="168" spans="2:7" ht="13.5" thickTop="1">
      <c r="B168" s="1149"/>
      <c r="C168" s="1613"/>
      <c r="D168" s="1149"/>
      <c r="E168" s="1150"/>
      <c r="F168" s="1151"/>
      <c r="G168" s="1083"/>
    </row>
    <row r="169" spans="2:7" ht="13.5" thickBot="1">
      <c r="B169" s="1149"/>
      <c r="C169" s="1613"/>
      <c r="D169" s="1149"/>
      <c r="E169" s="1150"/>
      <c r="F169" s="1151"/>
      <c r="G169" s="1083"/>
    </row>
    <row r="170" spans="2:7" ht="14.25" thickTop="1" thickBot="1">
      <c r="B170" s="1669" t="s">
        <v>1999</v>
      </c>
      <c r="C170" s="1670"/>
      <c r="D170" s="1671"/>
      <c r="E170" s="1671"/>
      <c r="F170" s="1672"/>
      <c r="G170" s="1083"/>
    </row>
    <row r="171" spans="2:7" ht="13.5" thickTop="1">
      <c r="B171" s="1137" t="s">
        <v>271</v>
      </c>
      <c r="C171" s="1610">
        <v>1.05</v>
      </c>
      <c r="D171" s="1138" t="s">
        <v>2</v>
      </c>
      <c r="E171" s="1647">
        <f>+F38</f>
        <v>7531.68</v>
      </c>
      <c r="F171" s="1140">
        <f>C171*E171</f>
        <v>7908.26</v>
      </c>
      <c r="G171" s="1083"/>
    </row>
    <row r="172" spans="2:7">
      <c r="B172" s="1141" t="s">
        <v>1087</v>
      </c>
      <c r="C172" s="1611">
        <v>5.0199999999999996</v>
      </c>
      <c r="D172" s="1142" t="s">
        <v>126</v>
      </c>
      <c r="E172" s="1143">
        <f>+F57</f>
        <v>2845.66</v>
      </c>
      <c r="F172" s="1144">
        <f>C172*E172</f>
        <v>14285.21</v>
      </c>
      <c r="G172" s="1083"/>
    </row>
    <row r="173" spans="2:7">
      <c r="B173" s="1141" t="s">
        <v>1089</v>
      </c>
      <c r="C173" s="1611">
        <f>1/(0.35*0.35)</f>
        <v>8.16</v>
      </c>
      <c r="D173" s="1152" t="s">
        <v>1</v>
      </c>
      <c r="E173" s="1143">
        <v>350</v>
      </c>
      <c r="F173" s="1144">
        <f>C173*E173</f>
        <v>2856</v>
      </c>
      <c r="G173" s="1083"/>
    </row>
    <row r="174" spans="2:7" ht="13.5" thickBot="1">
      <c r="B174" s="1145"/>
      <c r="C174" s="1612"/>
      <c r="D174" s="1146"/>
      <c r="E174" s="1147" t="s">
        <v>1031</v>
      </c>
      <c r="F174" s="1673">
        <f>ROUND(SUM(F171:F173),2)</f>
        <v>25049.47</v>
      </c>
      <c r="G174" s="1083"/>
    </row>
    <row r="175" spans="2:7" ht="14.25" thickTop="1" thickBot="1">
      <c r="B175" s="1149"/>
      <c r="C175" s="1613"/>
      <c r="D175" s="1149"/>
      <c r="E175" s="1150"/>
      <c r="F175" s="1151"/>
      <c r="G175" s="1083"/>
    </row>
    <row r="176" spans="2:7" ht="14.25" thickTop="1" thickBot="1">
      <c r="B176" s="1669" t="s">
        <v>2000</v>
      </c>
      <c r="C176" s="1670"/>
      <c r="D176" s="1671"/>
      <c r="E176" s="1676"/>
      <c r="F176" s="1672"/>
      <c r="G176" s="1083"/>
    </row>
    <row r="177" spans="2:7" ht="13.5" thickTop="1">
      <c r="B177" s="1137" t="s">
        <v>271</v>
      </c>
      <c r="C177" s="1610">
        <v>1.05</v>
      </c>
      <c r="D177" s="1138" t="s">
        <v>2</v>
      </c>
      <c r="E177" s="1143">
        <f>+F38</f>
        <v>7531.68</v>
      </c>
      <c r="F177" s="1140">
        <f>C177*E177</f>
        <v>7908.26</v>
      </c>
      <c r="G177" s="1083"/>
    </row>
    <row r="178" spans="2:7">
      <c r="B178" s="1141" t="s">
        <v>1087</v>
      </c>
      <c r="C178" s="1611">
        <v>3.19</v>
      </c>
      <c r="D178" s="1142" t="s">
        <v>126</v>
      </c>
      <c r="E178" s="1143">
        <f>+F57</f>
        <v>2845.66</v>
      </c>
      <c r="F178" s="1144">
        <f>C178*E178</f>
        <v>9077.66</v>
      </c>
      <c r="G178" s="1083"/>
    </row>
    <row r="179" spans="2:7">
      <c r="B179" s="1141" t="s">
        <v>1089</v>
      </c>
      <c r="C179" s="1611">
        <f>1/(0.25*0.3)</f>
        <v>13.33</v>
      </c>
      <c r="D179" s="1152" t="s">
        <v>1</v>
      </c>
      <c r="E179" s="1143">
        <v>350</v>
      </c>
      <c r="F179" s="1144">
        <f>C179*E179</f>
        <v>4665.5</v>
      </c>
      <c r="G179" s="1083"/>
    </row>
    <row r="180" spans="2:7" ht="13.5" thickBot="1">
      <c r="B180" s="1145"/>
      <c r="C180" s="1612"/>
      <c r="D180" s="1146"/>
      <c r="E180" s="1147" t="s">
        <v>1031</v>
      </c>
      <c r="F180" s="1673">
        <f>ROUND(SUM(F177:F179),2)</f>
        <v>21651.42</v>
      </c>
      <c r="G180" s="1083"/>
    </row>
    <row r="181" spans="2:7" ht="14.25" thickTop="1" thickBot="1">
      <c r="B181" s="1149"/>
      <c r="C181" s="1613"/>
      <c r="D181" s="1149"/>
      <c r="E181" s="1150"/>
      <c r="F181" s="1151"/>
      <c r="G181" s="1083"/>
    </row>
    <row r="182" spans="2:7" ht="14.25" thickTop="1" thickBot="1">
      <c r="B182" s="1677" t="s">
        <v>2001</v>
      </c>
      <c r="C182" s="1670"/>
      <c r="D182" s="1671"/>
      <c r="E182" s="1676"/>
      <c r="F182" s="1672"/>
      <c r="G182" s="1083"/>
    </row>
    <row r="183" spans="2:7" ht="13.5" thickTop="1">
      <c r="B183" s="1137" t="s">
        <v>271</v>
      </c>
      <c r="C183" s="1610">
        <v>1.05</v>
      </c>
      <c r="D183" s="1138" t="s">
        <v>2</v>
      </c>
      <c r="E183" s="1143">
        <f>+F38</f>
        <v>7531.68</v>
      </c>
      <c r="F183" s="1140">
        <f>C183*E183</f>
        <v>7908.26</v>
      </c>
      <c r="G183" s="1083"/>
    </row>
    <row r="184" spans="2:7">
      <c r="B184" s="1141" t="s">
        <v>1087</v>
      </c>
      <c r="C184" s="1611">
        <v>4.68</v>
      </c>
      <c r="D184" s="1142" t="s">
        <v>126</v>
      </c>
      <c r="E184" s="1143">
        <f>+F57</f>
        <v>2845.66</v>
      </c>
      <c r="F184" s="1144">
        <f>C184*E184</f>
        <v>13317.69</v>
      </c>
      <c r="G184" s="1083"/>
    </row>
    <row r="185" spans="2:7">
      <c r="B185" s="1141" t="s">
        <v>1089</v>
      </c>
      <c r="C185" s="1611">
        <f>1/(0.25*0.3)</f>
        <v>13.33</v>
      </c>
      <c r="D185" s="1152" t="s">
        <v>1</v>
      </c>
      <c r="E185" s="1143">
        <v>350</v>
      </c>
      <c r="F185" s="1144">
        <f>C185*E185</f>
        <v>4665.5</v>
      </c>
      <c r="G185" s="1083"/>
    </row>
    <row r="186" spans="2:7" ht="13.5" thickBot="1">
      <c r="B186" s="1145"/>
      <c r="C186" s="1612"/>
      <c r="D186" s="1146"/>
      <c r="E186" s="1147" t="s">
        <v>1031</v>
      </c>
      <c r="F186" s="1673">
        <f>ROUND(SUM(F183:F185),2)</f>
        <v>25891.45</v>
      </c>
      <c r="G186" s="1083"/>
    </row>
    <row r="187" spans="2:7" ht="14.25" thickTop="1" thickBot="1">
      <c r="B187" s="1149"/>
      <c r="C187" s="1613"/>
      <c r="D187" s="1149"/>
      <c r="E187" s="1150"/>
      <c r="F187" s="1151"/>
      <c r="G187" s="1083"/>
    </row>
    <row r="188" spans="2:7" ht="14.25" thickTop="1" thickBot="1">
      <c r="B188" t="s">
        <v>2002</v>
      </c>
      <c r="C188" s="1670"/>
      <c r="D188" s="1671"/>
      <c r="E188" s="1676"/>
      <c r="F188" s="1672"/>
      <c r="G188" s="1083"/>
    </row>
    <row r="189" spans="2:7" ht="13.5" thickTop="1">
      <c r="B189" s="1137" t="s">
        <v>271</v>
      </c>
      <c r="C189" s="1610">
        <v>1.05</v>
      </c>
      <c r="D189" s="1138" t="s">
        <v>2</v>
      </c>
      <c r="E189" s="1143">
        <f>+F38</f>
        <v>7531.68</v>
      </c>
      <c r="F189" s="1140">
        <f>C189*E189</f>
        <v>7908.26</v>
      </c>
      <c r="G189" s="1083"/>
    </row>
    <row r="190" spans="2:7">
      <c r="B190" s="1141" t="s">
        <v>1087</v>
      </c>
      <c r="C190" s="1611">
        <v>3.6</v>
      </c>
      <c r="D190" s="1142" t="s">
        <v>126</v>
      </c>
      <c r="E190" s="1143">
        <f>+F57</f>
        <v>2845.66</v>
      </c>
      <c r="F190" s="1144">
        <f>C190*E190</f>
        <v>10244.379999999999</v>
      </c>
      <c r="G190" s="1083"/>
    </row>
    <row r="191" spans="2:7">
      <c r="B191" s="1141" t="s">
        <v>1089</v>
      </c>
      <c r="C191" s="1611">
        <f>1/0.15</f>
        <v>6.67</v>
      </c>
      <c r="D191" s="1152" t="s">
        <v>1</v>
      </c>
      <c r="E191" s="1143">
        <v>150</v>
      </c>
      <c r="F191" s="1144">
        <f>C191*E191</f>
        <v>1000.5</v>
      </c>
      <c r="G191" s="1083"/>
    </row>
    <row r="192" spans="2:7" ht="13.5" thickBot="1">
      <c r="B192" s="1145"/>
      <c r="C192" s="1612"/>
      <c r="D192" s="1146"/>
      <c r="E192" s="1147" t="s">
        <v>1031</v>
      </c>
      <c r="F192" s="1673">
        <f>ROUND(SUM(F189:F191),2)</f>
        <v>19153.14</v>
      </c>
      <c r="G192" s="1083"/>
    </row>
    <row r="193" spans="2:9" ht="14.25" thickTop="1" thickBot="1">
      <c r="B193" s="1149"/>
      <c r="C193" s="1613"/>
      <c r="D193" s="1149"/>
      <c r="E193" s="1150"/>
      <c r="F193" s="1151"/>
      <c r="G193" s="1083"/>
    </row>
    <row r="194" spans="2:9" ht="14.25" thickTop="1" thickBot="1">
      <c r="B194" s="1677" t="s">
        <v>2003</v>
      </c>
      <c r="C194" s="1670"/>
      <c r="D194" s="1671"/>
      <c r="E194" s="1676"/>
      <c r="F194" s="1672"/>
      <c r="G194" s="1083"/>
    </row>
    <row r="195" spans="2:9" ht="13.5" thickTop="1">
      <c r="B195" s="1137" t="s">
        <v>271</v>
      </c>
      <c r="C195" s="1610">
        <v>1.05</v>
      </c>
      <c r="D195" s="1138" t="s">
        <v>2</v>
      </c>
      <c r="E195" s="1143">
        <f>+F38</f>
        <v>7531.68</v>
      </c>
      <c r="F195" s="1140">
        <f>C195*E195</f>
        <v>7908.26</v>
      </c>
      <c r="G195" s="1083"/>
    </row>
    <row r="196" spans="2:9">
      <c r="B196" s="1141" t="s">
        <v>1087</v>
      </c>
      <c r="C196" s="1611">
        <v>3.27</v>
      </c>
      <c r="D196" s="1142" t="s">
        <v>126</v>
      </c>
      <c r="E196" s="1143">
        <f>+F57</f>
        <v>2845.66</v>
      </c>
      <c r="F196" s="1144">
        <f>C196*E196</f>
        <v>9305.31</v>
      </c>
      <c r="G196" s="1083"/>
    </row>
    <row r="197" spans="2:9">
      <c r="B197" s="1141" t="s">
        <v>1089</v>
      </c>
      <c r="C197" s="1611">
        <f>1/0.2</f>
        <v>5</v>
      </c>
      <c r="D197" s="1152" t="s">
        <v>1</v>
      </c>
      <c r="E197" s="1143">
        <v>1000</v>
      </c>
      <c r="F197" s="1144">
        <f>C197*E197</f>
        <v>5000</v>
      </c>
      <c r="G197" s="1083"/>
    </row>
    <row r="198" spans="2:9" ht="13.5" thickBot="1">
      <c r="B198" s="1145"/>
      <c r="C198" s="1612"/>
      <c r="D198" s="1146"/>
      <c r="E198" s="1147" t="s">
        <v>1031</v>
      </c>
      <c r="F198" s="1673">
        <f>ROUND(SUM(F195:F197),2)</f>
        <v>22213.57</v>
      </c>
      <c r="G198" s="1083"/>
    </row>
    <row r="199" spans="2:9" ht="14.25" thickTop="1" thickBot="1">
      <c r="B199" s="1149"/>
      <c r="C199" s="1613"/>
      <c r="D199" s="1149"/>
      <c r="E199" s="1150"/>
      <c r="F199" s="1151"/>
      <c r="G199" s="1083"/>
    </row>
    <row r="200" spans="2:9" ht="14.25" thickTop="1" thickBot="1">
      <c r="B200" s="1677" t="s">
        <v>1998</v>
      </c>
      <c r="C200" s="1670"/>
      <c r="D200" s="1671"/>
      <c r="E200" s="1676"/>
      <c r="F200" s="1672"/>
      <c r="G200" s="1083"/>
    </row>
    <row r="201" spans="2:9" ht="13.5" thickTop="1">
      <c r="B201" s="1137" t="s">
        <v>271</v>
      </c>
      <c r="C201" s="1610">
        <v>1.05</v>
      </c>
      <c r="D201" s="1138" t="s">
        <v>2</v>
      </c>
      <c r="E201" s="1143">
        <f>+F38</f>
        <v>7531.68</v>
      </c>
      <c r="F201" s="1140">
        <f>C201*E201</f>
        <v>7908.26</v>
      </c>
      <c r="G201" s="1083"/>
    </row>
    <row r="202" spans="2:9">
      <c r="B202" s="1141" t="s">
        <v>1087</v>
      </c>
      <c r="C202" s="1611">
        <v>5.04</v>
      </c>
      <c r="D202" s="1142" t="s">
        <v>126</v>
      </c>
      <c r="E202" s="1143">
        <f>+F57</f>
        <v>2845.66</v>
      </c>
      <c r="F202" s="1144">
        <f>C202*E202</f>
        <v>14342.13</v>
      </c>
      <c r="G202" s="1083"/>
    </row>
    <row r="203" spans="2:9">
      <c r="B203" s="1141" t="s">
        <v>1089</v>
      </c>
      <c r="C203" s="1611">
        <f>1/0.4</f>
        <v>2.5</v>
      </c>
      <c r="D203" s="1152" t="s">
        <v>1</v>
      </c>
      <c r="E203" s="1143">
        <v>1000</v>
      </c>
      <c r="F203" s="1144">
        <f>C203*E203</f>
        <v>2500</v>
      </c>
      <c r="G203" s="1083"/>
    </row>
    <row r="204" spans="2:9" ht="13.5" thickBot="1">
      <c r="B204" s="1145"/>
      <c r="C204" s="1612"/>
      <c r="D204" s="1146"/>
      <c r="E204" s="1147" t="s">
        <v>1031</v>
      </c>
      <c r="F204" s="1673">
        <f>ROUND(SUM(F201:F203),2)</f>
        <v>24750.39</v>
      </c>
      <c r="G204" s="1083"/>
    </row>
    <row r="205" spans="2:9" ht="14.25" thickTop="1" thickBot="1">
      <c r="B205" s="1149"/>
      <c r="C205" s="1613"/>
      <c r="D205" s="1149"/>
      <c r="E205" s="1150"/>
      <c r="F205" s="1151"/>
      <c r="G205" s="1083"/>
    </row>
    <row r="206" spans="2:9" ht="14.25" thickTop="1" thickBot="1">
      <c r="B206" s="1677" t="s">
        <v>1999</v>
      </c>
      <c r="C206" s="1670"/>
      <c r="D206" s="1671"/>
      <c r="E206" s="1676"/>
      <c r="F206" s="1672"/>
      <c r="G206" s="1083"/>
      <c r="I206" t="s">
        <v>1996</v>
      </c>
    </row>
    <row r="207" spans="2:9" ht="13.5" thickTop="1">
      <c r="B207" s="1137" t="s">
        <v>271</v>
      </c>
      <c r="C207" s="1610">
        <v>1.05</v>
      </c>
      <c r="D207" s="1138" t="s">
        <v>2</v>
      </c>
      <c r="E207" s="1143">
        <f>+F38</f>
        <v>7531.68</v>
      </c>
      <c r="F207" s="1140">
        <f>C207*E207</f>
        <v>7908.26</v>
      </c>
      <c r="G207" s="1083"/>
      <c r="I207" t="s">
        <v>1997</v>
      </c>
    </row>
    <row r="208" spans="2:9">
      <c r="B208" s="1141" t="s">
        <v>1087</v>
      </c>
      <c r="C208" s="1611">
        <v>5.0199999999999996</v>
      </c>
      <c r="D208" s="1142" t="s">
        <v>126</v>
      </c>
      <c r="E208" s="1143">
        <f>+F57</f>
        <v>2845.66</v>
      </c>
      <c r="F208" s="1144">
        <f>C208*E208</f>
        <v>14285.21</v>
      </c>
      <c r="G208" s="1083"/>
      <c r="I208" t="s">
        <v>1998</v>
      </c>
    </row>
    <row r="209" spans="2:9">
      <c r="B209" s="1141" t="s">
        <v>1089</v>
      </c>
      <c r="C209" s="1611">
        <f>1/(0.35*0.35)</f>
        <v>8.16</v>
      </c>
      <c r="D209" s="1152" t="s">
        <v>1</v>
      </c>
      <c r="E209" s="1143">
        <v>250</v>
      </c>
      <c r="F209" s="1144">
        <f>C209*E209</f>
        <v>2040</v>
      </c>
      <c r="G209" s="1083"/>
      <c r="I209" t="s">
        <v>1999</v>
      </c>
    </row>
    <row r="210" spans="2:9" ht="13.5" thickBot="1">
      <c r="B210" s="1145"/>
      <c r="C210" s="1612"/>
      <c r="D210" s="1146"/>
      <c r="E210" s="1147" t="s">
        <v>1031</v>
      </c>
      <c r="F210" s="1673">
        <f>ROUND(SUM(F207:F209),2)</f>
        <v>24233.47</v>
      </c>
      <c r="G210" s="1083"/>
      <c r="I210" t="s">
        <v>2000</v>
      </c>
    </row>
    <row r="211" spans="2:9" ht="14.25" thickTop="1" thickBot="1">
      <c r="B211" s="1149"/>
      <c r="C211" s="1613"/>
      <c r="D211" s="1149"/>
      <c r="E211" s="1150"/>
      <c r="F211" s="1151"/>
      <c r="G211" s="1083"/>
      <c r="I211" t="s">
        <v>2001</v>
      </c>
    </row>
    <row r="212" spans="2:9" ht="14.25" thickTop="1" thickBot="1">
      <c r="B212" s="1677" t="s">
        <v>2004</v>
      </c>
      <c r="C212" s="1670"/>
      <c r="D212" s="1671"/>
      <c r="E212" s="1676"/>
      <c r="F212" s="1672"/>
      <c r="G212" s="1083"/>
      <c r="I212" t="s">
        <v>2002</v>
      </c>
    </row>
    <row r="213" spans="2:9" ht="13.5" thickTop="1">
      <c r="B213" s="1137" t="s">
        <v>271</v>
      </c>
      <c r="C213" s="1610">
        <v>1.05</v>
      </c>
      <c r="D213" s="1138" t="s">
        <v>2</v>
      </c>
      <c r="E213" s="1143">
        <f>+F38</f>
        <v>7531.68</v>
      </c>
      <c r="F213" s="1140">
        <f>C213*E213</f>
        <v>7908.26</v>
      </c>
      <c r="G213" s="1083"/>
      <c r="I213" t="s">
        <v>2003</v>
      </c>
    </row>
    <row r="214" spans="2:9">
      <c r="B214" s="1141" t="s">
        <v>1087</v>
      </c>
      <c r="C214" s="1611">
        <v>1.1599999999999999</v>
      </c>
      <c r="D214" s="1142" t="s">
        <v>126</v>
      </c>
      <c r="E214" s="1143">
        <f>+F57</f>
        <v>2845.66</v>
      </c>
      <c r="F214" s="1144">
        <f>C214*E214</f>
        <v>3300.97</v>
      </c>
      <c r="G214" s="1083"/>
      <c r="I214" t="s">
        <v>1998</v>
      </c>
    </row>
    <row r="215" spans="2:9">
      <c r="B215" s="1141" t="s">
        <v>1089</v>
      </c>
      <c r="C215" s="1611">
        <f>1/0.15</f>
        <v>6.67</v>
      </c>
      <c r="D215" s="1152" t="s">
        <v>1</v>
      </c>
      <c r="E215" s="1143">
        <v>250</v>
      </c>
      <c r="F215" s="1144">
        <f>C215*E215</f>
        <v>1667.5</v>
      </c>
      <c r="G215" s="1083"/>
      <c r="I215" t="s">
        <v>1999</v>
      </c>
    </row>
    <row r="216" spans="2:9" ht="13.5" thickBot="1">
      <c r="B216" s="1145"/>
      <c r="C216" s="1612"/>
      <c r="D216" s="1146"/>
      <c r="E216" s="1147" t="s">
        <v>1031</v>
      </c>
      <c r="F216" s="1673">
        <f>ROUND(SUM(F213:F215),2)</f>
        <v>12876.73</v>
      </c>
      <c r="G216" s="1083"/>
      <c r="I216" t="s">
        <v>2004</v>
      </c>
    </row>
    <row r="217" spans="2:9" ht="14.25" thickTop="1" thickBot="1">
      <c r="B217" s="1149"/>
      <c r="C217" s="1613"/>
      <c r="D217" s="1149"/>
      <c r="E217" s="1150"/>
      <c r="F217" s="1151"/>
      <c r="G217" s="1083"/>
      <c r="I217" t="s">
        <v>2005</v>
      </c>
    </row>
    <row r="218" spans="2:9" ht="14.25" thickTop="1" thickBot="1">
      <c r="B218" s="1677" t="s">
        <v>2005</v>
      </c>
      <c r="C218" s="1670"/>
      <c r="D218" s="1671"/>
      <c r="E218" s="1676"/>
      <c r="F218" s="1672"/>
      <c r="G218" s="1083"/>
      <c r="I218" t="s">
        <v>2006</v>
      </c>
    </row>
    <row r="219" spans="2:9" ht="13.5" thickTop="1">
      <c r="B219" s="1137" t="s">
        <v>271</v>
      </c>
      <c r="C219" s="1610">
        <v>1.05</v>
      </c>
      <c r="D219" s="1138" t="s">
        <v>2</v>
      </c>
      <c r="E219" s="1143">
        <f>+F38</f>
        <v>7531.68</v>
      </c>
      <c r="F219" s="1140">
        <f>C219*E219</f>
        <v>7908.26</v>
      </c>
      <c r="G219" s="1083"/>
      <c r="I219" t="s">
        <v>2007</v>
      </c>
    </row>
    <row r="220" spans="2:9">
      <c r="B220" s="1141" t="s">
        <v>1087</v>
      </c>
      <c r="C220" s="1611">
        <v>1.1599999999999999</v>
      </c>
      <c r="D220" s="1142" t="s">
        <v>126</v>
      </c>
      <c r="E220" s="1143">
        <f>+F57</f>
        <v>2845.66</v>
      </c>
      <c r="F220" s="1144">
        <f>C220*E220</f>
        <v>3300.97</v>
      </c>
      <c r="G220" s="1083"/>
    </row>
    <row r="221" spans="2:9">
      <c r="B221" s="1141" t="s">
        <v>1089</v>
      </c>
      <c r="C221" s="1611">
        <f>1/0.15</f>
        <v>6.67</v>
      </c>
      <c r="D221" s="1152" t="s">
        <v>1</v>
      </c>
      <c r="E221" s="1143">
        <v>250</v>
      </c>
      <c r="F221" s="1144">
        <f>C221*E221</f>
        <v>1667.5</v>
      </c>
      <c r="G221" s="1083"/>
    </row>
    <row r="222" spans="2:9" ht="13.5" thickBot="1">
      <c r="B222" s="1145"/>
      <c r="C222" s="1612"/>
      <c r="D222" s="1146"/>
      <c r="E222" s="1147" t="s">
        <v>1031</v>
      </c>
      <c r="F222" s="1673">
        <f>ROUND(SUM(F219:F221),2)</f>
        <v>12876.73</v>
      </c>
      <c r="G222" s="1083"/>
    </row>
    <row r="223" spans="2:9" ht="14.25" thickTop="1" thickBot="1">
      <c r="B223" s="1149"/>
      <c r="C223" s="1613"/>
      <c r="D223" s="1149"/>
      <c r="E223" s="1150"/>
      <c r="F223" s="1151"/>
      <c r="G223" s="1083"/>
    </row>
    <row r="224" spans="2:9" ht="14.25" thickTop="1" thickBot="1">
      <c r="B224" s="1677" t="s">
        <v>2006</v>
      </c>
      <c r="C224" s="1670"/>
      <c r="D224" s="1671"/>
      <c r="E224" s="1676"/>
      <c r="F224" s="1672"/>
      <c r="G224" s="1083"/>
    </row>
    <row r="225" spans="2:7" ht="13.5" thickTop="1">
      <c r="B225" s="1137" t="s">
        <v>271</v>
      </c>
      <c r="C225" s="1610">
        <v>1.05</v>
      </c>
      <c r="D225" s="1138" t="s">
        <v>2</v>
      </c>
      <c r="E225" s="1143">
        <f>+F38</f>
        <v>7531.68</v>
      </c>
      <c r="F225" s="1140">
        <f>C225*E225</f>
        <v>7908.26</v>
      </c>
      <c r="G225" s="1083"/>
    </row>
    <row r="226" spans="2:7">
      <c r="B226" s="1141" t="s">
        <v>1087</v>
      </c>
      <c r="C226" s="1611">
        <v>1.76</v>
      </c>
      <c r="D226" s="1142" t="s">
        <v>126</v>
      </c>
      <c r="E226" s="1143">
        <f>+F57</f>
        <v>2845.66</v>
      </c>
      <c r="F226" s="1144">
        <f>C226*E226</f>
        <v>5008.3599999999997</v>
      </c>
      <c r="G226" s="1083"/>
    </row>
    <row r="227" spans="2:7">
      <c r="B227" s="1141" t="s">
        <v>1089</v>
      </c>
      <c r="C227" s="1611">
        <f>1/0.2</f>
        <v>5</v>
      </c>
      <c r="D227" s="1152" t="s">
        <v>1</v>
      </c>
      <c r="E227" s="1143">
        <v>250</v>
      </c>
      <c r="F227" s="1144">
        <f>C227*E227</f>
        <v>1250</v>
      </c>
      <c r="G227" s="1083"/>
    </row>
    <row r="228" spans="2:7" ht="13.5" thickBot="1">
      <c r="B228" s="1145"/>
      <c r="C228" s="1612"/>
      <c r="D228" s="1146"/>
      <c r="E228" s="1147" t="s">
        <v>1031</v>
      </c>
      <c r="F228" s="1673">
        <f>ROUND(SUM(F225:F227),2)</f>
        <v>14166.62</v>
      </c>
      <c r="G228" s="1083"/>
    </row>
    <row r="229" spans="2:7" ht="14.25" thickTop="1" thickBot="1">
      <c r="B229" s="1149"/>
      <c r="C229" s="1613"/>
      <c r="D229" s="1149"/>
      <c r="E229" s="1150"/>
      <c r="F229" s="1151"/>
      <c r="G229" s="1083"/>
    </row>
    <row r="230" spans="2:7" ht="14.25" thickTop="1" thickBot="1">
      <c r="B230" s="1677" t="s">
        <v>2007</v>
      </c>
      <c r="C230" s="1670"/>
      <c r="D230" s="1671"/>
      <c r="E230" s="1676"/>
      <c r="F230" s="1672"/>
      <c r="G230" s="1083"/>
    </row>
    <row r="231" spans="2:7" ht="13.5" thickTop="1">
      <c r="B231" s="1137" t="s">
        <v>271</v>
      </c>
      <c r="C231" s="1610">
        <v>1.05</v>
      </c>
      <c r="D231" s="1138" t="s">
        <v>2</v>
      </c>
      <c r="E231" s="1143">
        <f>+F38</f>
        <v>7531.68</v>
      </c>
      <c r="F231" s="1140">
        <f>C231*E231</f>
        <v>7908.26</v>
      </c>
      <c r="G231" s="1083"/>
    </row>
    <row r="232" spans="2:7">
      <c r="B232" s="1141" t="s">
        <v>1087</v>
      </c>
      <c r="C232" s="1611">
        <v>3.06</v>
      </c>
      <c r="D232" s="1142" t="s">
        <v>126</v>
      </c>
      <c r="E232" s="1143">
        <f>+F57</f>
        <v>2845.66</v>
      </c>
      <c r="F232" s="1144">
        <f>C232*E232</f>
        <v>8707.7199999999993</v>
      </c>
      <c r="G232" s="1083"/>
    </row>
    <row r="233" spans="2:7">
      <c r="B233" s="1141" t="s">
        <v>1089</v>
      </c>
      <c r="C233" s="1611">
        <f>1/0.15</f>
        <v>6.67</v>
      </c>
      <c r="D233" s="1152" t="s">
        <v>1</v>
      </c>
      <c r="E233" s="1143">
        <v>1000</v>
      </c>
      <c r="F233" s="1144">
        <f>C233*E233</f>
        <v>6670</v>
      </c>
      <c r="G233" s="1083"/>
    </row>
    <row r="234" spans="2:7" ht="13.5" thickBot="1">
      <c r="B234" s="1145"/>
      <c r="C234" s="1612"/>
      <c r="D234" s="1146"/>
      <c r="E234" s="1147" t="s">
        <v>1031</v>
      </c>
      <c r="F234" s="1673">
        <f>ROUND(SUM(F231:F233),2)</f>
        <v>23285.98</v>
      </c>
      <c r="G234" s="1083"/>
    </row>
    <row r="235" spans="2:7" ht="13.5" thickTop="1">
      <c r="B235" s="1149"/>
      <c r="C235" s="1613"/>
      <c r="D235" s="1149"/>
      <c r="E235" s="1150"/>
      <c r="F235" s="1151"/>
      <c r="G235" s="1083"/>
    </row>
    <row r="240" spans="2:7" s="1906" customFormat="1" ht="13.5" thickBot="1">
      <c r="B240" s="4937" t="s">
        <v>2447</v>
      </c>
      <c r="C240" s="4938"/>
      <c r="D240" s="4938"/>
      <c r="E240" s="4938"/>
      <c r="F240" s="4939"/>
      <c r="G240" s="1083"/>
    </row>
    <row r="241" spans="2:9" s="1906" customFormat="1" ht="13.5" thickTop="1">
      <c r="B241" s="1137" t="s">
        <v>271</v>
      </c>
      <c r="C241" s="1610">
        <v>1.05</v>
      </c>
      <c r="D241" s="1138" t="s">
        <v>2</v>
      </c>
      <c r="E241" s="1143">
        <f>$F$38</f>
        <v>7531.68</v>
      </c>
      <c r="F241" s="1140">
        <f>C241*E241</f>
        <v>7908.26</v>
      </c>
      <c r="G241" s="1083"/>
      <c r="I241" s="1906">
        <f>1.5*4</f>
        <v>6</v>
      </c>
    </row>
    <row r="242" spans="2:9" s="1906" customFormat="1">
      <c r="B242" s="1141" t="s">
        <v>1087</v>
      </c>
      <c r="C242" s="1611">
        <v>0.86</v>
      </c>
      <c r="D242" s="1142" t="s">
        <v>126</v>
      </c>
      <c r="E242" s="1143">
        <f>$E$153</f>
        <v>2845.66</v>
      </c>
      <c r="F242" s="1144">
        <f>C242*E242</f>
        <v>2447.27</v>
      </c>
      <c r="G242" s="1083"/>
      <c r="I242" s="1906">
        <f>1.5*1.5*0.45</f>
        <v>1.0125</v>
      </c>
    </row>
    <row r="243" spans="2:9" s="1906" customFormat="1">
      <c r="B243" s="1141" t="s">
        <v>1089</v>
      </c>
      <c r="C243" s="1611">
        <f>1.5*4/(1.5*1.5*0.45)</f>
        <v>5.93</v>
      </c>
      <c r="D243" s="1152" t="s">
        <v>1</v>
      </c>
      <c r="E243" s="1911">
        <v>400</v>
      </c>
      <c r="F243" s="1144">
        <f>C243*E243</f>
        <v>2372</v>
      </c>
      <c r="G243" s="1083"/>
      <c r="I243" s="1906">
        <f>I241/I242</f>
        <v>5.92592592592593</v>
      </c>
    </row>
    <row r="244" spans="2:9" s="1906" customFormat="1" ht="13.5" thickBot="1">
      <c r="B244" s="1145"/>
      <c r="C244" s="1612"/>
      <c r="D244" s="1146"/>
      <c r="E244" s="1147" t="s">
        <v>1031</v>
      </c>
      <c r="F244" s="1673">
        <f>ROUND(SUM(F241:F243),2)</f>
        <v>12727.53</v>
      </c>
      <c r="G244" s="1083"/>
    </row>
    <row r="245" spans="2:9" ht="13.5" thickTop="1"/>
    <row r="246" spans="2:9" s="1906" customFormat="1" ht="13.5" thickBot="1">
      <c r="B246" s="4937" t="s">
        <v>2447</v>
      </c>
      <c r="C246" s="4938"/>
      <c r="D246" s="4938"/>
      <c r="E246" s="4938"/>
      <c r="F246" s="4939"/>
      <c r="G246" s="1083"/>
    </row>
    <row r="247" spans="2:9" s="1906" customFormat="1" ht="13.5" thickTop="1">
      <c r="B247" s="1137" t="s">
        <v>271</v>
      </c>
      <c r="C247" s="1610">
        <v>1.05</v>
      </c>
      <c r="D247" s="1138" t="s">
        <v>2</v>
      </c>
      <c r="E247" s="1143">
        <f>$F$38</f>
        <v>7531.68</v>
      </c>
      <c r="F247" s="1140">
        <f>C247*E247</f>
        <v>7908.26</v>
      </c>
      <c r="G247" s="1083"/>
      <c r="I247" s="1906">
        <f>1.5*4</f>
        <v>6</v>
      </c>
    </row>
    <row r="248" spans="2:9" s="1906" customFormat="1">
      <c r="B248" s="1141" t="s">
        <v>1087</v>
      </c>
      <c r="C248" s="1611">
        <v>0.86</v>
      </c>
      <c r="D248" s="1142" t="s">
        <v>126</v>
      </c>
      <c r="E248" s="1143">
        <f>$E$153</f>
        <v>2845.66</v>
      </c>
      <c r="F248" s="1144">
        <f>C248*E248</f>
        <v>2447.27</v>
      </c>
      <c r="G248" s="1083"/>
      <c r="I248" s="1906">
        <f>1.5*1.5*0.45</f>
        <v>1.0125</v>
      </c>
    </row>
    <row r="249" spans="2:9" s="1906" customFormat="1">
      <c r="B249" s="1141" t="s">
        <v>1089</v>
      </c>
      <c r="C249" s="1611">
        <f>1.5*4/(1.7*1.7*0.45)</f>
        <v>4.6100000000000003</v>
      </c>
      <c r="D249" s="1152" t="s">
        <v>1</v>
      </c>
      <c r="E249" s="1911">
        <f>$E$243</f>
        <v>400</v>
      </c>
      <c r="F249" s="1144">
        <f>C249*E249</f>
        <v>1844</v>
      </c>
      <c r="G249" s="1083"/>
      <c r="I249" s="1906">
        <f>I247/I248</f>
        <v>5.92592592592593</v>
      </c>
    </row>
    <row r="250" spans="2:9" s="1906" customFormat="1" ht="13.5" thickBot="1">
      <c r="B250" s="1145"/>
      <c r="C250" s="1612"/>
      <c r="D250" s="1146"/>
      <c r="E250" s="1147" t="s">
        <v>1031</v>
      </c>
      <c r="F250" s="1673">
        <f>ROUND(SUM(F247:F249),2)</f>
        <v>12199.53</v>
      </c>
      <c r="G250" s="1083"/>
    </row>
    <row r="251" spans="2:9" ht="13.5" thickTop="1"/>
  </sheetData>
  <customSheetViews>
    <customSheetView guid="{43BC9397-3E8C-478C-B548-E4A845A7F82B}">
      <pageMargins left="0.7" right="0.7" top="0.75" bottom="0.75" header="0.3" footer="0.3"/>
      <pageSetup orientation="portrait" r:id="rId1"/>
    </customSheetView>
  </customSheetViews>
  <mergeCells count="3">
    <mergeCell ref="B2:F2"/>
    <mergeCell ref="B240:F240"/>
    <mergeCell ref="B246:F246"/>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69" t="s">
        <v>65</v>
      </c>
      <c r="F5" s="4769"/>
      <c r="G5" s="62"/>
      <c r="H5" s="4769" t="s">
        <v>66</v>
      </c>
      <c r="I5" s="4769"/>
      <c r="J5" s="62"/>
      <c r="K5" s="4769" t="s">
        <v>67</v>
      </c>
      <c r="L5" s="4769"/>
      <c r="M5" s="62"/>
      <c r="N5" s="4769" t="s">
        <v>68</v>
      </c>
      <c r="O5" s="4769"/>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69</v>
      </c>
      <c r="D13" s="69"/>
      <c r="E13" s="70">
        <v>1.1100000000000001</v>
      </c>
      <c r="F13" s="75">
        <f t="shared" si="0"/>
        <v>76.59</v>
      </c>
      <c r="G13" s="69"/>
      <c r="H13" s="76">
        <v>8.5000000000000006E-2</v>
      </c>
      <c r="I13" s="75">
        <f t="shared" si="1"/>
        <v>5.87</v>
      </c>
      <c r="J13" s="69"/>
      <c r="K13" s="77">
        <v>7.2999999999999995E-2</v>
      </c>
      <c r="L13" s="75">
        <f t="shared" si="2"/>
        <v>5.04</v>
      </c>
      <c r="M13" s="69"/>
      <c r="N13" s="78">
        <v>0.3125</v>
      </c>
      <c r="O13" s="75">
        <f t="shared" si="3"/>
        <v>21.56</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69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76.59</v>
      </c>
      <c r="G26" s="87"/>
      <c r="H26" s="86" t="s">
        <v>93</v>
      </c>
      <c r="I26" s="82">
        <f>SUM(I7:I23)</f>
        <v>5.87</v>
      </c>
      <c r="J26" s="87"/>
      <c r="K26" s="86" t="s">
        <v>94</v>
      </c>
      <c r="L26" s="82">
        <f>SUM(L7:L23)</f>
        <v>5.04</v>
      </c>
      <c r="M26" s="87"/>
      <c r="N26" s="86" t="s">
        <v>95</v>
      </c>
      <c r="O26" s="82">
        <f>(SUM(O7:O23)/6)*0.25</f>
        <v>0.9</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62.4</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17.739999999999998</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769" t="s">
        <v>98</v>
      </c>
      <c r="D32" s="4769"/>
      <c r="E32" s="4769"/>
      <c r="F32" s="4769"/>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69</v>
      </c>
      <c r="D41" s="88"/>
      <c r="E41" s="100">
        <v>0.04</v>
      </c>
      <c r="F41" s="101">
        <f t="shared" si="5"/>
        <v>71.760000000000005</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0.6</v>
      </c>
      <c r="G56" s="106"/>
      <c r="H56" s="112"/>
      <c r="I56" s="113">
        <f>F26*F56</f>
        <v>45.95</v>
      </c>
      <c r="J56" s="69"/>
      <c r="K56" s="69"/>
      <c r="L56" s="69"/>
      <c r="M56" s="69"/>
      <c r="N56" s="69"/>
      <c r="O56" s="69"/>
      <c r="P56" s="69"/>
      <c r="Q56" s="58"/>
    </row>
    <row r="57" spans="1:17">
      <c r="A57" s="69"/>
      <c r="B57" s="69"/>
      <c r="C57" s="110" t="s">
        <v>106</v>
      </c>
      <c r="D57" s="106"/>
      <c r="E57" s="106"/>
      <c r="F57" s="111">
        <v>0.2</v>
      </c>
      <c r="G57" s="106"/>
      <c r="H57" s="112"/>
      <c r="I57" s="113">
        <f>F26*F57</f>
        <v>15.32</v>
      </c>
      <c r="J57" s="69"/>
      <c r="K57" s="69"/>
      <c r="L57" s="69"/>
      <c r="M57" s="69"/>
      <c r="N57" s="69"/>
      <c r="O57" s="69"/>
      <c r="P57" s="69"/>
      <c r="Q57" s="58"/>
    </row>
    <row r="58" spans="1:17">
      <c r="A58" s="69"/>
      <c r="B58" s="69"/>
      <c r="C58" s="110" t="s">
        <v>107</v>
      </c>
      <c r="D58" s="106"/>
      <c r="E58" s="106"/>
      <c r="F58" s="111">
        <v>0.2</v>
      </c>
      <c r="G58" s="106"/>
      <c r="H58" s="112"/>
      <c r="I58" s="113">
        <f>F26*F58</f>
        <v>15.32</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76.59</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92D050"/>
  </sheetPr>
  <dimension ref="A3:Q79"/>
  <sheetViews>
    <sheetView workbookViewId="0">
      <selection activeCell="F14" sqref="F14"/>
    </sheetView>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69" t="s">
        <v>65</v>
      </c>
      <c r="F5" s="4769"/>
      <c r="G5" s="62"/>
      <c r="H5" s="4769" t="s">
        <v>66</v>
      </c>
      <c r="I5" s="4769"/>
      <c r="J5" s="62"/>
      <c r="K5" s="4769" t="s">
        <v>67</v>
      </c>
      <c r="L5" s="4769"/>
      <c r="M5" s="62"/>
      <c r="N5" s="4769" t="s">
        <v>68</v>
      </c>
      <c r="O5" s="4769"/>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79</v>
      </c>
      <c r="C14" s="67">
        <v>1</v>
      </c>
      <c r="D14" s="69"/>
      <c r="E14" s="70">
        <f>2*1.11</f>
        <v>2.2200000000000002</v>
      </c>
      <c r="F14" s="75">
        <f t="shared" si="0"/>
        <v>2.2200000000000002</v>
      </c>
      <c r="G14" s="69"/>
      <c r="H14" s="76">
        <v>8.5000000000000006E-2</v>
      </c>
      <c r="I14" s="75">
        <f t="shared" si="1"/>
        <v>0.09</v>
      </c>
      <c r="J14" s="69"/>
      <c r="K14" s="77">
        <v>7.2999999999999995E-2</v>
      </c>
      <c r="L14" s="75">
        <f t="shared" si="2"/>
        <v>7.0000000000000007E-2</v>
      </c>
      <c r="M14" s="69"/>
      <c r="N14" s="78">
        <v>0.3125</v>
      </c>
      <c r="O14" s="75">
        <f t="shared" si="3"/>
        <v>0.31</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v>19</v>
      </c>
      <c r="D17" s="69"/>
      <c r="E17" s="70">
        <v>1.4</v>
      </c>
      <c r="F17" s="75">
        <f t="shared" si="0"/>
        <v>26.6</v>
      </c>
      <c r="G17" s="69"/>
      <c r="H17" s="76">
        <v>0.1</v>
      </c>
      <c r="I17" s="75">
        <f t="shared" si="1"/>
        <v>1.9</v>
      </c>
      <c r="J17" s="69"/>
      <c r="K17" s="77">
        <v>0.12970000000000001</v>
      </c>
      <c r="L17" s="75">
        <f t="shared" si="2"/>
        <v>2.46</v>
      </c>
      <c r="M17" s="69"/>
      <c r="N17" s="78">
        <v>0.41660000000000003</v>
      </c>
      <c r="O17" s="75">
        <f t="shared" si="3"/>
        <v>7.92</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20</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28.82</v>
      </c>
      <c r="G28" s="87"/>
      <c r="H28" s="86" t="s">
        <v>93</v>
      </c>
      <c r="I28" s="82">
        <f>SUM(I7:I25)</f>
        <v>1.99</v>
      </c>
      <c r="J28" s="87"/>
      <c r="K28" s="86" t="s">
        <v>94</v>
      </c>
      <c r="L28" s="82">
        <f>SUM(L7:L25)</f>
        <v>2.5299999999999998</v>
      </c>
      <c r="M28" s="87"/>
      <c r="N28" s="86" t="s">
        <v>95</v>
      </c>
      <c r="O28" s="82">
        <f>(SUM(O7:O25)/6)*0.25</f>
        <v>0.34</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23.09</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6.88</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769" t="s">
        <v>98</v>
      </c>
      <c r="D34" s="4769"/>
      <c r="E34" s="4769"/>
      <c r="F34" s="4769"/>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0</v>
      </c>
      <c r="D43" s="88"/>
      <c r="E43" s="100">
        <v>0.04</v>
      </c>
      <c r="F43" s="101">
        <f t="shared" si="5"/>
        <v>0</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19</v>
      </c>
      <c r="D45" s="88"/>
      <c r="E45" s="100">
        <v>0.05</v>
      </c>
      <c r="F45" s="101">
        <f t="shared" si="5"/>
        <v>19.95</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2.88</v>
      </c>
      <c r="J58" s="69"/>
      <c r="K58" s="69"/>
      <c r="L58" s="69"/>
      <c r="M58" s="69"/>
      <c r="N58" s="69"/>
      <c r="O58" s="69"/>
      <c r="P58" s="69"/>
      <c r="Q58" s="58"/>
    </row>
    <row r="59" spans="1:17">
      <c r="A59" s="69"/>
      <c r="B59" s="69"/>
      <c r="C59" s="110" t="s">
        <v>106</v>
      </c>
      <c r="D59" s="106"/>
      <c r="E59" s="106"/>
      <c r="F59" s="111">
        <v>0.9</v>
      </c>
      <c r="G59" s="106"/>
      <c r="H59" s="112"/>
      <c r="I59" s="113">
        <f>F28*F59</f>
        <v>25.94</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28.82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selection activeCell="F14" sqref="F14"/>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92D050"/>
  </sheetPr>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69" t="s">
        <v>65</v>
      </c>
      <c r="F5" s="4769"/>
      <c r="G5" s="62"/>
      <c r="H5" s="4769" t="s">
        <v>66</v>
      </c>
      <c r="I5" s="4769"/>
      <c r="J5" s="62"/>
      <c r="K5" s="4769" t="s">
        <v>67</v>
      </c>
      <c r="L5" s="4769"/>
      <c r="M5" s="62"/>
      <c r="N5" s="4769" t="s">
        <v>68</v>
      </c>
      <c r="O5" s="4769"/>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f>+ACUEDUCTO!C695</f>
        <v>999</v>
      </c>
      <c r="D9">
        <f>173*5.79</f>
        <v>1001.67</v>
      </c>
      <c r="E9" s="70">
        <f>0.8*1.1</f>
        <v>0.88</v>
      </c>
      <c r="F9" s="75">
        <f t="shared" si="0"/>
        <v>879.12</v>
      </c>
      <c r="G9" s="69"/>
      <c r="H9" s="76">
        <f>+E9*0.1</f>
        <v>8.7999999999999995E-2</v>
      </c>
      <c r="I9" s="75">
        <f t="shared" si="1"/>
        <v>87.91</v>
      </c>
      <c r="J9" s="69"/>
      <c r="K9" s="77">
        <v>8.0999999999999996E-3</v>
      </c>
      <c r="L9" s="75">
        <f t="shared" si="2"/>
        <v>8.09</v>
      </c>
      <c r="M9" s="69"/>
      <c r="N9" s="78">
        <v>2.5000000000000001E-2</v>
      </c>
      <c r="O9" s="75">
        <f t="shared" si="3"/>
        <v>24.98</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999</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879.12</v>
      </c>
      <c r="G26" s="87"/>
      <c r="H26" s="86" t="s">
        <v>93</v>
      </c>
      <c r="I26" s="82">
        <f>SUM(I7:I23)</f>
        <v>87.91</v>
      </c>
      <c r="J26" s="87"/>
      <c r="K26" s="86" t="s">
        <v>94</v>
      </c>
      <c r="L26" s="82">
        <f>SUM(L7:L23)</f>
        <v>8.09</v>
      </c>
      <c r="M26" s="87"/>
      <c r="N26" s="86" t="s">
        <v>95</v>
      </c>
      <c r="O26" s="82">
        <f>(SUM(O7:O23)/6)*0.25</f>
        <v>1.04</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743.96</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((F26-I28)*1.25)</f>
        <v>168.95</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769" t="s">
        <v>98</v>
      </c>
      <c r="D32" s="4769"/>
      <c r="E32" s="4769"/>
      <c r="F32" s="4769"/>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999</v>
      </c>
      <c r="D37" s="88"/>
      <c r="E37" s="100">
        <v>0.02</v>
      </c>
      <c r="F37" s="101">
        <f t="shared" si="5"/>
        <v>1018.98</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0.3</v>
      </c>
      <c r="G56" s="106"/>
      <c r="H56" s="112"/>
      <c r="I56" s="113">
        <f>F26*F56</f>
        <v>263.74</v>
      </c>
      <c r="J56" s="69"/>
      <c r="K56" s="69"/>
      <c r="L56" s="69"/>
      <c r="M56" s="69"/>
      <c r="N56" s="69"/>
      <c r="O56" s="69"/>
      <c r="P56" s="69"/>
      <c r="Q56" s="58"/>
    </row>
    <row r="57" spans="1:17">
      <c r="A57" s="69"/>
      <c r="B57" s="69"/>
      <c r="C57" s="110" t="s">
        <v>106</v>
      </c>
      <c r="D57" s="106"/>
      <c r="E57" s="106"/>
      <c r="F57" s="111">
        <v>0.7</v>
      </c>
      <c r="G57" s="106"/>
      <c r="H57" s="112"/>
      <c r="I57" s="113">
        <f>F26*F57</f>
        <v>615.38</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879.12</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92D050"/>
  </sheetPr>
  <dimension ref="A3:Q79"/>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69" t="s">
        <v>65</v>
      </c>
      <c r="F5" s="4769"/>
      <c r="G5" s="62"/>
      <c r="H5" s="4769" t="s">
        <v>66</v>
      </c>
      <c r="I5" s="4769"/>
      <c r="J5" s="62"/>
      <c r="K5" s="4769" t="s">
        <v>67</v>
      </c>
      <c r="L5" s="4769"/>
      <c r="M5" s="62"/>
      <c r="N5" s="4769" t="s">
        <v>68</v>
      </c>
      <c r="O5" s="4769"/>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4812</v>
      </c>
      <c r="D13" s="69"/>
      <c r="E13" s="70">
        <v>1.1100000000000001</v>
      </c>
      <c r="F13" s="75">
        <f t="shared" si="0"/>
        <v>5341.32</v>
      </c>
      <c r="G13" s="69"/>
      <c r="H13" s="76">
        <v>8.5000000000000006E-2</v>
      </c>
      <c r="I13" s="75">
        <f t="shared" si="1"/>
        <v>409.02</v>
      </c>
      <c r="J13" s="69"/>
      <c r="K13" s="77">
        <v>7.2999999999999995E-2</v>
      </c>
      <c r="L13" s="75">
        <f t="shared" si="2"/>
        <v>351.28</v>
      </c>
      <c r="M13" s="69"/>
      <c r="N13" s="78">
        <v>0.3125</v>
      </c>
      <c r="O13" s="75">
        <f t="shared" si="3"/>
        <v>1503.75</v>
      </c>
      <c r="P13" s="69"/>
      <c r="Q13" s="58"/>
    </row>
    <row r="14" spans="1:17">
      <c r="A14" s="66"/>
      <c r="B14" s="67" t="s">
        <v>79</v>
      </c>
      <c r="C14" s="67"/>
      <c r="D14" s="69"/>
      <c r="E14" s="70">
        <f>2*1.11</f>
        <v>2.2200000000000002</v>
      </c>
      <c r="F14" s="75">
        <f t="shared" si="0"/>
        <v>0</v>
      </c>
      <c r="G14" s="69"/>
      <c r="H14" s="76">
        <v>8.5000000000000006E-2</v>
      </c>
      <c r="I14" s="75">
        <f t="shared" si="1"/>
        <v>0</v>
      </c>
      <c r="J14" s="69"/>
      <c r="K14" s="77">
        <v>7.2999999999999995E-2</v>
      </c>
      <c r="L14" s="75">
        <f t="shared" si="2"/>
        <v>0</v>
      </c>
      <c r="M14" s="69"/>
      <c r="N14" s="78">
        <v>0.3125</v>
      </c>
      <c r="O14" s="75">
        <f t="shared" si="3"/>
        <v>0</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c r="D17" s="69"/>
      <c r="E17" s="70">
        <v>1.4</v>
      </c>
      <c r="F17" s="75">
        <f t="shared" si="0"/>
        <v>0</v>
      </c>
      <c r="G17" s="69"/>
      <c r="H17" s="76">
        <v>0.1</v>
      </c>
      <c r="I17" s="75">
        <f t="shared" si="1"/>
        <v>0</v>
      </c>
      <c r="J17" s="69"/>
      <c r="K17" s="77">
        <v>0.12970000000000001</v>
      </c>
      <c r="L17" s="75">
        <f t="shared" si="2"/>
        <v>0</v>
      </c>
      <c r="M17" s="69"/>
      <c r="N17" s="78">
        <v>0.41660000000000003</v>
      </c>
      <c r="O17" s="75">
        <f t="shared" si="3"/>
        <v>0</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5"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5" thickBot="1">
      <c r="A26" s="80" t="s">
        <v>90</v>
      </c>
      <c r="B26" s="81"/>
      <c r="C26" s="82">
        <f>SUM(C7:C25)</f>
        <v>4812</v>
      </c>
      <c r="D26" s="69"/>
      <c r="E26" s="69"/>
      <c r="F26" s="69"/>
      <c r="G26" s="69"/>
      <c r="H26" s="69"/>
      <c r="I26" s="69"/>
      <c r="J26" s="69"/>
      <c r="K26" s="69"/>
      <c r="L26" s="69"/>
      <c r="M26" s="69"/>
      <c r="N26" s="69"/>
      <c r="O26" s="69"/>
      <c r="P26" s="69"/>
      <c r="Q26" s="58"/>
    </row>
    <row r="27" spans="1:17" ht="13.5" thickBot="1">
      <c r="A27" s="83"/>
      <c r="B27" s="69"/>
      <c r="C27" s="84"/>
      <c r="D27" s="69"/>
      <c r="E27" s="69"/>
      <c r="F27" s="69"/>
      <c r="G27" s="69"/>
      <c r="H27" s="69"/>
      <c r="I27" s="69"/>
      <c r="J27" s="69"/>
      <c r="K27" s="69"/>
      <c r="L27" s="69"/>
      <c r="M27" s="69"/>
      <c r="N27" s="69"/>
      <c r="O27" s="69"/>
      <c r="P27" s="69"/>
      <c r="Q27" s="58"/>
    </row>
    <row r="28" spans="1:17" ht="16.5" thickBot="1">
      <c r="A28" s="69"/>
      <c r="B28" s="69"/>
      <c r="C28" s="85" t="s">
        <v>91</v>
      </c>
      <c r="D28" s="66"/>
      <c r="E28" s="86" t="s">
        <v>92</v>
      </c>
      <c r="F28" s="82">
        <f>SUM(F7:F25)</f>
        <v>5341.32</v>
      </c>
      <c r="G28" s="87"/>
      <c r="H28" s="86" t="s">
        <v>93</v>
      </c>
      <c r="I28" s="82">
        <f>SUM(I7:I25)</f>
        <v>409.02</v>
      </c>
      <c r="J28" s="87"/>
      <c r="K28" s="86" t="s">
        <v>94</v>
      </c>
      <c r="L28" s="82">
        <f>SUM(L7:L25)</f>
        <v>351.28</v>
      </c>
      <c r="M28" s="87"/>
      <c r="N28" s="86" t="s">
        <v>95</v>
      </c>
      <c r="O28" s="82">
        <f>(SUM(O7:O25)/6)*0.25</f>
        <v>62.66</v>
      </c>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96</v>
      </c>
      <c r="D30" s="90"/>
      <c r="E30" s="90"/>
      <c r="F30" s="90"/>
      <c r="G30" s="90"/>
      <c r="H30" s="91"/>
      <c r="I30" s="92">
        <f>(F28-I28-L28)*0.95</f>
        <v>4351.97</v>
      </c>
      <c r="J30" s="69"/>
      <c r="K30" s="69"/>
      <c r="L30" s="69"/>
      <c r="M30" s="69"/>
      <c r="N30" s="69"/>
      <c r="O30" s="69"/>
      <c r="P30" s="69"/>
      <c r="Q30" s="58"/>
    </row>
    <row r="31" spans="1:17" ht="13.5" thickBot="1">
      <c r="A31" s="69"/>
      <c r="B31" s="69"/>
      <c r="C31" s="69"/>
      <c r="D31" s="69"/>
      <c r="E31" s="69"/>
      <c r="F31" s="88"/>
      <c r="G31" s="69"/>
      <c r="H31" s="69"/>
      <c r="I31" s="69"/>
      <c r="J31" s="69"/>
      <c r="K31" s="69"/>
      <c r="L31" s="69"/>
      <c r="M31" s="69"/>
      <c r="N31" s="69"/>
      <c r="O31" s="69"/>
      <c r="P31" s="69"/>
      <c r="Q31" s="58"/>
    </row>
    <row r="32" spans="1:17" ht="16.5" thickBot="1">
      <c r="A32" s="69"/>
      <c r="B32" s="69"/>
      <c r="C32" s="89" t="s">
        <v>97</v>
      </c>
      <c r="D32" s="93"/>
      <c r="E32" s="93"/>
      <c r="F32" s="93"/>
      <c r="G32" s="93"/>
      <c r="H32" s="94"/>
      <c r="I32" s="95">
        <f>((F28-I30)*1.2)</f>
        <v>1187.22</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4769" t="s">
        <v>98</v>
      </c>
      <c r="D34" s="4769"/>
      <c r="E34" s="4769"/>
      <c r="F34" s="4769"/>
      <c r="G34" s="69"/>
      <c r="H34" s="69"/>
      <c r="I34" s="69"/>
      <c r="J34" s="69"/>
      <c r="K34" s="69"/>
      <c r="L34" s="69"/>
      <c r="M34" s="69"/>
      <c r="N34" s="69"/>
      <c r="O34" s="69"/>
      <c r="P34" s="69"/>
      <c r="Q34" s="58"/>
    </row>
    <row r="35" spans="1:17" ht="13.5" thickBot="1">
      <c r="A35" s="69"/>
      <c r="B35" s="69"/>
      <c r="C35" s="69"/>
      <c r="D35" s="69"/>
      <c r="E35" s="69"/>
      <c r="F35" s="69"/>
      <c r="G35" s="69"/>
      <c r="H35" s="69"/>
      <c r="I35" s="69"/>
      <c r="J35" s="69"/>
      <c r="K35" s="69"/>
      <c r="L35" s="69"/>
      <c r="M35" s="69"/>
      <c r="N35" s="69"/>
      <c r="O35" s="69"/>
      <c r="P35" s="69"/>
      <c r="Q35" s="58"/>
    </row>
    <row r="36" spans="1:17" ht="13.5"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4812</v>
      </c>
      <c r="D43" s="88"/>
      <c r="E43" s="100">
        <v>0.04</v>
      </c>
      <c r="F43" s="101">
        <f t="shared" si="5"/>
        <v>5004.4799999999996</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0</v>
      </c>
      <c r="D45" s="88"/>
      <c r="E45" s="100">
        <v>0.05</v>
      </c>
      <c r="F45" s="101">
        <f t="shared" si="5"/>
        <v>0</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5" thickBot="1">
      <c r="A54" s="69"/>
      <c r="B54" s="69"/>
      <c r="C54" s="69"/>
      <c r="D54" s="69"/>
      <c r="E54" s="69"/>
      <c r="F54" s="69"/>
      <c r="G54" s="69"/>
      <c r="H54" s="69"/>
      <c r="I54" s="69"/>
      <c r="J54" s="69"/>
      <c r="K54" s="69"/>
      <c r="L54" s="69"/>
      <c r="M54" s="69"/>
      <c r="N54" s="69"/>
      <c r="O54" s="69"/>
      <c r="P54" s="69"/>
      <c r="Q54" s="58"/>
    </row>
    <row r="55" spans="1:17" ht="15.75">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534.13</v>
      </c>
      <c r="J58" s="69"/>
      <c r="K58" s="69"/>
      <c r="L58" s="69"/>
      <c r="M58" s="69"/>
      <c r="N58" s="69"/>
      <c r="O58" s="69"/>
      <c r="P58" s="69"/>
      <c r="Q58" s="58"/>
    </row>
    <row r="59" spans="1:17">
      <c r="A59" s="69"/>
      <c r="B59" s="69"/>
      <c r="C59" s="110" t="s">
        <v>106</v>
      </c>
      <c r="D59" s="106"/>
      <c r="E59" s="106"/>
      <c r="F59" s="111">
        <v>0.9</v>
      </c>
      <c r="G59" s="106"/>
      <c r="H59" s="112"/>
      <c r="I59" s="113">
        <f>F28*F59</f>
        <v>4807.1899999999996</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5" thickBot="1">
      <c r="A62" s="69"/>
      <c r="B62" s="69"/>
      <c r="C62" s="116"/>
      <c r="D62" s="117"/>
      <c r="E62" s="117"/>
      <c r="F62" s="118">
        <f>SUM(F58:F61)</f>
        <v>1</v>
      </c>
      <c r="G62" s="117"/>
      <c r="H62" s="119"/>
      <c r="I62" s="120">
        <f>SUM(I58:I61)</f>
        <v>5341.32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8">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3:Q77"/>
  <sheetViews>
    <sheetView workbookViewId="0"/>
  </sheetViews>
  <sheetFormatPr baseColWidth="10" defaultColWidth="11.42578125" defaultRowHeight="12.75"/>
  <cols>
    <col min="3" max="3" width="16.140625" customWidth="1"/>
  </cols>
  <sheetData>
    <row r="3" spans="1:17" ht="20.25">
      <c r="A3" s="54"/>
      <c r="B3" s="54"/>
      <c r="C3" s="54"/>
      <c r="D3" s="54"/>
      <c r="E3" s="54"/>
      <c r="F3" s="54"/>
      <c r="G3" s="54"/>
      <c r="H3" s="55"/>
      <c r="I3" s="55"/>
      <c r="J3" s="56"/>
      <c r="K3" s="56"/>
      <c r="L3" s="57"/>
      <c r="M3" s="57"/>
      <c r="N3" s="57"/>
      <c r="O3" s="57"/>
      <c r="P3" s="57"/>
      <c r="Q3" s="57"/>
    </row>
    <row r="4" spans="1:17" ht="18.75" thickBot="1">
      <c r="A4" s="58"/>
      <c r="B4" s="59"/>
      <c r="C4" s="60"/>
      <c r="D4" s="59"/>
      <c r="E4" s="59"/>
      <c r="F4" s="59"/>
      <c r="G4" s="59"/>
      <c r="H4" s="59"/>
      <c r="I4" s="59"/>
      <c r="J4" s="59"/>
      <c r="K4" s="59"/>
      <c r="L4" s="59"/>
      <c r="M4" s="59"/>
      <c r="N4" s="59"/>
      <c r="O4" s="59"/>
      <c r="P4" s="58"/>
      <c r="Q4" s="58"/>
    </row>
    <row r="5" spans="1:17" ht="13.5" thickBot="1">
      <c r="A5" s="61"/>
      <c r="B5" s="59"/>
      <c r="C5" s="59"/>
      <c r="D5" s="59"/>
      <c r="E5" s="4769" t="s">
        <v>65</v>
      </c>
      <c r="F5" s="4769"/>
      <c r="G5" s="62"/>
      <c r="H5" s="4769" t="s">
        <v>66</v>
      </c>
      <c r="I5" s="4769"/>
      <c r="J5" s="62"/>
      <c r="K5" s="4769" t="s">
        <v>67</v>
      </c>
      <c r="L5" s="4769"/>
      <c r="M5" s="62"/>
      <c r="N5" s="4769" t="s">
        <v>68</v>
      </c>
      <c r="O5" s="4769"/>
      <c r="P5" s="59"/>
      <c r="Q5" s="58"/>
    </row>
    <row r="6" spans="1:17" ht="13.5"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f>+ACUEDUCTO!G935</f>
        <v>0</v>
      </c>
      <c r="D8" s="69"/>
      <c r="E8" s="70">
        <f>0.8*1.08</f>
        <v>0.86</v>
      </c>
      <c r="F8" s="75">
        <f t="shared" si="0"/>
        <v>0</v>
      </c>
      <c r="G8" s="69"/>
      <c r="H8" s="76">
        <f>+E8*0.1</f>
        <v>8.5999999999999993E-2</v>
      </c>
      <c r="I8" s="75">
        <f>+H8*C8</f>
        <v>0</v>
      </c>
      <c r="J8" s="69"/>
      <c r="K8" s="77">
        <v>4.5999999999999999E-3</v>
      </c>
      <c r="L8" s="75">
        <f t="shared" si="2"/>
        <v>0</v>
      </c>
      <c r="M8" s="69"/>
      <c r="N8" s="78">
        <v>1.7860000000000001E-2</v>
      </c>
      <c r="O8" s="75">
        <f t="shared" si="3"/>
        <v>0</v>
      </c>
      <c r="P8" s="69"/>
      <c r="Q8" s="58"/>
    </row>
    <row r="9" spans="1:17">
      <c r="A9" s="66"/>
      <c r="B9" s="67" t="s">
        <v>75</v>
      </c>
      <c r="C9" s="801">
        <f>+ACUEDUCTO!G936</f>
        <v>0</v>
      </c>
      <c r="D9" s="69"/>
      <c r="E9" s="70">
        <f>0.8*1.1</f>
        <v>0.88</v>
      </c>
      <c r="F9" s="75">
        <f t="shared" si="0"/>
        <v>0</v>
      </c>
      <c r="G9" s="69"/>
      <c r="H9" s="76">
        <f>+E9*0.1</f>
        <v>8.7999999999999995E-2</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f>+E10*0.1</f>
        <v>9.1999999999999998E-2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5"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5" thickBot="1">
      <c r="A24" s="80" t="s">
        <v>90</v>
      </c>
      <c r="B24" s="81"/>
      <c r="C24" s="82">
        <f>SUM(C7:C23)</f>
        <v>0</v>
      </c>
      <c r="D24" s="69"/>
      <c r="E24" s="69"/>
      <c r="F24" s="69"/>
      <c r="G24" s="69"/>
      <c r="H24" s="69"/>
      <c r="I24" s="69"/>
      <c r="J24" s="69"/>
      <c r="K24" s="69"/>
      <c r="L24" s="69"/>
      <c r="M24" s="69"/>
      <c r="N24" s="69"/>
      <c r="O24" s="69"/>
      <c r="P24" s="69"/>
      <c r="Q24" s="58"/>
    </row>
    <row r="25" spans="1:17" ht="13.5" thickBot="1">
      <c r="A25" s="83"/>
      <c r="B25" s="69"/>
      <c r="C25" s="84"/>
      <c r="D25" s="69"/>
      <c r="E25" s="69"/>
      <c r="F25" s="69"/>
      <c r="G25" s="69"/>
      <c r="H25" s="69"/>
      <c r="I25" s="69"/>
      <c r="J25" s="69"/>
      <c r="K25" s="69"/>
      <c r="L25" s="69"/>
      <c r="M25" s="69"/>
      <c r="N25" s="69"/>
      <c r="O25" s="69"/>
      <c r="P25" s="69"/>
      <c r="Q25" s="58"/>
    </row>
    <row r="26" spans="1:17" ht="16.5" thickBot="1">
      <c r="A26" s="69"/>
      <c r="B26" s="69"/>
      <c r="C26" s="85" t="s">
        <v>91</v>
      </c>
      <c r="D26" s="66"/>
      <c r="E26" s="86" t="s">
        <v>92</v>
      </c>
      <c r="F26" s="82">
        <f>SUM(F7:F23)</f>
        <v>0</v>
      </c>
      <c r="G26" s="87"/>
      <c r="H26" s="86" t="s">
        <v>93</v>
      </c>
      <c r="I26" s="82">
        <f>SUM(I7:I23)</f>
        <v>0</v>
      </c>
      <c r="J26" s="87"/>
      <c r="K26" s="86" t="s">
        <v>94</v>
      </c>
      <c r="L26" s="82">
        <f>SUM(L7:L23)</f>
        <v>0</v>
      </c>
      <c r="M26" s="87"/>
      <c r="N26" s="86" t="s">
        <v>95</v>
      </c>
      <c r="O26" s="82">
        <f>(SUM(O7:O23)/6)*0.25</f>
        <v>0</v>
      </c>
      <c r="P26" s="69"/>
      <c r="Q26" s="58"/>
    </row>
    <row r="27" spans="1:17" ht="13.5" thickBot="1">
      <c r="A27" s="69"/>
      <c r="B27" s="69"/>
      <c r="C27" s="69"/>
      <c r="D27" s="69"/>
      <c r="E27" s="69"/>
      <c r="F27" s="88"/>
      <c r="G27" s="69"/>
      <c r="H27" s="69"/>
      <c r="I27" s="69"/>
      <c r="J27" s="69"/>
      <c r="K27" s="69"/>
      <c r="L27" s="69"/>
      <c r="M27" s="69"/>
      <c r="N27" s="69"/>
      <c r="O27" s="69"/>
      <c r="P27" s="69"/>
      <c r="Q27" s="58"/>
    </row>
    <row r="28" spans="1:17" ht="16.5" thickBot="1">
      <c r="A28" s="69"/>
      <c r="B28" s="69"/>
      <c r="C28" s="89" t="s">
        <v>96</v>
      </c>
      <c r="D28" s="90"/>
      <c r="E28" s="90"/>
      <c r="F28" s="90"/>
      <c r="G28" s="90"/>
      <c r="H28" s="91"/>
      <c r="I28" s="92">
        <f>(F26-I26-L26)*0.95</f>
        <v>0</v>
      </c>
      <c r="J28" s="69"/>
      <c r="K28" s="69"/>
      <c r="L28" s="69"/>
      <c r="M28" s="69"/>
      <c r="N28" s="69"/>
      <c r="O28" s="69"/>
      <c r="P28" s="69"/>
      <c r="Q28" s="58"/>
    </row>
    <row r="29" spans="1:17" ht="13.5" thickBot="1">
      <c r="A29" s="69"/>
      <c r="B29" s="69"/>
      <c r="C29" s="69"/>
      <c r="D29" s="69"/>
      <c r="E29" s="69"/>
      <c r="F29" s="88"/>
      <c r="G29" s="69"/>
      <c r="H29" s="69"/>
      <c r="I29" s="69"/>
      <c r="J29" s="69"/>
      <c r="K29" s="69"/>
      <c r="L29" s="69"/>
      <c r="M29" s="69"/>
      <c r="N29" s="69"/>
      <c r="O29" s="69"/>
      <c r="P29" s="69"/>
      <c r="Q29" s="58"/>
    </row>
    <row r="30" spans="1:17" ht="16.5" thickBot="1">
      <c r="A30" s="69"/>
      <c r="B30" s="69"/>
      <c r="C30" s="89" t="s">
        <v>97</v>
      </c>
      <c r="D30" s="93"/>
      <c r="E30" s="93"/>
      <c r="F30" s="93"/>
      <c r="G30" s="93"/>
      <c r="H30" s="94"/>
      <c r="I30" s="95">
        <f>((F26-I28)*1.2)</f>
        <v>0</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4769" t="s">
        <v>98</v>
      </c>
      <c r="D32" s="4769"/>
      <c r="E32" s="4769"/>
      <c r="F32" s="4769"/>
      <c r="G32" s="69"/>
      <c r="H32" s="69"/>
      <c r="I32" s="69"/>
      <c r="J32" s="69"/>
      <c r="K32" s="69"/>
      <c r="L32" s="69"/>
      <c r="M32" s="69"/>
      <c r="N32" s="69"/>
      <c r="O32" s="69"/>
      <c r="P32" s="69"/>
      <c r="Q32" s="58"/>
    </row>
    <row r="33" spans="1:17" ht="13.5" thickBot="1">
      <c r="A33" s="69"/>
      <c r="B33" s="69"/>
      <c r="C33" s="69"/>
      <c r="D33" s="69"/>
      <c r="E33" s="69"/>
      <c r="F33" s="69"/>
      <c r="G33" s="69"/>
      <c r="H33" s="69"/>
      <c r="I33" s="69"/>
      <c r="J33" s="69"/>
      <c r="K33" s="69"/>
      <c r="L33" s="69"/>
      <c r="M33" s="69"/>
      <c r="N33" s="69"/>
      <c r="O33" s="69"/>
      <c r="P33" s="69"/>
      <c r="Q33" s="58"/>
    </row>
    <row r="34" spans="1:17" ht="13.5"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5" thickBot="1">
      <c r="A52" s="69"/>
      <c r="B52" s="69"/>
      <c r="C52" s="69"/>
      <c r="D52" s="69"/>
      <c r="E52" s="69"/>
      <c r="F52" s="69"/>
      <c r="G52" s="69"/>
      <c r="H52" s="69"/>
      <c r="I52" s="69"/>
      <c r="J52" s="69"/>
      <c r="K52" s="69"/>
      <c r="L52" s="69"/>
      <c r="M52" s="69"/>
      <c r="N52" s="69"/>
      <c r="O52" s="69"/>
      <c r="P52" s="69"/>
      <c r="Q52" s="58"/>
    </row>
    <row r="53" spans="1:17" ht="15.75">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0.1</v>
      </c>
      <c r="G56" s="106"/>
      <c r="H56" s="112"/>
      <c r="I56" s="113">
        <f>F26*F56</f>
        <v>0</v>
      </c>
      <c r="J56" s="69"/>
      <c r="K56" s="69"/>
      <c r="L56" s="69"/>
      <c r="M56" s="69"/>
      <c r="N56" s="69"/>
      <c r="O56" s="69"/>
      <c r="P56" s="69"/>
      <c r="Q56" s="58"/>
    </row>
    <row r="57" spans="1:17">
      <c r="A57" s="69"/>
      <c r="B57" s="69"/>
      <c r="C57" s="110" t="s">
        <v>106</v>
      </c>
      <c r="D57" s="106"/>
      <c r="E57" s="106"/>
      <c r="F57" s="111">
        <v>0.9</v>
      </c>
      <c r="G57" s="106"/>
      <c r="H57" s="112"/>
      <c r="I57" s="113">
        <f>F26*F57</f>
        <v>0</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5" thickBot="1">
      <c r="A60" s="69"/>
      <c r="B60" s="69"/>
      <c r="C60" s="116"/>
      <c r="D60" s="117"/>
      <c r="E60" s="117"/>
      <c r="F60" s="118">
        <f>SUM(F56:F59)</f>
        <v>1</v>
      </c>
      <c r="G60" s="117"/>
      <c r="H60" s="119"/>
      <c r="I60" s="120">
        <f>SUM(I56:I59)</f>
        <v>0</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8">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44"/>
  <sheetViews>
    <sheetView topLeftCell="A61" workbookViewId="0">
      <selection activeCell="J105" sqref="J105"/>
    </sheetView>
  </sheetViews>
  <sheetFormatPr baseColWidth="10" defaultColWidth="11.42578125" defaultRowHeight="12.75"/>
  <cols>
    <col min="1" max="4" width="11.42578125" style="4196"/>
    <col min="5" max="8" width="11.42578125" style="4193"/>
    <col min="9" max="15" width="11.42578125" style="4196"/>
    <col min="16" max="16384" width="11.42578125" style="4193"/>
  </cols>
  <sheetData>
    <row r="2" spans="1:12">
      <c r="A2" s="4770" t="s">
        <v>3542</v>
      </c>
      <c r="B2" s="4770"/>
      <c r="C2" s="4770"/>
      <c r="D2" s="4770"/>
      <c r="I2" s="4770" t="s">
        <v>3546</v>
      </c>
      <c r="J2" s="4770"/>
      <c r="K2" s="4770"/>
      <c r="L2" s="4770"/>
    </row>
    <row r="3" spans="1:12" ht="13.5" thickBot="1">
      <c r="A3" s="4197"/>
      <c r="B3" s="4197"/>
      <c r="I3" s="4197"/>
      <c r="J3" s="4197"/>
    </row>
    <row r="4" spans="1:12" ht="13.5" thickBot="1">
      <c r="A4" s="3761" t="s">
        <v>3126</v>
      </c>
      <c r="B4" s="3762">
        <v>1</v>
      </c>
      <c r="C4" s="3763"/>
      <c r="D4" s="3764"/>
      <c r="I4" s="3761" t="s">
        <v>3126</v>
      </c>
      <c r="J4" s="3762">
        <v>1</v>
      </c>
      <c r="K4" s="3763"/>
      <c r="L4" s="3764"/>
    </row>
    <row r="5" spans="1:12">
      <c r="A5" s="3748" t="s">
        <v>3130</v>
      </c>
      <c r="B5" s="3758">
        <v>3.45</v>
      </c>
      <c r="C5" s="510"/>
      <c r="D5" s="1899"/>
      <c r="I5" s="3748" t="s">
        <v>3130</v>
      </c>
      <c r="J5" s="3758">
        <v>3.45</v>
      </c>
      <c r="K5" s="510"/>
      <c r="L5" s="1899"/>
    </row>
    <row r="6" spans="1:12" ht="13.5" thickBot="1">
      <c r="A6" s="3756" t="s">
        <v>3131</v>
      </c>
      <c r="B6" s="3757">
        <v>2.95</v>
      </c>
      <c r="C6" s="510"/>
      <c r="D6" s="1899"/>
      <c r="I6" s="3756" t="s">
        <v>3131</v>
      </c>
      <c r="J6" s="3757">
        <v>2.95</v>
      </c>
      <c r="K6" s="510"/>
      <c r="L6" s="1899"/>
    </row>
    <row r="7" spans="1:12">
      <c r="A7" s="3745" t="s">
        <v>3127</v>
      </c>
      <c r="B7" s="3755">
        <v>0</v>
      </c>
      <c r="C7" s="510"/>
      <c r="D7" s="1899"/>
      <c r="I7" s="3745" t="s">
        <v>3127</v>
      </c>
      <c r="J7" s="3755">
        <v>0</v>
      </c>
      <c r="K7" s="510"/>
      <c r="L7" s="1899"/>
    </row>
    <row r="8" spans="1:12">
      <c r="A8" s="3748" t="s">
        <v>3128</v>
      </c>
      <c r="B8" s="3758">
        <v>3.75</v>
      </c>
      <c r="C8" s="510"/>
      <c r="D8" s="1899"/>
      <c r="I8" s="3748" t="s">
        <v>3128</v>
      </c>
      <c r="J8" s="3758">
        <v>5.43</v>
      </c>
      <c r="K8" s="510"/>
      <c r="L8" s="1899"/>
    </row>
    <row r="9" spans="1:12">
      <c r="A9" s="3748" t="s">
        <v>540</v>
      </c>
      <c r="B9" s="3758">
        <v>1.77</v>
      </c>
      <c r="C9" s="510"/>
      <c r="D9" s="1899"/>
      <c r="I9" s="3748" t="s">
        <v>540</v>
      </c>
      <c r="J9" s="3758">
        <v>1.78</v>
      </c>
      <c r="K9" s="510"/>
      <c r="L9" s="1899"/>
    </row>
    <row r="10" spans="1:12" ht="13.5" thickBot="1">
      <c r="A10" s="3756" t="s">
        <v>3129</v>
      </c>
      <c r="B10" s="3757">
        <v>0</v>
      </c>
      <c r="C10" s="510"/>
      <c r="D10" s="1899"/>
      <c r="I10" s="3756" t="s">
        <v>3129</v>
      </c>
      <c r="J10" s="3757">
        <v>0</v>
      </c>
      <c r="K10" s="510"/>
      <c r="L10" s="1899"/>
    </row>
    <row r="11" spans="1:12">
      <c r="A11" s="3745" t="s">
        <v>3136</v>
      </c>
      <c r="B11" s="3755">
        <v>0</v>
      </c>
      <c r="C11" s="510"/>
      <c r="D11" s="1899"/>
      <c r="I11" s="3745" t="s">
        <v>3136</v>
      </c>
      <c r="J11" s="3755">
        <v>0</v>
      </c>
      <c r="K11" s="510"/>
      <c r="L11" s="1899"/>
    </row>
    <row r="12" spans="1:12">
      <c r="A12" s="3748" t="s">
        <v>3137</v>
      </c>
      <c r="B12" s="3758">
        <v>0</v>
      </c>
      <c r="C12" s="510"/>
      <c r="D12" s="1899"/>
      <c r="I12" s="3748" t="s">
        <v>3137</v>
      </c>
      <c r="J12" s="3758">
        <v>0</v>
      </c>
      <c r="K12" s="510"/>
      <c r="L12" s="1899"/>
    </row>
    <row r="13" spans="1:12">
      <c r="A13" s="3748" t="s">
        <v>3138</v>
      </c>
      <c r="B13" s="3758">
        <v>0</v>
      </c>
      <c r="C13" s="510"/>
      <c r="D13" s="1899"/>
      <c r="I13" s="3748" t="s">
        <v>3138</v>
      </c>
      <c r="J13" s="3758">
        <v>0</v>
      </c>
      <c r="K13" s="510"/>
      <c r="L13" s="1899"/>
    </row>
    <row r="14" spans="1:12" ht="13.5" thickBot="1">
      <c r="A14" s="3748" t="s">
        <v>3139</v>
      </c>
      <c r="B14" s="3758">
        <v>0</v>
      </c>
      <c r="C14" s="510"/>
      <c r="D14" s="1899"/>
      <c r="I14" s="3748" t="s">
        <v>3139</v>
      </c>
      <c r="J14" s="3758">
        <v>0</v>
      </c>
      <c r="K14" s="510"/>
      <c r="L14" s="1899"/>
    </row>
    <row r="15" spans="1:12">
      <c r="A15" s="3759" t="s">
        <v>3132</v>
      </c>
      <c r="B15" s="3746">
        <f>ROUNDUP(B6/0.2,0)/2</f>
        <v>7.5</v>
      </c>
      <c r="C15" s="3760">
        <f>B5+B13+0.2*2+B14+B9/4</f>
        <v>4.29</v>
      </c>
      <c r="D15" s="3747">
        <f>B15*C15*0.0123</f>
        <v>0.39575250000000001</v>
      </c>
      <c r="I15" s="3759" t="s">
        <v>3132</v>
      </c>
      <c r="J15" s="3746">
        <v>8</v>
      </c>
      <c r="K15" s="3760">
        <f>J5+J13+0.2*2+J14+J9/4</f>
        <v>4.3</v>
      </c>
      <c r="L15" s="3747">
        <f>J15*K15*0.0123</f>
        <v>0.42312</v>
      </c>
    </row>
    <row r="16" spans="1:12">
      <c r="A16" s="3749" t="s">
        <v>3133</v>
      </c>
      <c r="B16" s="3155">
        <f>ROUNDUP(B6/0.2,0)/2</f>
        <v>7.5</v>
      </c>
      <c r="C16" s="3750">
        <f>B5+B13+0.2*2+B14+B10/4</f>
        <v>3.85</v>
      </c>
      <c r="D16" s="1899">
        <f t="shared" ref="D16:D18" si="0">B16*C16*0.0123</f>
        <v>0.35516249999999999</v>
      </c>
      <c r="I16" s="3749" t="s">
        <v>3133</v>
      </c>
      <c r="J16" s="3155">
        <v>8</v>
      </c>
      <c r="K16" s="3750">
        <f>J5+J13+0.2*2+J14+J10/4</f>
        <v>3.85</v>
      </c>
      <c r="L16" s="1899">
        <f t="shared" ref="L16:L18" si="1">J16*K16*0.0123</f>
        <v>0.37884000000000001</v>
      </c>
    </row>
    <row r="17" spans="1:12">
      <c r="A17" s="3749" t="s">
        <v>3134</v>
      </c>
      <c r="B17" s="3155">
        <f>ROUNDUP(B5/0.2,0)/2</f>
        <v>9</v>
      </c>
      <c r="C17" s="510">
        <f>0.2*2+B11+B12+B6+B7/4</f>
        <v>3.35</v>
      </c>
      <c r="D17" s="1899">
        <f t="shared" si="0"/>
        <v>0.37084499999999998</v>
      </c>
      <c r="I17" s="3749" t="s">
        <v>3134</v>
      </c>
      <c r="J17" s="3155">
        <f>ROUNDUP(J5/0.2,0)/2</f>
        <v>9</v>
      </c>
      <c r="K17" s="510">
        <f>0.2*2+J11+J12+J6+J7/4</f>
        <v>3.35</v>
      </c>
      <c r="L17" s="1899">
        <f t="shared" si="1"/>
        <v>0.37084499999999998</v>
      </c>
    </row>
    <row r="18" spans="1:12" ht="13.5" thickBot="1">
      <c r="A18" s="3751" t="s">
        <v>3135</v>
      </c>
      <c r="B18" s="3752">
        <f>ROUNDUP(B5/0.2,0)/2</f>
        <v>9</v>
      </c>
      <c r="C18" s="3753">
        <f>0.2*2+B11+B12+B6+B8/4</f>
        <v>4.29</v>
      </c>
      <c r="D18" s="3754">
        <f t="shared" si="0"/>
        <v>0.47490300000000002</v>
      </c>
      <c r="I18" s="3751" t="s">
        <v>3135</v>
      </c>
      <c r="J18" s="3752">
        <f>ROUNDUP(J5/0.2,0)/2</f>
        <v>9</v>
      </c>
      <c r="K18" s="3753">
        <f>0.2*2+J11+J12+J6+J8/4</f>
        <v>4.71</v>
      </c>
      <c r="L18" s="3754">
        <f t="shared" si="1"/>
        <v>0.521397</v>
      </c>
    </row>
    <row r="19" spans="1:12" ht="15.75" thickBot="1">
      <c r="A19" s="4197"/>
      <c r="B19" s="4197"/>
      <c r="D19" s="4198">
        <f>SUBTOTAL(9,D15:D18)</f>
        <v>1.5966629999999999</v>
      </c>
      <c r="I19" s="4197"/>
      <c r="J19" s="4197"/>
      <c r="L19" s="4198">
        <f>SUBTOTAL(9,L15:L18)</f>
        <v>1.694202</v>
      </c>
    </row>
    <row r="20" spans="1:12" ht="13.5" thickBot="1">
      <c r="A20" s="3761" t="s">
        <v>3126</v>
      </c>
      <c r="B20" s="3762">
        <v>2</v>
      </c>
      <c r="C20" s="3763"/>
      <c r="D20" s="3764"/>
      <c r="I20" s="3761" t="s">
        <v>3126</v>
      </c>
      <c r="J20" s="3762">
        <v>2</v>
      </c>
      <c r="K20" s="3763"/>
      <c r="L20" s="3764"/>
    </row>
    <row r="21" spans="1:12">
      <c r="A21" s="3748" t="s">
        <v>3130</v>
      </c>
      <c r="B21" s="3758">
        <v>3.45</v>
      </c>
      <c r="C21" s="510"/>
      <c r="D21" s="1899"/>
      <c r="I21" s="3748" t="s">
        <v>3130</v>
      </c>
      <c r="J21" s="3758">
        <v>3.45</v>
      </c>
      <c r="K21" s="510"/>
      <c r="L21" s="1899"/>
    </row>
    <row r="22" spans="1:12" ht="13.5" thickBot="1">
      <c r="A22" s="3756" t="s">
        <v>3131</v>
      </c>
      <c r="B22" s="3757">
        <v>3.75</v>
      </c>
      <c r="C22" s="510"/>
      <c r="D22" s="1899"/>
      <c r="I22" s="3756" t="s">
        <v>3131</v>
      </c>
      <c r="J22" s="3757">
        <v>5.43</v>
      </c>
      <c r="K22" s="510"/>
      <c r="L22" s="1899"/>
    </row>
    <row r="23" spans="1:12">
      <c r="A23" s="3745" t="s">
        <v>3127</v>
      </c>
      <c r="B23" s="3755">
        <v>2.95</v>
      </c>
      <c r="C23" s="510"/>
      <c r="D23" s="1899"/>
      <c r="I23" s="3745" t="s">
        <v>3127</v>
      </c>
      <c r="J23" s="3755">
        <v>2.95</v>
      </c>
      <c r="K23" s="510"/>
      <c r="L23" s="1899"/>
    </row>
    <row r="24" spans="1:12">
      <c r="A24" s="3748" t="s">
        <v>3128</v>
      </c>
      <c r="B24" s="3758">
        <v>3.75</v>
      </c>
      <c r="C24" s="510"/>
      <c r="D24" s="1899"/>
      <c r="I24" s="3748" t="s">
        <v>3128</v>
      </c>
      <c r="J24" s="3758">
        <v>0</v>
      </c>
      <c r="K24" s="510"/>
      <c r="L24" s="1899"/>
    </row>
    <row r="25" spans="1:12">
      <c r="A25" s="3748" t="s">
        <v>540</v>
      </c>
      <c r="B25" s="3758">
        <v>3.63</v>
      </c>
      <c r="C25" s="510"/>
      <c r="D25" s="1899"/>
      <c r="I25" s="3748" t="s">
        <v>540</v>
      </c>
      <c r="J25" s="3758">
        <v>3.63</v>
      </c>
      <c r="K25" s="510"/>
      <c r="L25" s="1899"/>
    </row>
    <row r="26" spans="1:12" ht="13.5" thickBot="1">
      <c r="A26" s="3756" t="s">
        <v>3129</v>
      </c>
      <c r="B26" s="3757">
        <v>0</v>
      </c>
      <c r="C26" s="510"/>
      <c r="D26" s="1899"/>
      <c r="I26" s="3756" t="s">
        <v>3129</v>
      </c>
      <c r="J26" s="3757">
        <v>0</v>
      </c>
      <c r="K26" s="510"/>
      <c r="L26" s="1899"/>
    </row>
    <row r="27" spans="1:12">
      <c r="A27" s="3745" t="s">
        <v>3136</v>
      </c>
      <c r="B27" s="3755">
        <v>0</v>
      </c>
      <c r="C27" s="510"/>
      <c r="D27" s="1899"/>
      <c r="I27" s="3745" t="s">
        <v>3136</v>
      </c>
      <c r="J27" s="3755">
        <v>0</v>
      </c>
      <c r="K27" s="510"/>
      <c r="L27" s="1899"/>
    </row>
    <row r="28" spans="1:12">
      <c r="A28" s="3748" t="s">
        <v>3137</v>
      </c>
      <c r="B28" s="3758">
        <v>0</v>
      </c>
      <c r="C28" s="510"/>
      <c r="D28" s="1899"/>
      <c r="I28" s="3748" t="s">
        <v>3137</v>
      </c>
      <c r="J28" s="3758">
        <v>0</v>
      </c>
      <c r="K28" s="510"/>
      <c r="L28" s="1899"/>
    </row>
    <row r="29" spans="1:12">
      <c r="A29" s="3748" t="s">
        <v>3138</v>
      </c>
      <c r="B29" s="3758">
        <v>0</v>
      </c>
      <c r="C29" s="510"/>
      <c r="D29" s="1899"/>
      <c r="I29" s="3748" t="s">
        <v>3138</v>
      </c>
      <c r="J29" s="3758">
        <v>0</v>
      </c>
      <c r="K29" s="510"/>
      <c r="L29" s="1899"/>
    </row>
    <row r="30" spans="1:12" ht="13.5" thickBot="1">
      <c r="A30" s="3748" t="s">
        <v>3139</v>
      </c>
      <c r="B30" s="3758">
        <v>0</v>
      </c>
      <c r="C30" s="510"/>
      <c r="D30" s="1899"/>
      <c r="I30" s="3748" t="s">
        <v>3139</v>
      </c>
      <c r="J30" s="3758">
        <v>0</v>
      </c>
      <c r="K30" s="510"/>
      <c r="L30" s="1899"/>
    </row>
    <row r="31" spans="1:12">
      <c r="A31" s="3759" t="s">
        <v>3132</v>
      </c>
      <c r="B31" s="3746">
        <f>ROUNDUP(B22/0.2,0)/2</f>
        <v>9.5</v>
      </c>
      <c r="C31" s="3760">
        <f>B21+B29+0.2*2+B30+B25/4</f>
        <v>4.76</v>
      </c>
      <c r="D31" s="3747">
        <f>B31*C31*0.0123</f>
        <v>0.55620599999999998</v>
      </c>
      <c r="I31" s="3759" t="s">
        <v>3132</v>
      </c>
      <c r="J31" s="3746">
        <f>ROUNDUP(J22/0.2,0)/2</f>
        <v>14</v>
      </c>
      <c r="K31" s="3760">
        <f>J21+J29+0.2*2+J30+J25/4</f>
        <v>4.76</v>
      </c>
      <c r="L31" s="3747">
        <f>J31*K31*0.0123</f>
        <v>0.81967199999999996</v>
      </c>
    </row>
    <row r="32" spans="1:12">
      <c r="A32" s="3749" t="s">
        <v>3133</v>
      </c>
      <c r="B32" s="3155">
        <f>ROUNDUP(B22/0.2,0)/2</f>
        <v>9.5</v>
      </c>
      <c r="C32" s="3750">
        <f>B21+B29+0.2*2+B30+B26/4</f>
        <v>3.85</v>
      </c>
      <c r="D32" s="1899">
        <f t="shared" ref="D32:D34" si="2">B32*C32*0.0123</f>
        <v>0.44987250000000001</v>
      </c>
      <c r="I32" s="3749" t="s">
        <v>3133</v>
      </c>
      <c r="J32" s="3155">
        <f>ROUNDUP(J22/0.2,0)/2</f>
        <v>14</v>
      </c>
      <c r="K32" s="3750">
        <f>J21+J29+0.2*2+J30+J26/4</f>
        <v>3.85</v>
      </c>
      <c r="L32" s="1899">
        <f t="shared" ref="L32:L34" si="3">J32*K32*0.0123</f>
        <v>0.66296999999999995</v>
      </c>
    </row>
    <row r="33" spans="1:12">
      <c r="A33" s="3749" t="s">
        <v>3134</v>
      </c>
      <c r="B33" s="3155">
        <f>ROUNDUP(B21/0.2,0)/2</f>
        <v>9</v>
      </c>
      <c r="C33" s="510">
        <f>0.2*2+B27+B28+B22+B23/4</f>
        <v>4.8875000000000002</v>
      </c>
      <c r="D33" s="1899">
        <f t="shared" si="2"/>
        <v>0.54104624999999995</v>
      </c>
      <c r="I33" s="3749" t="s">
        <v>3134</v>
      </c>
      <c r="J33" s="3155">
        <f>ROUNDUP(J21/0.2,0)/2</f>
        <v>9</v>
      </c>
      <c r="K33" s="510">
        <f>0.2*2+J27+J28+J22+J23/4</f>
        <v>6.5674999999999999</v>
      </c>
      <c r="L33" s="1899">
        <f t="shared" si="3"/>
        <v>0.72702224999999998</v>
      </c>
    </row>
    <row r="34" spans="1:12" ht="13.5" thickBot="1">
      <c r="A34" s="3751" t="s">
        <v>3135</v>
      </c>
      <c r="B34" s="3752">
        <f>ROUNDUP(B21/0.2,0)/2</f>
        <v>9</v>
      </c>
      <c r="C34" s="3753">
        <f>0.2*2+B27+B28+B22+B24/4</f>
        <v>5.09</v>
      </c>
      <c r="D34" s="3754">
        <f t="shared" si="2"/>
        <v>0.56346300000000005</v>
      </c>
      <c r="I34" s="3751" t="s">
        <v>3135</v>
      </c>
      <c r="J34" s="3752">
        <f>ROUNDUP(J21/0.2,0)/2</f>
        <v>9</v>
      </c>
      <c r="K34" s="3753">
        <f>0.2*2+J27+J28+J22+J24/4</f>
        <v>5.83</v>
      </c>
      <c r="L34" s="3754">
        <f t="shared" si="3"/>
        <v>0.64538099999999998</v>
      </c>
    </row>
    <row r="35" spans="1:12" ht="15.75" thickBot="1">
      <c r="A35" s="4197"/>
      <c r="B35" s="4197"/>
      <c r="D35" s="4198">
        <f>SUBTOTAL(9,D31:D34)</f>
        <v>2.1105877500000001</v>
      </c>
      <c r="I35" s="4197"/>
      <c r="J35" s="4197"/>
      <c r="L35" s="4198">
        <f>SUBTOTAL(9,L31:L34)</f>
        <v>2.8550452499999999</v>
      </c>
    </row>
    <row r="36" spans="1:12" ht="13.5" thickBot="1">
      <c r="A36" s="3761" t="s">
        <v>3126</v>
      </c>
      <c r="B36" s="3762">
        <v>3</v>
      </c>
      <c r="C36" s="3763"/>
      <c r="D36" s="3764"/>
      <c r="I36" s="3761" t="s">
        <v>3126</v>
      </c>
      <c r="J36" s="3762">
        <v>3</v>
      </c>
      <c r="K36" s="3763"/>
      <c r="L36" s="3764"/>
    </row>
    <row r="37" spans="1:12">
      <c r="A37" s="3748" t="s">
        <v>3130</v>
      </c>
      <c r="B37" s="3758">
        <v>3.45</v>
      </c>
      <c r="C37" s="510"/>
      <c r="D37" s="1899"/>
      <c r="I37" s="3748" t="s">
        <v>3130</v>
      </c>
      <c r="J37" s="3758">
        <v>1.78</v>
      </c>
      <c r="K37" s="510"/>
      <c r="L37" s="1899"/>
    </row>
    <row r="38" spans="1:12" ht="13.5" thickBot="1">
      <c r="A38" s="3756" t="s">
        <v>3131</v>
      </c>
      <c r="B38" s="3757">
        <v>1.42</v>
      </c>
      <c r="C38" s="510"/>
      <c r="D38" s="1899"/>
      <c r="I38" s="3756" t="s">
        <v>3131</v>
      </c>
      <c r="J38" s="3757">
        <v>2.92</v>
      </c>
      <c r="K38" s="510"/>
      <c r="L38" s="1899"/>
    </row>
    <row r="39" spans="1:12">
      <c r="A39" s="3745" t="s">
        <v>3127</v>
      </c>
      <c r="B39" s="3755">
        <v>3.75</v>
      </c>
      <c r="C39" s="510"/>
      <c r="D39" s="1899"/>
      <c r="I39" s="3745" t="s">
        <v>3127</v>
      </c>
      <c r="J39" s="3755">
        <v>3.75</v>
      </c>
      <c r="K39" s="510"/>
      <c r="L39" s="1899"/>
    </row>
    <row r="40" spans="1:12">
      <c r="A40" s="3748" t="s">
        <v>3128</v>
      </c>
      <c r="B40" s="3758">
        <v>0</v>
      </c>
      <c r="C40" s="510"/>
      <c r="D40" s="1899"/>
      <c r="I40" s="3748" t="s">
        <v>3128</v>
      </c>
      <c r="J40" s="3758">
        <v>0</v>
      </c>
      <c r="K40" s="510"/>
      <c r="L40" s="1899"/>
    </row>
    <row r="41" spans="1:12">
      <c r="A41" s="3748" t="s">
        <v>540</v>
      </c>
      <c r="B41" s="3758">
        <v>3.63</v>
      </c>
      <c r="C41" s="510"/>
      <c r="D41" s="1899"/>
      <c r="I41" s="3748" t="s">
        <v>540</v>
      </c>
      <c r="J41" s="3758">
        <v>3.63</v>
      </c>
      <c r="K41" s="510"/>
      <c r="L41" s="1899"/>
    </row>
    <row r="42" spans="1:12" ht="13.5" thickBot="1">
      <c r="A42" s="3756" t="s">
        <v>3129</v>
      </c>
      <c r="B42" s="3757">
        <v>0</v>
      </c>
      <c r="C42" s="510"/>
      <c r="D42" s="1899"/>
      <c r="I42" s="3756" t="s">
        <v>3129</v>
      </c>
      <c r="J42" s="3757">
        <v>0</v>
      </c>
      <c r="K42" s="510"/>
      <c r="L42" s="1899"/>
    </row>
    <row r="43" spans="1:12">
      <c r="A43" s="3745" t="s">
        <v>3136</v>
      </c>
      <c r="B43" s="3755">
        <v>0</v>
      </c>
      <c r="C43" s="510"/>
      <c r="D43" s="1899"/>
      <c r="I43" s="3745" t="s">
        <v>3136</v>
      </c>
      <c r="J43" s="3755">
        <v>0</v>
      </c>
      <c r="K43" s="510"/>
      <c r="L43" s="1899"/>
    </row>
    <row r="44" spans="1:12">
      <c r="A44" s="3748" t="s">
        <v>3137</v>
      </c>
      <c r="B44" s="3758">
        <v>0</v>
      </c>
      <c r="C44" s="510"/>
      <c r="D44" s="1899"/>
      <c r="I44" s="3748" t="s">
        <v>3137</v>
      </c>
      <c r="J44" s="3758">
        <v>0</v>
      </c>
      <c r="K44" s="510"/>
      <c r="L44" s="1899"/>
    </row>
    <row r="45" spans="1:12">
      <c r="A45" s="3748" t="s">
        <v>3138</v>
      </c>
      <c r="B45" s="3758">
        <v>0</v>
      </c>
      <c r="C45" s="510"/>
      <c r="D45" s="1899"/>
      <c r="I45" s="3748" t="s">
        <v>3138</v>
      </c>
      <c r="J45" s="3758">
        <v>0</v>
      </c>
      <c r="K45" s="510"/>
      <c r="L45" s="1899"/>
    </row>
    <row r="46" spans="1:12" ht="13.5" thickBot="1">
      <c r="A46" s="3748" t="s">
        <v>3139</v>
      </c>
      <c r="B46" s="3758">
        <v>0</v>
      </c>
      <c r="C46" s="510"/>
      <c r="D46" s="1899"/>
      <c r="I46" s="3748" t="s">
        <v>3139</v>
      </c>
      <c r="J46" s="3758">
        <v>0</v>
      </c>
      <c r="K46" s="510"/>
      <c r="L46" s="1899"/>
    </row>
    <row r="47" spans="1:12">
      <c r="A47" s="3759" t="s">
        <v>3132</v>
      </c>
      <c r="B47" s="3746">
        <f>ROUNDUP(B38/0.2,0)/2</f>
        <v>4</v>
      </c>
      <c r="C47" s="3760">
        <f>B37+B45+0.2*2+B46+B41/4</f>
        <v>4.76</v>
      </c>
      <c r="D47" s="3747">
        <f>B47*C47*0.0123</f>
        <v>0.23419200000000001</v>
      </c>
      <c r="I47" s="3759" t="s">
        <v>3132</v>
      </c>
      <c r="J47" s="3746">
        <f>ROUNDUP(J38/0.2,0)/2</f>
        <v>7.5</v>
      </c>
      <c r="K47" s="3760">
        <f>J37+J45+0.2*2+J46+J41/4</f>
        <v>3.09</v>
      </c>
      <c r="L47" s="3747">
        <f>J47*K47*0.0123</f>
        <v>0.28505249999999999</v>
      </c>
    </row>
    <row r="48" spans="1:12">
      <c r="A48" s="3749" t="s">
        <v>3133</v>
      </c>
      <c r="B48" s="3155">
        <f>ROUNDUP(B38/0.2,0)/2</f>
        <v>4</v>
      </c>
      <c r="C48" s="3750">
        <f>B37+B45+0.2*2+B46+B42/4</f>
        <v>3.85</v>
      </c>
      <c r="D48" s="1899">
        <f t="shared" ref="D48:D50" si="4">B48*C48*0.0123</f>
        <v>0.18942000000000001</v>
      </c>
      <c r="I48" s="3749" t="s">
        <v>3133</v>
      </c>
      <c r="J48" s="3155">
        <f>ROUNDUP(J38/0.2,0)/2</f>
        <v>7.5</v>
      </c>
      <c r="K48" s="3750">
        <f>J37+J45+0.2*2+J46+J42/4</f>
        <v>2.1800000000000002</v>
      </c>
      <c r="L48" s="1899">
        <f t="shared" ref="L48:L50" si="5">J48*K48*0.0123</f>
        <v>0.20110500000000001</v>
      </c>
    </row>
    <row r="49" spans="1:12">
      <c r="A49" s="3749" t="s">
        <v>3134</v>
      </c>
      <c r="B49" s="3155">
        <f>ROUNDUP(B37/0.2,0)/2</f>
        <v>9</v>
      </c>
      <c r="C49" s="510">
        <f>0.2*2+B43+B44+B38+B39/4</f>
        <v>2.7574999999999998</v>
      </c>
      <c r="D49" s="1899">
        <f t="shared" si="4"/>
        <v>0.30525524999999998</v>
      </c>
      <c r="I49" s="3749" t="s">
        <v>3134</v>
      </c>
      <c r="J49" s="3155">
        <f>ROUNDUP(J37/0.2,0)/2</f>
        <v>4.5</v>
      </c>
      <c r="K49" s="510">
        <f>0.2*2+J43+J44+J38+J39/4</f>
        <v>4.2575000000000003</v>
      </c>
      <c r="L49" s="1899">
        <f t="shared" si="5"/>
        <v>0.235652625</v>
      </c>
    </row>
    <row r="50" spans="1:12" ht="13.5" thickBot="1">
      <c r="A50" s="3751" t="s">
        <v>3135</v>
      </c>
      <c r="B50" s="3752">
        <f>ROUNDUP(B37/0.2,0)/2</f>
        <v>9</v>
      </c>
      <c r="C50" s="3753">
        <f>0.2*2+B43+B44+B38+B40/4</f>
        <v>1.82</v>
      </c>
      <c r="D50" s="3754">
        <f t="shared" si="4"/>
        <v>0.20147399999999999</v>
      </c>
      <c r="I50" s="3751" t="s">
        <v>3135</v>
      </c>
      <c r="J50" s="3752">
        <f>ROUNDUP(J37/0.2,0)/2</f>
        <v>4.5</v>
      </c>
      <c r="K50" s="3753">
        <f>0.2*2+J43+J44+J38+J40/4</f>
        <v>3.32</v>
      </c>
      <c r="L50" s="3754">
        <f t="shared" si="5"/>
        <v>0.18376200000000001</v>
      </c>
    </row>
    <row r="51" spans="1:12" ht="15.75" thickBot="1">
      <c r="A51" s="4197"/>
      <c r="B51" s="4197"/>
      <c r="D51" s="4198">
        <f>SUBTOTAL(9,D47:D50)</f>
        <v>0.93034125000000001</v>
      </c>
      <c r="I51" s="4197"/>
      <c r="J51" s="4197"/>
      <c r="L51" s="4198">
        <f>SUBTOTAL(9,L47:L50)</f>
        <v>0.90557212499999995</v>
      </c>
    </row>
    <row r="52" spans="1:12" ht="13.5" thickBot="1">
      <c r="A52" s="3761" t="s">
        <v>3126</v>
      </c>
      <c r="B52" s="3762">
        <v>4</v>
      </c>
      <c r="C52" s="3763"/>
      <c r="D52" s="3764"/>
      <c r="I52" s="3761" t="s">
        <v>3126</v>
      </c>
      <c r="J52" s="3762">
        <v>4</v>
      </c>
      <c r="K52" s="3763"/>
      <c r="L52" s="3764"/>
    </row>
    <row r="53" spans="1:12">
      <c r="A53" s="3748" t="s">
        <v>3130</v>
      </c>
      <c r="B53" s="3758">
        <v>1.77</v>
      </c>
      <c r="C53" s="510"/>
      <c r="D53" s="1899"/>
      <c r="I53" s="3748" t="s">
        <v>3130</v>
      </c>
      <c r="J53" s="3758">
        <v>3.63</v>
      </c>
      <c r="K53" s="510"/>
      <c r="L53" s="1899"/>
    </row>
    <row r="54" spans="1:12" ht="13.5" thickBot="1">
      <c r="A54" s="3756" t="s">
        <v>3131</v>
      </c>
      <c r="B54" s="3757">
        <v>3.12</v>
      </c>
      <c r="C54" s="510"/>
      <c r="D54" s="1899"/>
      <c r="I54" s="3756" t="s">
        <v>3131</v>
      </c>
      <c r="J54" s="3757">
        <v>5.4</v>
      </c>
      <c r="K54" s="510"/>
      <c r="L54" s="1899"/>
    </row>
    <row r="55" spans="1:12">
      <c r="A55" s="3745" t="s">
        <v>3127</v>
      </c>
      <c r="B55" s="3755">
        <v>0</v>
      </c>
      <c r="C55" s="510"/>
      <c r="D55" s="1899"/>
      <c r="I55" s="3745" t="s">
        <v>3127</v>
      </c>
      <c r="J55" s="3755">
        <v>2.92</v>
      </c>
      <c r="K55" s="510"/>
      <c r="L55" s="1899"/>
    </row>
    <row r="56" spans="1:12">
      <c r="A56" s="3748" t="s">
        <v>3128</v>
      </c>
      <c r="B56" s="3758">
        <v>5.67</v>
      </c>
      <c r="C56" s="510"/>
      <c r="D56" s="1899"/>
      <c r="I56" s="3748" t="s">
        <v>3128</v>
      </c>
      <c r="J56" s="3758">
        <v>0</v>
      </c>
      <c r="K56" s="510"/>
      <c r="L56" s="1899"/>
    </row>
    <row r="57" spans="1:12">
      <c r="A57" s="3748" t="s">
        <v>540</v>
      </c>
      <c r="B57" s="3758">
        <v>0</v>
      </c>
      <c r="C57" s="510"/>
      <c r="D57" s="1899"/>
      <c r="I57" s="3748" t="s">
        <v>540</v>
      </c>
      <c r="J57" s="3758">
        <v>0</v>
      </c>
      <c r="K57" s="510"/>
      <c r="L57" s="1899"/>
    </row>
    <row r="58" spans="1:12" ht="13.5" thickBot="1">
      <c r="A58" s="3756" t="s">
        <v>3129</v>
      </c>
      <c r="B58" s="3757">
        <v>3.45</v>
      </c>
      <c r="C58" s="510"/>
      <c r="D58" s="1899"/>
      <c r="I58" s="3756" t="s">
        <v>3129</v>
      </c>
      <c r="J58" s="3757">
        <v>3.45</v>
      </c>
      <c r="K58" s="510"/>
      <c r="L58" s="1899"/>
    </row>
    <row r="59" spans="1:12">
      <c r="A59" s="3745" t="s">
        <v>3136</v>
      </c>
      <c r="B59" s="3755">
        <v>0</v>
      </c>
      <c r="C59" s="510"/>
      <c r="D59" s="1899"/>
      <c r="I59" s="3745" t="s">
        <v>3136</v>
      </c>
      <c r="J59" s="3755">
        <v>0</v>
      </c>
      <c r="K59" s="510"/>
      <c r="L59" s="1899"/>
    </row>
    <row r="60" spans="1:12">
      <c r="A60" s="3748" t="s">
        <v>3137</v>
      </c>
      <c r="B60" s="3758">
        <v>0</v>
      </c>
      <c r="C60" s="510"/>
      <c r="D60" s="1899"/>
      <c r="I60" s="3748" t="s">
        <v>3137</v>
      </c>
      <c r="J60" s="3758">
        <v>0</v>
      </c>
      <c r="K60" s="510"/>
      <c r="L60" s="1899"/>
    </row>
    <row r="61" spans="1:12">
      <c r="A61" s="3748" t="s">
        <v>3138</v>
      </c>
      <c r="B61" s="3758">
        <v>0</v>
      </c>
      <c r="C61" s="510"/>
      <c r="D61" s="1899"/>
      <c r="I61" s="3748" t="s">
        <v>3138</v>
      </c>
      <c r="J61" s="3758">
        <v>0</v>
      </c>
      <c r="K61" s="510"/>
      <c r="L61" s="1899"/>
    </row>
    <row r="62" spans="1:12" ht="13.5" thickBot="1">
      <c r="A62" s="3748" t="s">
        <v>3139</v>
      </c>
      <c r="B62" s="3758">
        <v>0</v>
      </c>
      <c r="C62" s="510"/>
      <c r="D62" s="1899"/>
      <c r="I62" s="3748" t="s">
        <v>3139</v>
      </c>
      <c r="J62" s="3758">
        <v>0</v>
      </c>
      <c r="K62" s="510"/>
      <c r="L62" s="1899"/>
    </row>
    <row r="63" spans="1:12">
      <c r="A63" s="3759" t="s">
        <v>3132</v>
      </c>
      <c r="B63" s="3746">
        <f>ROUNDUP(B54/0.2,0)/2</f>
        <v>8</v>
      </c>
      <c r="C63" s="3760">
        <f>B53+B61+0.2*2+B62+B57/4</f>
        <v>2.17</v>
      </c>
      <c r="D63" s="3747">
        <f>B63*C63*0.0123</f>
        <v>0.213528</v>
      </c>
      <c r="I63" s="3759" t="s">
        <v>3132</v>
      </c>
      <c r="J63" s="3746">
        <f>ROUNDUP(J54/0.2,0)/2</f>
        <v>13.5</v>
      </c>
      <c r="K63" s="3760">
        <f>J53+J61+0.2*2+J62+J57/4</f>
        <v>4.03</v>
      </c>
      <c r="L63" s="3747">
        <f>J63*K63*0.0123</f>
        <v>0.66918149999999998</v>
      </c>
    </row>
    <row r="64" spans="1:12">
      <c r="A64" s="3749" t="s">
        <v>3133</v>
      </c>
      <c r="B64" s="3155">
        <f>ROUNDUP(B54/0.2,0)/2</f>
        <v>8</v>
      </c>
      <c r="C64" s="3750">
        <f>B53+B61+0.2*2+B62+B58/4</f>
        <v>3.03</v>
      </c>
      <c r="D64" s="1899">
        <f t="shared" ref="D64:D66" si="6">B64*C64*0.0123</f>
        <v>0.29815199999999997</v>
      </c>
      <c r="I64" s="3749" t="s">
        <v>3133</v>
      </c>
      <c r="J64" s="3155">
        <f>ROUNDUP(J54/0.2,0)/2</f>
        <v>13.5</v>
      </c>
      <c r="K64" s="3750">
        <f>J53+J61+0.2*2+J62+J58/4</f>
        <v>4.8899999999999997</v>
      </c>
      <c r="L64" s="1899">
        <f t="shared" ref="L64:L66" si="7">J64*K64*0.0123</f>
        <v>0.8119845</v>
      </c>
    </row>
    <row r="65" spans="1:15">
      <c r="A65" s="3749" t="s">
        <v>3134</v>
      </c>
      <c r="B65" s="3155">
        <f>ROUNDUP(B53/0.2,0)/2</f>
        <v>4.5</v>
      </c>
      <c r="C65" s="510">
        <f>0.2*2+B59+B60+B54+B55/4</f>
        <v>3.52</v>
      </c>
      <c r="D65" s="1899">
        <f t="shared" si="6"/>
        <v>0.19483200000000001</v>
      </c>
      <c r="I65" s="3749" t="s">
        <v>3134</v>
      </c>
      <c r="J65" s="3155">
        <f>ROUNDUP(J53/0.2,0)/2</f>
        <v>9.5</v>
      </c>
      <c r="K65" s="510">
        <f>0.2*2+J59+J60+J54+J55/4</f>
        <v>6.53</v>
      </c>
      <c r="L65" s="1899">
        <f t="shared" si="7"/>
        <v>0.76303049999999994</v>
      </c>
    </row>
    <row r="66" spans="1:15" ht="13.5" thickBot="1">
      <c r="A66" s="3751" t="s">
        <v>3135</v>
      </c>
      <c r="B66" s="3752">
        <f>ROUNDUP(B53/0.2,0)/2</f>
        <v>4.5</v>
      </c>
      <c r="C66" s="3753">
        <f>0.2*2+B59+B60+B54+B56/4</f>
        <v>4.9400000000000004</v>
      </c>
      <c r="D66" s="3754">
        <f t="shared" si="6"/>
        <v>0.27342899999999998</v>
      </c>
      <c r="I66" s="3751" t="s">
        <v>3135</v>
      </c>
      <c r="J66" s="3752">
        <f>ROUNDUP(J53/0.2,0)/2</f>
        <v>9.5</v>
      </c>
      <c r="K66" s="3753">
        <f>0.2*2+J59+J60+J54+J56/4</f>
        <v>5.8</v>
      </c>
      <c r="L66" s="3754">
        <f t="shared" si="7"/>
        <v>0.67773000000000005</v>
      </c>
    </row>
    <row r="67" spans="1:15" ht="15.75" thickBot="1">
      <c r="A67" s="4197"/>
      <c r="B67" s="4197"/>
      <c r="D67" s="4198">
        <f>SUBTOTAL(9,D63:D66)</f>
        <v>0.97994099999999995</v>
      </c>
      <c r="I67" s="4197"/>
      <c r="J67" s="4197"/>
      <c r="L67" s="4198">
        <f>SUBTOTAL(9,L63:L66)</f>
        <v>2.9219265000000001</v>
      </c>
    </row>
    <row r="68" spans="1:15" ht="13.5" thickBot="1">
      <c r="A68" s="3761" t="s">
        <v>3126</v>
      </c>
      <c r="B68" s="3762">
        <v>5</v>
      </c>
      <c r="C68" s="3763"/>
      <c r="D68" s="3764"/>
      <c r="I68" s="4201"/>
      <c r="J68" s="4201"/>
      <c r="K68" s="4201"/>
      <c r="L68" s="4201"/>
      <c r="M68" s="4201"/>
      <c r="N68" s="4201"/>
      <c r="O68" s="4201"/>
    </row>
    <row r="69" spans="1:15">
      <c r="A69" s="3748" t="s">
        <v>3130</v>
      </c>
      <c r="B69" s="3758">
        <v>3.63</v>
      </c>
      <c r="C69" s="510"/>
      <c r="D69" s="1899"/>
      <c r="I69" s="4201"/>
      <c r="J69" s="4201"/>
      <c r="K69" s="4201"/>
      <c r="L69" s="4201"/>
      <c r="M69" s="4201"/>
      <c r="N69" s="4201"/>
      <c r="O69" s="4201"/>
    </row>
    <row r="70" spans="1:15" ht="13.5" thickBot="1">
      <c r="A70" s="3756" t="s">
        <v>3131</v>
      </c>
      <c r="B70" s="3757">
        <v>5.65</v>
      </c>
      <c r="C70" s="510"/>
      <c r="D70" s="1899"/>
      <c r="I70" s="4201"/>
      <c r="J70" s="4201"/>
      <c r="K70" s="4201"/>
      <c r="L70" s="4201"/>
      <c r="M70" s="4201"/>
      <c r="N70" s="4201"/>
      <c r="O70" s="4201"/>
    </row>
    <row r="71" spans="1:15">
      <c r="A71" s="3745" t="s">
        <v>3127</v>
      </c>
      <c r="B71" s="3755">
        <v>3.12</v>
      </c>
      <c r="C71" s="510"/>
      <c r="D71" s="1899"/>
      <c r="I71" s="4201"/>
      <c r="J71" s="4201"/>
      <c r="K71" s="4201"/>
      <c r="L71" s="4201"/>
      <c r="M71" s="4201"/>
      <c r="N71" s="4201"/>
      <c r="O71" s="4201"/>
    </row>
    <row r="72" spans="1:15">
      <c r="A72" s="3748" t="s">
        <v>3128</v>
      </c>
      <c r="B72" s="3758">
        <v>0</v>
      </c>
      <c r="C72" s="510"/>
      <c r="D72" s="1899"/>
      <c r="I72" s="4201"/>
      <c r="J72" s="4201"/>
      <c r="K72" s="4201"/>
      <c r="L72" s="4201"/>
      <c r="M72" s="4201"/>
      <c r="N72" s="4201"/>
      <c r="O72" s="4201"/>
    </row>
    <row r="73" spans="1:15">
      <c r="A73" s="3748" t="s">
        <v>540</v>
      </c>
      <c r="B73" s="3758">
        <v>0</v>
      </c>
      <c r="C73" s="510"/>
      <c r="D73" s="1899"/>
      <c r="I73" s="4201"/>
      <c r="J73" s="4201"/>
      <c r="K73" s="4201"/>
      <c r="L73" s="4201"/>
      <c r="M73" s="4201"/>
      <c r="N73" s="4201"/>
      <c r="O73" s="4201"/>
    </row>
    <row r="74" spans="1:15" ht="13.5" thickBot="1">
      <c r="A74" s="3756" t="s">
        <v>3129</v>
      </c>
      <c r="B74" s="3757">
        <v>3.42</v>
      </c>
      <c r="C74" s="510"/>
      <c r="D74" s="1899"/>
      <c r="I74" s="4201"/>
      <c r="J74" s="4201"/>
      <c r="K74" s="4201"/>
      <c r="L74" s="4201"/>
      <c r="M74" s="4201"/>
      <c r="N74" s="4201"/>
      <c r="O74" s="4201"/>
    </row>
    <row r="75" spans="1:15">
      <c r="A75" s="3745" t="s">
        <v>3136</v>
      </c>
      <c r="B75" s="3755">
        <v>0</v>
      </c>
      <c r="C75" s="510"/>
      <c r="D75" s="1899"/>
      <c r="I75" s="4201"/>
      <c r="J75" s="4201"/>
      <c r="K75" s="4201"/>
      <c r="L75" s="4201"/>
      <c r="M75" s="4201"/>
      <c r="N75" s="4201"/>
      <c r="O75" s="4201"/>
    </row>
    <row r="76" spans="1:15">
      <c r="A76" s="3748" t="s">
        <v>3137</v>
      </c>
      <c r="B76" s="3758">
        <v>0</v>
      </c>
      <c r="C76" s="510"/>
      <c r="D76" s="1899"/>
      <c r="I76" s="4201"/>
      <c r="J76" s="4201"/>
      <c r="K76" s="4201"/>
      <c r="L76" s="4201"/>
      <c r="M76" s="4201"/>
      <c r="N76" s="4201"/>
      <c r="O76" s="4201"/>
    </row>
    <row r="77" spans="1:15">
      <c r="A77" s="3748" t="s">
        <v>3138</v>
      </c>
      <c r="B77" s="3758">
        <v>0</v>
      </c>
      <c r="C77" s="510"/>
      <c r="D77" s="1899"/>
      <c r="I77" s="4201"/>
      <c r="J77" s="4201"/>
      <c r="K77" s="4201"/>
      <c r="L77" s="4201"/>
      <c r="M77" s="4201"/>
      <c r="N77" s="4201"/>
      <c r="O77" s="4201"/>
    </row>
    <row r="78" spans="1:15" ht="13.5" thickBot="1">
      <c r="A78" s="3748" t="s">
        <v>3139</v>
      </c>
      <c r="B78" s="3758">
        <v>0</v>
      </c>
      <c r="C78" s="510"/>
      <c r="D78" s="1899"/>
      <c r="I78" s="4201"/>
      <c r="J78" s="4201"/>
      <c r="K78" s="4201"/>
      <c r="L78" s="4201"/>
      <c r="M78" s="4201"/>
      <c r="N78" s="4201"/>
      <c r="O78" s="4201"/>
    </row>
    <row r="79" spans="1:15">
      <c r="A79" s="3759" t="s">
        <v>3132</v>
      </c>
      <c r="B79" s="3746">
        <f>ROUNDUP(B70/0.2,0)/2</f>
        <v>14.5</v>
      </c>
      <c r="C79" s="3760">
        <f>B69+B77+0.2*2+B78+B73/4</f>
        <v>4.03</v>
      </c>
      <c r="D79" s="3747">
        <f>B79*C79*0.0123</f>
        <v>0.71875049999999996</v>
      </c>
      <c r="I79" s="4201"/>
      <c r="J79" s="4201"/>
      <c r="K79" s="4201"/>
      <c r="L79" s="4201"/>
      <c r="M79" s="4201"/>
      <c r="N79" s="4201"/>
      <c r="O79" s="4201"/>
    </row>
    <row r="80" spans="1:15">
      <c r="A80" s="3749" t="s">
        <v>3133</v>
      </c>
      <c r="B80" s="3155">
        <f>ROUNDUP(B70/0.2,0)/2</f>
        <v>14.5</v>
      </c>
      <c r="C80" s="3750">
        <f>B69+B77+0.2*2+B78+B74/4</f>
        <v>4.8899999999999997</v>
      </c>
      <c r="D80" s="1899">
        <f t="shared" ref="D80:D82" si="8">B80*C80*0.0123</f>
        <v>0.87213149999999995</v>
      </c>
      <c r="I80" s="4201"/>
      <c r="J80" s="4201"/>
      <c r="K80" s="4201"/>
      <c r="L80" s="4201"/>
      <c r="M80" s="4201"/>
      <c r="N80" s="4201"/>
      <c r="O80" s="4201"/>
    </row>
    <row r="81" spans="1:15">
      <c r="A81" s="3749" t="s">
        <v>3134</v>
      </c>
      <c r="B81" s="3155">
        <f>ROUNDUP(B69/0.2,0)/2</f>
        <v>9.5</v>
      </c>
      <c r="C81" s="510">
        <f>0.2*2+B75+B76+B70+B71/4</f>
        <v>6.83</v>
      </c>
      <c r="D81" s="1899">
        <f t="shared" si="8"/>
        <v>0.7980855</v>
      </c>
      <c r="I81" s="4201"/>
      <c r="J81" s="4201"/>
      <c r="K81" s="4201"/>
      <c r="L81" s="4201"/>
      <c r="M81" s="4201"/>
      <c r="N81" s="4201"/>
      <c r="O81" s="4201"/>
    </row>
    <row r="82" spans="1:15" ht="13.5" thickBot="1">
      <c r="A82" s="3751" t="s">
        <v>3135</v>
      </c>
      <c r="B82" s="3752">
        <f>ROUNDUP(B69/0.2,0)/2</f>
        <v>9.5</v>
      </c>
      <c r="C82" s="3753">
        <f>0.2*2+B75+B76+B70+B72/4</f>
        <v>6.05</v>
      </c>
      <c r="D82" s="3754">
        <f t="shared" si="8"/>
        <v>0.70694250000000003</v>
      </c>
      <c r="I82" s="4201"/>
      <c r="J82" s="4201"/>
      <c r="K82" s="4201"/>
      <c r="L82" s="4201"/>
      <c r="M82" s="4201"/>
      <c r="N82" s="4201"/>
      <c r="O82" s="4201"/>
    </row>
    <row r="83" spans="1:15" ht="15">
      <c r="A83" s="4197"/>
      <c r="B83" s="4197"/>
      <c r="D83" s="4198">
        <f>SUBTOTAL(9,D79:D82)</f>
        <v>3.0959099999999999</v>
      </c>
      <c r="I83" s="4197"/>
      <c r="J83" s="4197"/>
      <c r="K83" s="4201"/>
      <c r="L83" s="4201"/>
    </row>
    <row r="84" spans="1:15">
      <c r="A84" s="4197"/>
      <c r="B84" s="4197"/>
      <c r="G84" s="4196"/>
      <c r="I84" s="4197"/>
      <c r="J84" s="4197"/>
    </row>
    <row r="85" spans="1:15">
      <c r="A85" s="4197"/>
      <c r="B85" s="4197"/>
      <c r="G85" s="4196">
        <f>1*3*0.0123*1.15</f>
        <v>4.2435E-2</v>
      </c>
      <c r="I85" s="4197"/>
      <c r="J85" s="4197"/>
      <c r="O85" s="4196">
        <f>1*3*0.0123*1.15</f>
        <v>4.2435E-2</v>
      </c>
    </row>
    <row r="86" spans="1:15">
      <c r="A86" s="4197" t="s">
        <v>3140</v>
      </c>
      <c r="B86" s="4197"/>
      <c r="G86" s="4196">
        <f>1*4*0.0219*1.15</f>
        <v>0.10074</v>
      </c>
      <c r="I86" s="4197" t="s">
        <v>3140</v>
      </c>
      <c r="J86" s="4197"/>
      <c r="O86" s="4196">
        <f>1*4*0.0219*1.15</f>
        <v>0.10074</v>
      </c>
    </row>
    <row r="87" spans="1:15">
      <c r="A87" s="4197" t="s">
        <v>3141</v>
      </c>
      <c r="B87" s="4197">
        <f>ROUNDUP(3.45/0.4,0)</f>
        <v>9</v>
      </c>
      <c r="C87" s="4196">
        <f>2.95/3+0.2+3.75/3</f>
        <v>2.43333333333333</v>
      </c>
      <c r="D87" s="4196">
        <f>0.0123*C87*B87</f>
        <v>0.26937</v>
      </c>
      <c r="G87" s="4196">
        <f>6.67*(0.4*2+0.12+0.11*2)*0.0123*1.15</f>
        <v>0.107555751</v>
      </c>
      <c r="I87" s="4197" t="s">
        <v>3141</v>
      </c>
      <c r="J87" s="4197">
        <f>ROUNDUP(3.45/0.4,0)</f>
        <v>9</v>
      </c>
      <c r="K87" s="4196">
        <f>2.95/3+0.2+3.75/3</f>
        <v>2.43333333333333</v>
      </c>
      <c r="O87" s="4196">
        <f>6.67*(0.4*2+0.12+0.11*2)*0.0123*1.15</f>
        <v>0.107555751</v>
      </c>
    </row>
    <row r="88" spans="1:15">
      <c r="A88" s="4197" t="s">
        <v>3142</v>
      </c>
      <c r="B88" s="4197">
        <f>ROUNDUP(3.9/0.3,0)</f>
        <v>13</v>
      </c>
      <c r="C88" s="4196">
        <f>0.2+1.5+0.2+3.75/3</f>
        <v>3.15</v>
      </c>
      <c r="D88" s="4196">
        <f t="shared" ref="D88" si="9">0.0123*C88*B88</f>
        <v>0.50368500000000005</v>
      </c>
      <c r="G88" s="4196">
        <f>SUM(G85:G87)</f>
        <v>0.25073075099999997</v>
      </c>
      <c r="I88" s="4197" t="s">
        <v>3142</v>
      </c>
      <c r="J88" s="4197">
        <f>ROUNDUP(3.9/0.3,0)</f>
        <v>13</v>
      </c>
      <c r="K88" s="4196">
        <f>0.2+1.5+0.2+3.75/3</f>
        <v>3.15</v>
      </c>
      <c r="O88" s="4196">
        <f>SUM(O85:O87)</f>
        <v>0.25073075099999997</v>
      </c>
    </row>
    <row r="89" spans="1:15">
      <c r="A89" s="4199" t="s">
        <v>3543</v>
      </c>
      <c r="B89" s="4197"/>
      <c r="I89" s="4199" t="s">
        <v>3543</v>
      </c>
      <c r="J89" s="4197"/>
    </row>
    <row r="90" spans="1:15">
      <c r="A90" s="4197" t="s">
        <v>2579</v>
      </c>
      <c r="B90" s="4197">
        <v>4</v>
      </c>
      <c r="C90" s="4196">
        <f>G88</f>
        <v>0.25073075099999997</v>
      </c>
      <c r="D90" s="4196">
        <f>C90*B90</f>
        <v>1.0029230039999999</v>
      </c>
      <c r="I90" s="4197" t="s">
        <v>2579</v>
      </c>
      <c r="J90" s="4197">
        <f>2.92+0.4</f>
        <v>3.32</v>
      </c>
      <c r="K90" s="4196">
        <f>O88</f>
        <v>0.25073075099999997</v>
      </c>
      <c r="L90" s="4196">
        <f>K90*J90</f>
        <v>0.83242609331999995</v>
      </c>
    </row>
    <row r="91" spans="1:15">
      <c r="A91" s="4197"/>
      <c r="B91" s="4197"/>
      <c r="I91" s="4197"/>
      <c r="J91" s="4197"/>
    </row>
    <row r="92" spans="1:15" ht="15">
      <c r="A92" s="4197"/>
      <c r="B92" s="4197"/>
      <c r="D92" s="4200">
        <f>SUBTOTAL(9,D4:D90)</f>
        <v>10.489421004</v>
      </c>
      <c r="I92" s="4197"/>
      <c r="J92" s="4197"/>
      <c r="L92" s="4200">
        <f>SUBTOTAL(9,L4:L90)</f>
        <v>9.2091719683199997</v>
      </c>
    </row>
    <row r="93" spans="1:15">
      <c r="A93" s="4197"/>
      <c r="B93" s="4197"/>
      <c r="I93" s="4197"/>
      <c r="J93" s="4197"/>
    </row>
    <row r="94" spans="1:15">
      <c r="A94" s="4197"/>
      <c r="B94" s="4197"/>
      <c r="I94" s="4197"/>
      <c r="J94" s="4197"/>
    </row>
    <row r="95" spans="1:15">
      <c r="A95" s="4197" t="s">
        <v>3544</v>
      </c>
      <c r="B95" s="4197"/>
      <c r="C95" s="4196">
        <f>0.12</f>
        <v>0.12</v>
      </c>
      <c r="D95" s="4196">
        <f>17.012+10.17+25.7</f>
        <v>52.881999999999998</v>
      </c>
      <c r="I95" s="4197" t="s">
        <v>3544</v>
      </c>
      <c r="J95" s="4197"/>
      <c r="K95" s="4196">
        <f>0.12</f>
        <v>0.12</v>
      </c>
      <c r="L95" s="4196">
        <f>10.17+18.59+5.2+21.18</f>
        <v>55.14</v>
      </c>
      <c r="N95" s="4196">
        <f>55*0.12</f>
        <v>6.6</v>
      </c>
    </row>
    <row r="96" spans="1:15" ht="15">
      <c r="A96" s="4197"/>
      <c r="B96" s="4197"/>
      <c r="D96" s="4200">
        <f>C95*D95</f>
        <v>6.3458399999999999</v>
      </c>
      <c r="I96" s="4197"/>
      <c r="J96" s="4197"/>
      <c r="L96" s="4200">
        <f>K95*L95</f>
        <v>6.6167999999999996</v>
      </c>
    </row>
    <row r="97" spans="1:12">
      <c r="A97" s="4197"/>
      <c r="B97" s="4197"/>
      <c r="I97" s="4197"/>
      <c r="J97" s="4197"/>
    </row>
    <row r="98" spans="1:12">
      <c r="A98" s="4197"/>
      <c r="B98" s="4197"/>
      <c r="C98" s="4196" t="s">
        <v>3545</v>
      </c>
      <c r="D98" s="4196">
        <f>D92/D96</f>
        <v>1.65296020763209</v>
      </c>
      <c r="I98" s="4197"/>
      <c r="J98" s="4197"/>
      <c r="K98" s="4196" t="s">
        <v>3545</v>
      </c>
      <c r="L98" s="4196">
        <f>L92/L96</f>
        <v>1.3917863571998501</v>
      </c>
    </row>
    <row r="99" spans="1:12">
      <c r="A99" s="4197"/>
      <c r="B99" s="4197"/>
      <c r="C99" s="4196" t="s">
        <v>3547</v>
      </c>
      <c r="D99" s="4196">
        <f>D98*1.15</f>
        <v>1.9009042387769</v>
      </c>
      <c r="I99" s="4197"/>
      <c r="J99" s="4197"/>
      <c r="K99" s="4201" t="s">
        <v>3547</v>
      </c>
      <c r="L99" s="4201">
        <f>L98*1.15</f>
        <v>1.6005543107798299</v>
      </c>
    </row>
    <row r="100" spans="1:12">
      <c r="A100" s="4197"/>
      <c r="B100" s="4197"/>
      <c r="I100" s="4197"/>
      <c r="J100" s="4197"/>
    </row>
    <row r="144" spans="5:13">
      <c r="E144" s="4193" t="s">
        <v>242</v>
      </c>
      <c r="M144" s="4196" t="s">
        <v>242</v>
      </c>
    </row>
  </sheetData>
  <mergeCells count="2">
    <mergeCell ref="A2:D2"/>
    <mergeCell ref="I2:L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C6:H39"/>
  <sheetViews>
    <sheetView workbookViewId="0"/>
  </sheetViews>
  <sheetFormatPr baseColWidth="10" defaultColWidth="11.42578125" defaultRowHeight="12.75"/>
  <sheetData>
    <row r="6" spans="3:8">
      <c r="C6" s="1409" t="s">
        <v>2107</v>
      </c>
      <c r="E6">
        <f>+(47.91*2+64.64*2)</f>
        <v>225.1</v>
      </c>
      <c r="F6">
        <f>+E6*0.2*0.2</f>
        <v>9.0039999999999996</v>
      </c>
    </row>
    <row r="8" spans="3:8">
      <c r="C8">
        <v>47.91</v>
      </c>
      <c r="D8">
        <v>64.64</v>
      </c>
      <c r="E8">
        <f>+D8*C8</f>
        <v>3096.9023999999999</v>
      </c>
      <c r="F8">
        <f>+E8*1.5</f>
        <v>4645.3536000000004</v>
      </c>
    </row>
    <row r="9" spans="3:8">
      <c r="C9">
        <f>47.91*2+64.64*2</f>
        <v>225.1</v>
      </c>
      <c r="F9">
        <f>47.91*64.64*1.5</f>
        <v>4645.3536000000004</v>
      </c>
    </row>
    <row r="12" spans="3:8">
      <c r="G12" s="1409" t="s">
        <v>2108</v>
      </c>
    </row>
    <row r="13" spans="3:8">
      <c r="C13">
        <v>48</v>
      </c>
      <c r="D13">
        <v>3</v>
      </c>
      <c r="E13">
        <f>+C13-D13</f>
        <v>45</v>
      </c>
      <c r="F13">
        <f>+E13/3+1</f>
        <v>16</v>
      </c>
      <c r="G13">
        <v>8</v>
      </c>
      <c r="H13">
        <v>7</v>
      </c>
    </row>
    <row r="14" spans="3:8">
      <c r="C14">
        <v>65</v>
      </c>
      <c r="D14">
        <v>3</v>
      </c>
      <c r="E14">
        <f>+C14-D14</f>
        <v>62</v>
      </c>
      <c r="F14">
        <v>22</v>
      </c>
    </row>
    <row r="16" spans="3:8">
      <c r="F16">
        <f>38*2+4</f>
        <v>80</v>
      </c>
    </row>
    <row r="19" spans="3:6">
      <c r="D19">
        <f>45-(16*0.25)</f>
        <v>41</v>
      </c>
      <c r="E19">
        <f>+D19/2</f>
        <v>20.5</v>
      </c>
      <c r="F19">
        <f>2.4*E19</f>
        <v>49.2</v>
      </c>
    </row>
    <row r="20" spans="3:6">
      <c r="D20">
        <f>62-(21*0.25)</f>
        <v>56.75</v>
      </c>
      <c r="E20">
        <f>+D20/2</f>
        <v>28.375</v>
      </c>
      <c r="F20">
        <f>2.4*E20</f>
        <v>68.099999999999994</v>
      </c>
    </row>
    <row r="21" spans="3:6">
      <c r="F21">
        <f>SUM(F19:F20)</f>
        <v>117.3</v>
      </c>
    </row>
    <row r="22" spans="3:6">
      <c r="F22">
        <f>+F21+3*2.4</f>
        <v>124.5</v>
      </c>
    </row>
    <row r="24" spans="3:6">
      <c r="C24" s="1409" t="s">
        <v>2109</v>
      </c>
    </row>
    <row r="26" spans="3:6">
      <c r="C26">
        <v>0.25</v>
      </c>
      <c r="D26">
        <v>0.45</v>
      </c>
      <c r="E26">
        <f>+(E6)</f>
        <v>225.1</v>
      </c>
      <c r="F26">
        <f>+E26*D26*C26</f>
        <v>25.32375</v>
      </c>
    </row>
    <row r="32" spans="3:6">
      <c r="D32" s="1409">
        <f>0.6/2.4</f>
        <v>0.25</v>
      </c>
    </row>
    <row r="34" spans="3:5">
      <c r="C34">
        <f>0.25*0.25*2.8</f>
        <v>0.17499999999999999</v>
      </c>
    </row>
    <row r="35" spans="3:5">
      <c r="C35">
        <f>0.25*0.45*0.25</f>
        <v>2.8125000000000001E-2</v>
      </c>
    </row>
    <row r="36" spans="3:5">
      <c r="C36" s="1326">
        <f>SUM(C34:C35)</f>
        <v>0.2</v>
      </c>
    </row>
    <row r="39" spans="3:5">
      <c r="C39">
        <f>+(47.91*2+64.64*2)</f>
        <v>225.1</v>
      </c>
      <c r="D39">
        <f>0.25*0.45</f>
        <v>0.1125</v>
      </c>
      <c r="E39">
        <f>+D39*C39</f>
        <v>25.32375</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I23"/>
  <sheetViews>
    <sheetView workbookViewId="0"/>
  </sheetViews>
  <sheetFormatPr baseColWidth="10" defaultColWidth="11.42578125" defaultRowHeight="12.75"/>
  <cols>
    <col min="2" max="2" width="28.42578125" customWidth="1"/>
    <col min="3" max="3" width="45" customWidth="1"/>
    <col min="4" max="4" width="15.28515625" bestFit="1" customWidth="1"/>
  </cols>
  <sheetData>
    <row r="2" spans="2:9" s="1591" customFormat="1">
      <c r="B2" s="1590" t="s">
        <v>2080</v>
      </c>
      <c r="C2" s="1590" t="s">
        <v>2081</v>
      </c>
    </row>
    <row r="3" spans="2:9" s="1043" customFormat="1" ht="15.75">
      <c r="B3" s="1044" t="s">
        <v>2078</v>
      </c>
      <c r="C3" s="1044" t="s">
        <v>2079</v>
      </c>
      <c r="D3" s="1044" t="s">
        <v>2086</v>
      </c>
    </row>
    <row r="4" spans="2:9">
      <c r="B4" t="s">
        <v>2082</v>
      </c>
      <c r="C4" t="s">
        <v>2084</v>
      </c>
      <c r="D4">
        <v>297871173.01999998</v>
      </c>
    </row>
    <row r="5" spans="2:9">
      <c r="B5" t="s">
        <v>2083</v>
      </c>
      <c r="C5" t="s">
        <v>2085</v>
      </c>
      <c r="D5">
        <v>242591075.37</v>
      </c>
    </row>
    <row r="10" spans="2:9">
      <c r="G10" t="s">
        <v>12</v>
      </c>
      <c r="H10" t="s">
        <v>912</v>
      </c>
    </row>
    <row r="11" spans="2:9">
      <c r="G11">
        <v>3.5</v>
      </c>
      <c r="H11">
        <v>3.89</v>
      </c>
      <c r="I11">
        <f>+H11*G11</f>
        <v>13.615</v>
      </c>
    </row>
    <row r="12" spans="2:9">
      <c r="E12">
        <v>18</v>
      </c>
      <c r="G12">
        <v>5.25</v>
      </c>
      <c r="H12">
        <v>2.62</v>
      </c>
      <c r="I12">
        <f t="shared" ref="I12:I19" si="0">+H12*G12</f>
        <v>13.755000000000001</v>
      </c>
    </row>
    <row r="13" spans="2:9">
      <c r="E13">
        <v>18.64</v>
      </c>
      <c r="G13">
        <v>4.75</v>
      </c>
      <c r="H13">
        <f>6.2-3.5</f>
        <v>2.7</v>
      </c>
      <c r="I13">
        <f t="shared" si="0"/>
        <v>12.824999999999999</v>
      </c>
    </row>
    <row r="14" spans="2:9">
      <c r="E14">
        <v>8</v>
      </c>
      <c r="G14">
        <v>6.4</v>
      </c>
      <c r="H14">
        <f>5.97-3.5</f>
        <v>2.4700000000000002</v>
      </c>
      <c r="I14">
        <f t="shared" si="0"/>
        <v>15.808</v>
      </c>
    </row>
    <row r="15" spans="2:9">
      <c r="E15">
        <v>20</v>
      </c>
      <c r="G15">
        <v>1.25</v>
      </c>
      <c r="H15">
        <f>5.71-3.5</f>
        <v>2.21</v>
      </c>
      <c r="I15">
        <f t="shared" si="0"/>
        <v>2.7625000000000002</v>
      </c>
    </row>
    <row r="16" spans="2:9">
      <c r="E16">
        <v>25</v>
      </c>
      <c r="G16">
        <v>2.85</v>
      </c>
      <c r="H16">
        <f>5.24-3.5</f>
        <v>1.74</v>
      </c>
      <c r="I16">
        <f t="shared" si="0"/>
        <v>4.9589999999999996</v>
      </c>
    </row>
    <row r="17" spans="7:9">
      <c r="G17">
        <v>2.48</v>
      </c>
      <c r="H17">
        <f>5.71-3.5</f>
        <v>2.21</v>
      </c>
      <c r="I17">
        <f t="shared" si="0"/>
        <v>5.4808000000000003</v>
      </c>
    </row>
    <row r="18" spans="7:9">
      <c r="I18">
        <f>SUM(I11:I17)</f>
        <v>69.205299999999994</v>
      </c>
    </row>
    <row r="19" spans="7:9">
      <c r="G19">
        <v>14.36</v>
      </c>
      <c r="H19">
        <v>2.31</v>
      </c>
      <c r="I19">
        <f t="shared" si="0"/>
        <v>33.171599999999998</v>
      </c>
    </row>
    <row r="20" spans="7:9">
      <c r="I20">
        <f>+I18*2+I19*2</f>
        <v>204.75380000000001</v>
      </c>
    </row>
    <row r="22" spans="7:9">
      <c r="G22">
        <f>26.48*2</f>
        <v>52.96</v>
      </c>
    </row>
    <row r="23" spans="7:9">
      <c r="G23">
        <f>14.36*2</f>
        <v>28.72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3:O64"/>
  <sheetViews>
    <sheetView workbookViewId="0"/>
  </sheetViews>
  <sheetFormatPr baseColWidth="10" defaultColWidth="11.42578125" defaultRowHeight="12.75"/>
  <sheetData>
    <row r="3" spans="1:5">
      <c r="A3" t="s">
        <v>1765</v>
      </c>
    </row>
    <row r="5" spans="1:5">
      <c r="A5">
        <v>4.0999999999999996</v>
      </c>
      <c r="B5">
        <v>1.4</v>
      </c>
      <c r="C5">
        <v>1.82</v>
      </c>
      <c r="D5">
        <f>+A5*B5*C5</f>
        <v>10.4468</v>
      </c>
      <c r="E5" t="s">
        <v>1897</v>
      </c>
    </row>
    <row r="8" spans="1:5">
      <c r="A8" t="s">
        <v>1902</v>
      </c>
    </row>
    <row r="10" spans="1:5">
      <c r="A10">
        <v>4.0999999999999996</v>
      </c>
      <c r="B10">
        <v>0.2</v>
      </c>
      <c r="C10">
        <v>1.4</v>
      </c>
      <c r="D10">
        <f>+A10*B10*C10</f>
        <v>1.1479999999999999</v>
      </c>
      <c r="E10" t="s">
        <v>1896</v>
      </c>
    </row>
    <row r="12" spans="1:5">
      <c r="A12" t="s">
        <v>1903</v>
      </c>
    </row>
    <row r="14" spans="1:5">
      <c r="A14">
        <v>4.0999999999999996</v>
      </c>
      <c r="B14">
        <v>0.12</v>
      </c>
      <c r="C14">
        <v>1.4</v>
      </c>
      <c r="D14">
        <f>+A14*B14*C14-(3*0.1*0.07+3*0.7*0.7*0.07)</f>
        <v>0.56489999999999996</v>
      </c>
      <c r="E14" t="s">
        <v>1896</v>
      </c>
    </row>
    <row r="16" spans="1:5">
      <c r="A16" s="1409" t="s">
        <v>1907</v>
      </c>
    </row>
    <row r="18" spans="1:5">
      <c r="A18">
        <f>3.7*2+1*4</f>
        <v>11.4</v>
      </c>
      <c r="B18">
        <v>0.2</v>
      </c>
      <c r="C18">
        <v>0.3</v>
      </c>
      <c r="D18">
        <f>+A18*B18*C18*3</f>
        <v>2.052</v>
      </c>
      <c r="E18" t="s">
        <v>1896</v>
      </c>
    </row>
    <row r="21" spans="1:5">
      <c r="A21" t="s">
        <v>1898</v>
      </c>
    </row>
    <row r="23" spans="1:5">
      <c r="A23" t="s">
        <v>1899</v>
      </c>
    </row>
    <row r="25" spans="1:5">
      <c r="A25">
        <f>1.6*2+1*2</f>
        <v>5.2</v>
      </c>
      <c r="B25">
        <v>1.4</v>
      </c>
      <c r="D25">
        <f>+B25*A25</f>
        <v>7.28</v>
      </c>
      <c r="E25" t="s">
        <v>207</v>
      </c>
    </row>
    <row r="27" spans="1:5">
      <c r="A27" t="s">
        <v>1900</v>
      </c>
    </row>
    <row r="29" spans="1:5">
      <c r="A29" t="s">
        <v>1899</v>
      </c>
    </row>
    <row r="31" spans="1:5">
      <c r="A31">
        <f>0.8*2+1</f>
        <v>2.6</v>
      </c>
      <c r="B31">
        <v>1.4</v>
      </c>
      <c r="D31">
        <f>+B31*A31</f>
        <v>3.64</v>
      </c>
      <c r="E31" t="s">
        <v>207</v>
      </c>
    </row>
    <row r="33" spans="1:13">
      <c r="A33" t="s">
        <v>1901</v>
      </c>
    </row>
    <row r="34" spans="1:13">
      <c r="I34">
        <v>1.4</v>
      </c>
      <c r="J34">
        <v>1.4</v>
      </c>
      <c r="K34">
        <v>5</v>
      </c>
      <c r="L34">
        <f>+K34*J34*I34</f>
        <v>9.8000000000000007</v>
      </c>
    </row>
    <row r="35" spans="1:13">
      <c r="A35" t="s">
        <v>1899</v>
      </c>
      <c r="I35">
        <v>1.2</v>
      </c>
      <c r="J35">
        <v>1.4</v>
      </c>
      <c r="K35">
        <v>2</v>
      </c>
      <c r="L35">
        <f>+K35*J35*I35</f>
        <v>3.36</v>
      </c>
    </row>
    <row r="36" spans="1:13">
      <c r="I36">
        <v>0.5</v>
      </c>
      <c r="J36">
        <v>0.9</v>
      </c>
      <c r="K36">
        <v>1</v>
      </c>
      <c r="L36">
        <f>+K36*J36*I36</f>
        <v>0.45</v>
      </c>
    </row>
    <row r="37" spans="1:13">
      <c r="A37">
        <f>0.9*2+1</f>
        <v>2.8</v>
      </c>
      <c r="B37">
        <v>1.4</v>
      </c>
      <c r="D37">
        <f>+B37*A37</f>
        <v>3.92</v>
      </c>
      <c r="E37" t="s">
        <v>207</v>
      </c>
      <c r="L37">
        <f>SUM(L34:L36)</f>
        <v>13.61</v>
      </c>
    </row>
    <row r="40" spans="1:13">
      <c r="A40" t="s">
        <v>900</v>
      </c>
    </row>
    <row r="41" spans="1:13">
      <c r="J41">
        <v>6.24</v>
      </c>
      <c r="K41">
        <v>7.75</v>
      </c>
      <c r="L41">
        <f>+K41*J41</f>
        <v>48.36</v>
      </c>
      <c r="M41">
        <f>+L41*2</f>
        <v>96.72</v>
      </c>
    </row>
    <row r="42" spans="1:13">
      <c r="A42" s="1409" t="s">
        <v>1904</v>
      </c>
    </row>
    <row r="44" spans="1:13">
      <c r="A44">
        <v>1.3</v>
      </c>
      <c r="B44">
        <v>1.3</v>
      </c>
      <c r="C44">
        <v>1.2</v>
      </c>
      <c r="D44">
        <f>+A44*B44*C44-(3*0.1*0.07+3*0.7*0.7*0.07)</f>
        <v>1.9040999999999999</v>
      </c>
      <c r="E44" s="1409" t="s">
        <v>1897</v>
      </c>
    </row>
    <row r="46" spans="1:13">
      <c r="A46" t="s">
        <v>1902</v>
      </c>
    </row>
    <row r="48" spans="1:13">
      <c r="A48">
        <v>1.3</v>
      </c>
      <c r="B48">
        <v>1.3</v>
      </c>
      <c r="C48">
        <v>0.1</v>
      </c>
      <c r="D48">
        <f>+A48*B48*C48</f>
        <v>0.16900000000000001</v>
      </c>
      <c r="E48" t="s">
        <v>1896</v>
      </c>
    </row>
    <row r="50" spans="1:15">
      <c r="A50" s="1409" t="s">
        <v>1905</v>
      </c>
    </row>
    <row r="52" spans="1:15">
      <c r="A52">
        <v>1.3</v>
      </c>
      <c r="B52">
        <v>1.3</v>
      </c>
      <c r="C52">
        <v>0.1</v>
      </c>
      <c r="D52">
        <f>+A52*B52*C52</f>
        <v>0.16900000000000001</v>
      </c>
      <c r="E52" t="s">
        <v>1896</v>
      </c>
    </row>
    <row r="53" spans="1:15">
      <c r="N53">
        <v>1</v>
      </c>
      <c r="O53">
        <v>1.71</v>
      </c>
    </row>
    <row r="54" spans="1:15">
      <c r="A54" s="1409" t="s">
        <v>1906</v>
      </c>
      <c r="N54">
        <v>2</v>
      </c>
      <c r="O54">
        <v>1.7</v>
      </c>
    </row>
    <row r="55" spans="1:15">
      <c r="N55">
        <v>3</v>
      </c>
      <c r="O55">
        <v>1.76</v>
      </c>
    </row>
    <row r="56" spans="1:15">
      <c r="A56">
        <f>1*4</f>
        <v>4</v>
      </c>
      <c r="B56">
        <v>1</v>
      </c>
      <c r="D56">
        <f>+B56*A56</f>
        <v>4</v>
      </c>
      <c r="E56" t="s">
        <v>207</v>
      </c>
      <c r="N56">
        <v>4</v>
      </c>
      <c r="O56">
        <v>1.74</v>
      </c>
    </row>
    <row r="57" spans="1:15">
      <c r="N57">
        <v>5</v>
      </c>
      <c r="O57">
        <v>1.73</v>
      </c>
    </row>
    <row r="58" spans="1:15">
      <c r="N58">
        <v>6</v>
      </c>
      <c r="O58">
        <v>1.8</v>
      </c>
    </row>
    <row r="59" spans="1:15">
      <c r="A59">
        <f>75/3.28</f>
        <v>22.865853658536601</v>
      </c>
      <c r="B59" t="s">
        <v>1895</v>
      </c>
      <c r="N59">
        <v>7</v>
      </c>
      <c r="O59">
        <v>1.73</v>
      </c>
    </row>
    <row r="60" spans="1:15">
      <c r="N60">
        <v>8</v>
      </c>
      <c r="O60">
        <v>1.81</v>
      </c>
    </row>
    <row r="61" spans="1:15">
      <c r="N61">
        <v>9</v>
      </c>
      <c r="O61">
        <v>1.75</v>
      </c>
    </row>
    <row r="62" spans="1:15">
      <c r="N62">
        <v>10</v>
      </c>
      <c r="O62">
        <v>1.81</v>
      </c>
    </row>
    <row r="63" spans="1:15">
      <c r="N63">
        <v>11</v>
      </c>
      <c r="O63">
        <v>1.74</v>
      </c>
    </row>
    <row r="64" spans="1:15">
      <c r="N64">
        <v>12</v>
      </c>
      <c r="O64">
        <v>1.55</v>
      </c>
    </row>
  </sheetData>
  <customSheetViews>
    <customSheetView guid="{43BC9397-3E8C-478C-B548-E4A845A7F82B}">
      <pageMargins left="0.7" right="0.7" top="0.75" bottom="0.75" header="0.3" footer="0.3"/>
      <pageSetup orientation="portrait" r:id="rId1"/>
    </customSheetView>
  </customSheetView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3:J54"/>
  <sheetViews>
    <sheetView workbookViewId="0"/>
  </sheetViews>
  <sheetFormatPr baseColWidth="10" defaultColWidth="11.42578125" defaultRowHeight="12.75"/>
  <cols>
    <col min="2" max="2" width="55.85546875" customWidth="1"/>
    <col min="3" max="3" width="12" customWidth="1"/>
    <col min="4" max="4" width="7.28515625" customWidth="1"/>
    <col min="6" max="6" width="13.140625" customWidth="1"/>
  </cols>
  <sheetData>
    <row r="3" spans="1:10">
      <c r="A3">
        <v>11</v>
      </c>
      <c r="B3" t="s">
        <v>1772</v>
      </c>
    </row>
    <row r="4" spans="1:10" s="6" customFormat="1" ht="8.25" customHeight="1">
      <c r="A4"/>
      <c r="B4"/>
      <c r="C4"/>
      <c r="D4"/>
      <c r="E4"/>
      <c r="F4"/>
    </row>
    <row r="5" spans="1:10" s="6" customFormat="1">
      <c r="A5">
        <v>11.1</v>
      </c>
      <c r="B5" t="s">
        <v>1773</v>
      </c>
      <c r="C5"/>
      <c r="D5"/>
      <c r="E5"/>
      <c r="F5"/>
    </row>
    <row r="6" spans="1:10">
      <c r="A6" t="s">
        <v>488</v>
      </c>
      <c r="B6" t="s">
        <v>1774</v>
      </c>
      <c r="C6">
        <v>1</v>
      </c>
      <c r="D6" t="s">
        <v>3</v>
      </c>
      <c r="E6">
        <v>10000</v>
      </c>
      <c r="F6">
        <f>ROUND(E6*C6,2)</f>
        <v>10000</v>
      </c>
      <c r="H6">
        <f>1600*2</f>
        <v>3200</v>
      </c>
      <c r="I6">
        <f>659*2*3</f>
        <v>3954</v>
      </c>
      <c r="J6">
        <f>+I6+H6</f>
        <v>7154</v>
      </c>
    </row>
    <row r="7" spans="1:10" s="6" customFormat="1">
      <c r="A7" t="s">
        <v>489</v>
      </c>
      <c r="B7" t="s">
        <v>1494</v>
      </c>
      <c r="C7">
        <v>1</v>
      </c>
      <c r="D7" t="s">
        <v>3</v>
      </c>
      <c r="E7">
        <v>1500</v>
      </c>
      <c r="F7">
        <f>ROUND(E7*C7,2)</f>
        <v>1500</v>
      </c>
    </row>
    <row r="8" spans="1:10">
      <c r="A8" t="s">
        <v>490</v>
      </c>
      <c r="B8" t="s">
        <v>1775</v>
      </c>
      <c r="C8">
        <v>1</v>
      </c>
      <c r="D8" t="s">
        <v>3</v>
      </c>
      <c r="E8">
        <v>3500</v>
      </c>
      <c r="F8">
        <f t="shared" ref="F8:F54" si="0">ROUND(E8*C8,2)</f>
        <v>3500</v>
      </c>
    </row>
    <row r="9" spans="1:10" s="6" customFormat="1">
      <c r="A9"/>
      <c r="B9"/>
      <c r="C9"/>
      <c r="D9"/>
      <c r="E9"/>
      <c r="F9"/>
    </row>
    <row r="10" spans="1:10" s="6" customFormat="1">
      <c r="A10">
        <v>11.2</v>
      </c>
      <c r="B10" t="s">
        <v>1776</v>
      </c>
      <c r="C10"/>
      <c r="D10"/>
      <c r="E10"/>
      <c r="F10"/>
    </row>
    <row r="11" spans="1:10" s="6" customFormat="1">
      <c r="A11" t="s">
        <v>491</v>
      </c>
      <c r="B11" t="s">
        <v>1777</v>
      </c>
      <c r="C11">
        <v>2.94</v>
      </c>
      <c r="D11" t="s">
        <v>2</v>
      </c>
      <c r="E11">
        <v>7823.19</v>
      </c>
      <c r="F11">
        <f t="shared" si="0"/>
        <v>23000.18</v>
      </c>
    </row>
    <row r="12" spans="1:10" s="6" customFormat="1">
      <c r="A12" t="s">
        <v>492</v>
      </c>
      <c r="B12" t="s">
        <v>1778</v>
      </c>
      <c r="C12">
        <v>1.1499999999999999</v>
      </c>
      <c r="D12" t="s">
        <v>2</v>
      </c>
      <c r="E12">
        <v>9103.3799999999992</v>
      </c>
      <c r="F12">
        <f t="shared" si="0"/>
        <v>10468.89</v>
      </c>
    </row>
    <row r="13" spans="1:10" s="6" customFormat="1">
      <c r="A13" t="s">
        <v>672</v>
      </c>
      <c r="B13" t="s">
        <v>1779</v>
      </c>
      <c r="C13">
        <v>2.16</v>
      </c>
      <c r="D13" t="s">
        <v>2</v>
      </c>
      <c r="E13">
        <v>16472.759999999998</v>
      </c>
      <c r="F13">
        <f t="shared" si="0"/>
        <v>35581.160000000003</v>
      </c>
    </row>
    <row r="14" spans="1:10" s="6" customFormat="1">
      <c r="A14" t="s">
        <v>1780</v>
      </c>
      <c r="B14" t="s">
        <v>1781</v>
      </c>
      <c r="C14">
        <v>1.1000000000000001</v>
      </c>
      <c r="D14" t="s">
        <v>2</v>
      </c>
      <c r="E14">
        <v>26203.39</v>
      </c>
      <c r="F14">
        <f t="shared" si="0"/>
        <v>28823.73</v>
      </c>
    </row>
    <row r="15" spans="1:10" s="6" customFormat="1">
      <c r="A15" t="s">
        <v>1782</v>
      </c>
      <c r="B15" t="s">
        <v>1783</v>
      </c>
      <c r="C15">
        <v>2.8</v>
      </c>
      <c r="D15" t="s">
        <v>2</v>
      </c>
      <c r="E15">
        <v>11421.01</v>
      </c>
      <c r="F15">
        <f t="shared" si="0"/>
        <v>31978.83</v>
      </c>
    </row>
    <row r="16" spans="1:10" s="6" customFormat="1">
      <c r="A16"/>
      <c r="B16"/>
      <c r="C16"/>
      <c r="D16"/>
      <c r="E16"/>
      <c r="F16"/>
    </row>
    <row r="17" spans="1:6" s="6" customFormat="1">
      <c r="A17">
        <v>11.3</v>
      </c>
      <c r="B17" t="s">
        <v>1784</v>
      </c>
      <c r="C17"/>
      <c r="D17"/>
      <c r="E17"/>
      <c r="F17"/>
    </row>
    <row r="18" spans="1:6" s="6" customFormat="1">
      <c r="A18" t="s">
        <v>1785</v>
      </c>
      <c r="B18" t="s">
        <v>1786</v>
      </c>
      <c r="C18">
        <v>48.4</v>
      </c>
      <c r="D18" t="s">
        <v>11</v>
      </c>
      <c r="E18">
        <v>882.26</v>
      </c>
      <c r="F18">
        <f t="shared" si="0"/>
        <v>42701.38</v>
      </c>
    </row>
    <row r="19" spans="1:6" s="6" customFormat="1">
      <c r="A19"/>
      <c r="B19"/>
      <c r="C19"/>
      <c r="D19"/>
      <c r="E19"/>
      <c r="F19"/>
    </row>
    <row r="20" spans="1:6" s="6" customFormat="1">
      <c r="A20">
        <v>11.4</v>
      </c>
      <c r="B20" t="s">
        <v>859</v>
      </c>
      <c r="C20"/>
      <c r="D20"/>
      <c r="E20"/>
      <c r="F20"/>
    </row>
    <row r="21" spans="1:6" s="6" customFormat="1">
      <c r="A21" t="s">
        <v>1787</v>
      </c>
      <c r="B21" t="s">
        <v>1788</v>
      </c>
      <c r="C21">
        <v>52.24</v>
      </c>
      <c r="D21" t="s">
        <v>11</v>
      </c>
      <c r="E21">
        <v>293.23</v>
      </c>
      <c r="F21">
        <f t="shared" si="0"/>
        <v>15318.34</v>
      </c>
    </row>
    <row r="22" spans="1:6" s="6" customFormat="1">
      <c r="A22" t="s">
        <v>1789</v>
      </c>
      <c r="B22" t="s">
        <v>158</v>
      </c>
      <c r="C22">
        <v>48.4</v>
      </c>
      <c r="D22" t="s">
        <v>11</v>
      </c>
      <c r="E22">
        <v>302.86</v>
      </c>
      <c r="F22">
        <f t="shared" si="0"/>
        <v>14658.42</v>
      </c>
    </row>
    <row r="23" spans="1:6" s="6" customFormat="1">
      <c r="A23" t="s">
        <v>1790</v>
      </c>
      <c r="B23" t="s">
        <v>1791</v>
      </c>
      <c r="C23">
        <v>17.2</v>
      </c>
      <c r="D23" t="s">
        <v>11</v>
      </c>
      <c r="E23">
        <v>302.86</v>
      </c>
      <c r="F23">
        <f t="shared" si="0"/>
        <v>5209.1899999999996</v>
      </c>
    </row>
    <row r="24" spans="1:6" s="6" customFormat="1">
      <c r="A24" t="s">
        <v>1792</v>
      </c>
      <c r="B24" t="s">
        <v>889</v>
      </c>
      <c r="C24">
        <v>23.32</v>
      </c>
      <c r="D24" t="s">
        <v>11</v>
      </c>
      <c r="E24">
        <v>490.9</v>
      </c>
      <c r="F24">
        <f t="shared" si="0"/>
        <v>11447.79</v>
      </c>
    </row>
    <row r="25" spans="1:6" s="6" customFormat="1">
      <c r="A25" t="s">
        <v>1793</v>
      </c>
      <c r="B25" t="s">
        <v>1794</v>
      </c>
      <c r="C25">
        <v>117.84</v>
      </c>
      <c r="D25" t="s">
        <v>11</v>
      </c>
      <c r="E25">
        <v>124.55</v>
      </c>
      <c r="F25">
        <f t="shared" si="0"/>
        <v>14676.97</v>
      </c>
    </row>
    <row r="26" spans="1:6" s="6" customFormat="1">
      <c r="A26" t="s">
        <v>1795</v>
      </c>
      <c r="B26" t="s">
        <v>1796</v>
      </c>
      <c r="C26">
        <v>17.2</v>
      </c>
      <c r="D26" t="s">
        <v>11</v>
      </c>
      <c r="E26">
        <v>592.75</v>
      </c>
      <c r="F26">
        <f t="shared" si="0"/>
        <v>10195.299999999999</v>
      </c>
    </row>
    <row r="27" spans="1:6" s="6" customFormat="1">
      <c r="A27" t="s">
        <v>1797</v>
      </c>
      <c r="B27" t="s">
        <v>618</v>
      </c>
      <c r="C27">
        <v>70.8</v>
      </c>
      <c r="D27" t="s">
        <v>1</v>
      </c>
      <c r="E27">
        <v>77.97</v>
      </c>
      <c r="F27">
        <f t="shared" si="0"/>
        <v>5520.28</v>
      </c>
    </row>
    <row r="28" spans="1:6" s="6" customFormat="1">
      <c r="A28" t="s">
        <v>1798</v>
      </c>
      <c r="B28" t="s">
        <v>862</v>
      </c>
      <c r="C28">
        <v>3.56</v>
      </c>
      <c r="D28" t="s">
        <v>11</v>
      </c>
      <c r="E28">
        <v>426.25</v>
      </c>
      <c r="F28">
        <f t="shared" si="0"/>
        <v>1517.45</v>
      </c>
    </row>
    <row r="29" spans="1:6" s="6" customFormat="1">
      <c r="A29" t="s">
        <v>1799</v>
      </c>
      <c r="B29" t="s">
        <v>792</v>
      </c>
      <c r="C29">
        <v>17.8</v>
      </c>
      <c r="D29" t="s">
        <v>1</v>
      </c>
      <c r="E29">
        <v>162.14782500000001</v>
      </c>
      <c r="F29">
        <f t="shared" si="0"/>
        <v>2886.23</v>
      </c>
    </row>
    <row r="30" spans="1:6" s="6" customFormat="1">
      <c r="A30" t="s">
        <v>1800</v>
      </c>
      <c r="B30" t="s">
        <v>1801</v>
      </c>
      <c r="C30">
        <v>10.68</v>
      </c>
      <c r="D30" t="s">
        <v>11</v>
      </c>
      <c r="E30">
        <v>689.67</v>
      </c>
      <c r="F30">
        <f t="shared" si="0"/>
        <v>7365.68</v>
      </c>
    </row>
    <row r="31" spans="1:6" s="6" customFormat="1">
      <c r="A31" t="s">
        <v>1802</v>
      </c>
      <c r="B31" t="s">
        <v>1803</v>
      </c>
      <c r="C31">
        <v>29.38</v>
      </c>
      <c r="D31" t="s">
        <v>2</v>
      </c>
      <c r="E31">
        <v>650</v>
      </c>
      <c r="F31">
        <f t="shared" si="0"/>
        <v>19097</v>
      </c>
    </row>
    <row r="32" spans="1:6" s="6" customFormat="1">
      <c r="A32" t="s">
        <v>1804</v>
      </c>
      <c r="B32" t="s">
        <v>1805</v>
      </c>
      <c r="C32">
        <v>27.911000000000001</v>
      </c>
      <c r="D32" t="s">
        <v>2</v>
      </c>
      <c r="E32">
        <v>183.22</v>
      </c>
      <c r="F32">
        <f t="shared" si="0"/>
        <v>5113.8500000000004</v>
      </c>
    </row>
    <row r="33" spans="1:6" s="6" customFormat="1">
      <c r="A33"/>
      <c r="B33"/>
      <c r="C33"/>
      <c r="D33"/>
      <c r="E33"/>
      <c r="F33"/>
    </row>
    <row r="34" spans="1:6" s="6" customFormat="1">
      <c r="A34">
        <v>11.5</v>
      </c>
      <c r="B34" t="s">
        <v>1806</v>
      </c>
      <c r="C34"/>
      <c r="D34"/>
      <c r="E34"/>
      <c r="F34"/>
    </row>
    <row r="35" spans="1:6" s="6" customFormat="1">
      <c r="A35" t="s">
        <v>679</v>
      </c>
      <c r="B35" t="s">
        <v>1807</v>
      </c>
      <c r="C35">
        <v>1</v>
      </c>
      <c r="D35" t="s">
        <v>3</v>
      </c>
      <c r="E35">
        <v>3600</v>
      </c>
      <c r="F35">
        <f t="shared" si="0"/>
        <v>3600</v>
      </c>
    </row>
    <row r="36" spans="1:6" s="6" customFormat="1">
      <c r="A36" t="s">
        <v>684</v>
      </c>
      <c r="B36" t="s">
        <v>1808</v>
      </c>
      <c r="C36">
        <v>2</v>
      </c>
      <c r="D36" t="s">
        <v>3</v>
      </c>
      <c r="E36">
        <v>1370.74</v>
      </c>
      <c r="F36">
        <f t="shared" si="0"/>
        <v>2741.48</v>
      </c>
    </row>
    <row r="37" spans="1:6" s="6" customFormat="1">
      <c r="A37" t="s">
        <v>1809</v>
      </c>
      <c r="B37" t="s">
        <v>1810</v>
      </c>
      <c r="C37">
        <v>2</v>
      </c>
      <c r="D37" t="s">
        <v>3</v>
      </c>
      <c r="E37">
        <v>1420.28</v>
      </c>
      <c r="F37">
        <f t="shared" si="0"/>
        <v>2840.56</v>
      </c>
    </row>
    <row r="38" spans="1:6" s="6" customFormat="1">
      <c r="A38" t="s">
        <v>1811</v>
      </c>
      <c r="B38" t="s">
        <v>869</v>
      </c>
      <c r="C38">
        <v>2</v>
      </c>
      <c r="D38" t="s">
        <v>3</v>
      </c>
      <c r="E38">
        <v>1453.9</v>
      </c>
      <c r="F38">
        <f t="shared" si="0"/>
        <v>2907.8</v>
      </c>
    </row>
    <row r="39" spans="1:6" s="6" customFormat="1">
      <c r="A39" t="s">
        <v>1812</v>
      </c>
      <c r="B39" t="s">
        <v>1813</v>
      </c>
      <c r="C39">
        <v>2</v>
      </c>
      <c r="D39" t="s">
        <v>3</v>
      </c>
      <c r="E39">
        <v>3798.32</v>
      </c>
      <c r="F39">
        <f t="shared" si="0"/>
        <v>7596.64</v>
      </c>
    </row>
    <row r="40" spans="1:6" s="6" customFormat="1">
      <c r="A40" t="s">
        <v>1814</v>
      </c>
      <c r="B40" t="s">
        <v>1815</v>
      </c>
      <c r="C40">
        <v>1</v>
      </c>
      <c r="D40" t="s">
        <v>3</v>
      </c>
      <c r="E40">
        <v>6000</v>
      </c>
      <c r="F40">
        <f t="shared" si="0"/>
        <v>6000</v>
      </c>
    </row>
    <row r="41" spans="1:6" s="6" customFormat="1">
      <c r="A41"/>
      <c r="B41"/>
      <c r="C41"/>
      <c r="D41"/>
      <c r="E41"/>
      <c r="F41"/>
    </row>
    <row r="42" spans="1:6" s="6" customFormat="1">
      <c r="A42">
        <v>11.6</v>
      </c>
      <c r="B42" t="s">
        <v>1816</v>
      </c>
      <c r="C42"/>
      <c r="D42"/>
      <c r="E42"/>
      <c r="F42"/>
    </row>
    <row r="43" spans="1:6" s="6" customFormat="1">
      <c r="A43" t="s">
        <v>1817</v>
      </c>
      <c r="B43" t="s">
        <v>1818</v>
      </c>
      <c r="C43">
        <v>1</v>
      </c>
      <c r="D43" t="s">
        <v>3</v>
      </c>
      <c r="E43">
        <v>161103.6</v>
      </c>
      <c r="F43">
        <f t="shared" si="0"/>
        <v>161103.6</v>
      </c>
    </row>
    <row r="44" spans="1:6" s="6" customFormat="1">
      <c r="A44" t="s">
        <v>1819</v>
      </c>
      <c r="B44" t="s">
        <v>1820</v>
      </c>
      <c r="C44">
        <v>1</v>
      </c>
      <c r="D44" t="s">
        <v>3</v>
      </c>
      <c r="E44">
        <v>39255.199999999997</v>
      </c>
      <c r="F44">
        <f t="shared" si="0"/>
        <v>39255.199999999997</v>
      </c>
    </row>
    <row r="45" spans="1:6" s="6" customFormat="1">
      <c r="A45" t="s">
        <v>1821</v>
      </c>
      <c r="B45" t="s">
        <v>1822</v>
      </c>
      <c r="C45">
        <v>2</v>
      </c>
      <c r="D45" t="s">
        <v>3</v>
      </c>
      <c r="E45">
        <v>165732.25</v>
      </c>
      <c r="F45">
        <f t="shared" si="0"/>
        <v>331464.5</v>
      </c>
    </row>
    <row r="46" spans="1:6" s="6" customFormat="1">
      <c r="A46" t="s">
        <v>1823</v>
      </c>
      <c r="B46" t="s">
        <v>1824</v>
      </c>
      <c r="C46">
        <v>3</v>
      </c>
      <c r="D46" t="s">
        <v>3</v>
      </c>
      <c r="E46">
        <v>4882.5</v>
      </c>
      <c r="F46">
        <f t="shared" si="0"/>
        <v>14647.5</v>
      </c>
    </row>
    <row r="47" spans="1:6" s="6" customFormat="1">
      <c r="A47" t="s">
        <v>1825</v>
      </c>
      <c r="B47" t="s">
        <v>1826</v>
      </c>
      <c r="C47">
        <v>1</v>
      </c>
      <c r="D47" t="s">
        <v>3</v>
      </c>
      <c r="E47">
        <v>60000</v>
      </c>
      <c r="F47">
        <f t="shared" si="0"/>
        <v>60000</v>
      </c>
    </row>
    <row r="48" spans="1:6" s="6" customFormat="1">
      <c r="A48" t="s">
        <v>1827</v>
      </c>
      <c r="B48" t="s">
        <v>1828</v>
      </c>
      <c r="C48">
        <v>1</v>
      </c>
      <c r="D48" t="s">
        <v>3</v>
      </c>
      <c r="E48">
        <v>159500</v>
      </c>
      <c r="F48">
        <f t="shared" si="0"/>
        <v>159500</v>
      </c>
    </row>
    <row r="49" spans="1:6" s="6" customFormat="1">
      <c r="A49" t="s">
        <v>1829</v>
      </c>
      <c r="B49" t="s">
        <v>1830</v>
      </c>
      <c r="C49">
        <v>1</v>
      </c>
      <c r="D49" t="s">
        <v>3</v>
      </c>
      <c r="E49">
        <v>32500</v>
      </c>
      <c r="F49">
        <f t="shared" si="0"/>
        <v>32500</v>
      </c>
    </row>
    <row r="50" spans="1:6" s="6" customFormat="1">
      <c r="A50" t="s">
        <v>1831</v>
      </c>
      <c r="B50" t="s">
        <v>1832</v>
      </c>
      <c r="C50">
        <v>1</v>
      </c>
      <c r="D50" t="s">
        <v>3</v>
      </c>
      <c r="E50">
        <v>25000</v>
      </c>
      <c r="F50">
        <f>ROUND(E50*C50,2)</f>
        <v>25000</v>
      </c>
    </row>
    <row r="51" spans="1:6" s="6" customFormat="1">
      <c r="A51" t="s">
        <v>1833</v>
      </c>
      <c r="B51" t="s">
        <v>1834</v>
      </c>
      <c r="C51">
        <v>1</v>
      </c>
      <c r="D51" t="s">
        <v>3</v>
      </c>
      <c r="E51">
        <v>30000</v>
      </c>
      <c r="F51">
        <f t="shared" si="0"/>
        <v>30000</v>
      </c>
    </row>
    <row r="52" spans="1:6" s="6" customFormat="1">
      <c r="A52" t="s">
        <v>1835</v>
      </c>
      <c r="B52" t="s">
        <v>1836</v>
      </c>
      <c r="C52">
        <v>1</v>
      </c>
      <c r="D52" t="s">
        <v>3</v>
      </c>
      <c r="E52">
        <v>36855</v>
      </c>
      <c r="F52">
        <f t="shared" si="0"/>
        <v>36855</v>
      </c>
    </row>
    <row r="53" spans="1:6" s="6" customFormat="1">
      <c r="A53" t="s">
        <v>1837</v>
      </c>
      <c r="B53" t="s">
        <v>1838</v>
      </c>
      <c r="C53">
        <v>1</v>
      </c>
      <c r="D53" t="s">
        <v>3</v>
      </c>
      <c r="E53">
        <v>2500</v>
      </c>
      <c r="F53">
        <f t="shared" si="0"/>
        <v>2500</v>
      </c>
    </row>
    <row r="54" spans="1:6" s="6" customFormat="1">
      <c r="A54" t="s">
        <v>1839</v>
      </c>
      <c r="B54" t="s">
        <v>1023</v>
      </c>
      <c r="C54">
        <v>1</v>
      </c>
      <c r="D54" t="s">
        <v>3</v>
      </c>
      <c r="E54">
        <v>3500</v>
      </c>
      <c r="F54">
        <f t="shared" si="0"/>
        <v>3500</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8:D30"/>
  <sheetViews>
    <sheetView workbookViewId="0"/>
  </sheetViews>
  <sheetFormatPr baseColWidth="10" defaultColWidth="11.42578125" defaultRowHeight="12.75"/>
  <cols>
    <col min="1" max="1" width="12.5703125" bestFit="1" customWidth="1"/>
    <col min="3" max="3" width="67.85546875" bestFit="1" customWidth="1"/>
  </cols>
  <sheetData>
    <row r="18" spans="1:4">
      <c r="B18">
        <v>1</v>
      </c>
      <c r="C18" s="1409" t="s">
        <v>1961</v>
      </c>
      <c r="D18">
        <v>2</v>
      </c>
    </row>
    <row r="19" spans="1:4">
      <c r="B19">
        <v>2</v>
      </c>
      <c r="C19" s="1409" t="s">
        <v>1962</v>
      </c>
      <c r="D19">
        <v>2</v>
      </c>
    </row>
    <row r="20" spans="1:4">
      <c r="B20">
        <v>3</v>
      </c>
      <c r="C20" s="1409" t="s">
        <v>1963</v>
      </c>
      <c r="D20">
        <v>3</v>
      </c>
    </row>
    <row r="21" spans="1:4">
      <c r="A21" s="1409" t="s">
        <v>1974</v>
      </c>
      <c r="B21">
        <v>4</v>
      </c>
      <c r="C21" t="s">
        <v>1964</v>
      </c>
      <c r="D21">
        <v>2</v>
      </c>
    </row>
    <row r="22" spans="1:4">
      <c r="A22" s="1409" t="s">
        <v>1974</v>
      </c>
      <c r="B22">
        <v>5</v>
      </c>
      <c r="C22" t="s">
        <v>1965</v>
      </c>
      <c r="D22">
        <v>2</v>
      </c>
    </row>
    <row r="23" spans="1:4">
      <c r="B23">
        <v>6</v>
      </c>
      <c r="C23" s="1409" t="s">
        <v>1966</v>
      </c>
      <c r="D23">
        <v>2</v>
      </c>
    </row>
    <row r="24" spans="1:4">
      <c r="B24">
        <v>7</v>
      </c>
      <c r="C24" s="1409" t="s">
        <v>1973</v>
      </c>
      <c r="D24">
        <v>2</v>
      </c>
    </row>
    <row r="25" spans="1:4">
      <c r="B25">
        <v>8</v>
      </c>
      <c r="C25" s="1409" t="s">
        <v>1967</v>
      </c>
      <c r="D25">
        <f>5*2</f>
        <v>10</v>
      </c>
    </row>
    <row r="26" spans="1:4">
      <c r="B26">
        <v>9</v>
      </c>
      <c r="C26" s="1409" t="s">
        <v>1968</v>
      </c>
      <c r="D26">
        <v>3</v>
      </c>
    </row>
    <row r="27" spans="1:4">
      <c r="B27">
        <v>10</v>
      </c>
      <c r="C27" s="1409" t="s">
        <v>1969</v>
      </c>
      <c r="D27">
        <v>4</v>
      </c>
    </row>
    <row r="28" spans="1:4">
      <c r="B28">
        <v>11</v>
      </c>
      <c r="C28" s="1409" t="s">
        <v>1970</v>
      </c>
      <c r="D28">
        <v>1</v>
      </c>
    </row>
    <row r="29" spans="1:4">
      <c r="B29">
        <v>12</v>
      </c>
      <c r="C29" s="1409" t="s">
        <v>1971</v>
      </c>
      <c r="D29">
        <v>2</v>
      </c>
    </row>
    <row r="30" spans="1:4">
      <c r="B30">
        <v>13</v>
      </c>
      <c r="C30" s="1409" t="s">
        <v>1972</v>
      </c>
      <c r="D30">
        <v>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4:M44"/>
  <sheetViews>
    <sheetView workbookViewId="0"/>
  </sheetViews>
  <sheetFormatPr baseColWidth="10" defaultColWidth="11.42578125" defaultRowHeight="12.75"/>
  <cols>
    <col min="1" max="1" width="60.5703125" bestFit="1" customWidth="1"/>
    <col min="2" max="2" width="4.5703125" customWidth="1"/>
    <col min="3" max="3" width="11.42578125" style="1591"/>
  </cols>
  <sheetData>
    <row r="4" spans="1:13">
      <c r="C4" s="1590" t="s">
        <v>1544</v>
      </c>
    </row>
    <row r="5" spans="1:13" s="1598" customFormat="1">
      <c r="A5" s="1658" t="s">
        <v>1534</v>
      </c>
      <c r="B5" s="1659"/>
      <c r="C5" s="1657">
        <v>5.88</v>
      </c>
    </row>
    <row r="6" spans="1:13" s="1598" customFormat="1" ht="25.5">
      <c r="A6" s="1660" t="s">
        <v>1532</v>
      </c>
      <c r="B6" s="1659"/>
      <c r="C6" s="1657">
        <f>8.21+3.28</f>
        <v>11.49</v>
      </c>
      <c r="M6" s="1659" t="s">
        <v>1548</v>
      </c>
    </row>
    <row r="7" spans="1:13" s="1598" customFormat="1">
      <c r="A7" s="1661" t="s">
        <v>1522</v>
      </c>
      <c r="C7" s="1657">
        <v>749.58</v>
      </c>
      <c r="M7" s="1598">
        <f>4.06-0.6</f>
        <v>3.46</v>
      </c>
    </row>
    <row r="8" spans="1:13" s="1598" customFormat="1">
      <c r="A8" s="1661" t="s">
        <v>1523</v>
      </c>
      <c r="C8" s="1657">
        <v>5.97</v>
      </c>
      <c r="H8" s="1598">
        <v>18.95</v>
      </c>
      <c r="I8" s="1598">
        <v>0.8</v>
      </c>
      <c r="J8" s="1598">
        <f>+H8-I8</f>
        <v>18.149999999999999</v>
      </c>
      <c r="M8" s="1598">
        <f>7.41*6</f>
        <v>44.46</v>
      </c>
    </row>
    <row r="9" spans="1:13" s="1598" customFormat="1">
      <c r="A9" s="1661" t="s">
        <v>1524</v>
      </c>
      <c r="C9" s="1657">
        <v>61.98</v>
      </c>
      <c r="H9" s="1598">
        <v>12.86</v>
      </c>
      <c r="I9" s="1598">
        <f>1.05*4</f>
        <v>4.2</v>
      </c>
      <c r="J9" s="1598">
        <f>+I9+H9</f>
        <v>17.059999999999999</v>
      </c>
    </row>
    <row r="10" spans="1:13" s="1598" customFormat="1">
      <c r="A10" s="1658" t="s">
        <v>1525</v>
      </c>
      <c r="C10" s="1657">
        <f>7.74+16.77</f>
        <v>24.51</v>
      </c>
      <c r="H10" s="1598">
        <f>1.28+5.15+1.25+2.85+1.25+1.28</f>
        <v>13.06</v>
      </c>
      <c r="I10" s="1598">
        <f>1.05*4</f>
        <v>4.2</v>
      </c>
      <c r="J10" s="1598">
        <f>+H10+I10</f>
        <v>17.260000000000002</v>
      </c>
    </row>
    <row r="11" spans="1:13" s="1598" customFormat="1">
      <c r="A11" s="1658" t="s">
        <v>1526</v>
      </c>
      <c r="C11" s="1657">
        <v>37.74</v>
      </c>
      <c r="H11" s="1598">
        <f>7.41-4.06+0.25*6+(1.38+0.25+1.38)*2+1.38*8</f>
        <v>21.91</v>
      </c>
      <c r="I11" s="1598">
        <f>12.86-7.41</f>
        <v>5.45</v>
      </c>
      <c r="J11" s="1598">
        <f>+I11+H11</f>
        <v>27.36</v>
      </c>
    </row>
    <row r="12" spans="1:13" s="1598" customFormat="1">
      <c r="A12" s="1661" t="s">
        <v>1527</v>
      </c>
      <c r="C12" s="1657">
        <v>36.979999999999997</v>
      </c>
      <c r="J12" s="1598">
        <f>SUM(J8:J11)</f>
        <v>79.83</v>
      </c>
      <c r="K12" s="1598">
        <f>+(4.92+4.52)/2</f>
        <v>4.72</v>
      </c>
      <c r="L12" s="1662">
        <f>+K12*J12</f>
        <v>376.79759999999999</v>
      </c>
    </row>
    <row r="13" spans="1:13" s="1598" customFormat="1">
      <c r="A13" s="1661" t="s">
        <v>1528</v>
      </c>
      <c r="C13" s="1657">
        <v>14.63</v>
      </c>
    </row>
    <row r="14" spans="1:13" s="1598" customFormat="1">
      <c r="A14" s="1661" t="s">
        <v>1529</v>
      </c>
      <c r="C14" s="1657">
        <v>68.61</v>
      </c>
    </row>
    <row r="15" spans="1:13" s="1598" customFormat="1">
      <c r="A15" s="1658" t="s">
        <v>1530</v>
      </c>
      <c r="C15" s="1657">
        <f>3.37+3.39+11.2</f>
        <v>17.96</v>
      </c>
    </row>
    <row r="16" spans="1:13" s="1598" customFormat="1">
      <c r="A16" s="1658" t="s">
        <v>1531</v>
      </c>
      <c r="C16" s="1657">
        <v>0.28000000000000003</v>
      </c>
    </row>
    <row r="17" spans="1:8">
      <c r="C17" s="1592">
        <f>SUM(C5:C16)</f>
        <v>1035.6099999999999</v>
      </c>
    </row>
    <row r="22" spans="1:8">
      <c r="H22" t="s">
        <v>1549</v>
      </c>
    </row>
    <row r="24" spans="1:8">
      <c r="A24" s="1593" t="s">
        <v>1539</v>
      </c>
      <c r="C24" s="1657">
        <v>250.36</v>
      </c>
      <c r="D24" s="1663"/>
    </row>
    <row r="25" spans="1:8">
      <c r="A25" s="1593" t="s">
        <v>1533</v>
      </c>
      <c r="C25" s="1657">
        <v>22.34</v>
      </c>
      <c r="D25" s="1664"/>
    </row>
    <row r="26" spans="1:8">
      <c r="A26" s="1593" t="s">
        <v>1535</v>
      </c>
      <c r="C26" s="1657">
        <v>5.63</v>
      </c>
      <c r="D26" s="1665" t="s">
        <v>43</v>
      </c>
    </row>
    <row r="27" spans="1:8">
      <c r="A27" s="1593" t="s">
        <v>1536</v>
      </c>
      <c r="C27" s="1657">
        <v>5.7</v>
      </c>
      <c r="D27" s="1664"/>
    </row>
    <row r="28" spans="1:8">
      <c r="A28" s="1593" t="s">
        <v>1537</v>
      </c>
      <c r="C28" s="1657">
        <v>44.02</v>
      </c>
    </row>
    <row r="29" spans="1:8">
      <c r="A29" s="1593" t="s">
        <v>1538</v>
      </c>
      <c r="C29" s="1657">
        <v>7.47</v>
      </c>
    </row>
    <row r="30" spans="1:8">
      <c r="A30" s="1593" t="s">
        <v>1540</v>
      </c>
      <c r="C30" s="1657">
        <v>1.53</v>
      </c>
      <c r="D30" s="1664"/>
    </row>
    <row r="31" spans="1:8">
      <c r="A31" s="1593" t="s">
        <v>1542</v>
      </c>
      <c r="C31" s="1657">
        <v>1.89</v>
      </c>
      <c r="D31" s="1664"/>
    </row>
    <row r="32" spans="1:8">
      <c r="C32" s="1592">
        <f>SUM(C24:C31)</f>
        <v>338.94</v>
      </c>
    </row>
    <row r="35" spans="1:3">
      <c r="A35" s="1593" t="s">
        <v>1541</v>
      </c>
      <c r="C35" s="1657">
        <v>47.75</v>
      </c>
    </row>
    <row r="36" spans="1:3">
      <c r="A36" s="1593" t="s">
        <v>1543</v>
      </c>
      <c r="C36" s="1657">
        <v>3.83</v>
      </c>
    </row>
    <row r="37" spans="1:3">
      <c r="C37" s="1592">
        <f>SUM(C35:C36)</f>
        <v>51.58</v>
      </c>
    </row>
    <row r="40" spans="1:3">
      <c r="C40" s="1591">
        <f>51.58+338.94+1035.61</f>
        <v>1426.13</v>
      </c>
    </row>
    <row r="41" spans="1:3">
      <c r="C41" s="1591">
        <v>452.26</v>
      </c>
    </row>
    <row r="42" spans="1:3">
      <c r="C42" s="1591">
        <v>338.94</v>
      </c>
    </row>
    <row r="43" spans="1:3">
      <c r="C43" s="1591">
        <v>51.58</v>
      </c>
    </row>
    <row r="44" spans="1:3">
      <c r="C44" s="1591">
        <f>+C40-C41-C42-C43</f>
        <v>583.35</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5:C29"/>
  <sheetViews>
    <sheetView workbookViewId="0"/>
  </sheetViews>
  <sheetFormatPr baseColWidth="10" defaultColWidth="11.42578125" defaultRowHeight="12.75"/>
  <cols>
    <col min="2" max="2" width="25.85546875" bestFit="1" customWidth="1"/>
  </cols>
  <sheetData>
    <row r="5" spans="1:2">
      <c r="B5" s="1409" t="s">
        <v>1238</v>
      </c>
    </row>
    <row r="7" spans="1:2">
      <c r="A7" s="1409" t="s">
        <v>482</v>
      </c>
      <c r="B7" s="1409" t="s">
        <v>1238</v>
      </c>
    </row>
    <row r="8" spans="1:2">
      <c r="A8" s="1409" t="s">
        <v>1239</v>
      </c>
      <c r="B8" s="1409" t="s">
        <v>1240</v>
      </c>
    </row>
    <row r="9" spans="1:2">
      <c r="A9" s="1409" t="s">
        <v>1241</v>
      </c>
      <c r="B9" s="1409" t="s">
        <v>1242</v>
      </c>
    </row>
    <row r="10" spans="1:2">
      <c r="A10" s="1409" t="s">
        <v>1243</v>
      </c>
      <c r="B10" s="1409" t="s">
        <v>1244</v>
      </c>
    </row>
    <row r="11" spans="1:2">
      <c r="B11" s="1409" t="s">
        <v>590</v>
      </c>
    </row>
    <row r="12" spans="1:2">
      <c r="B12" s="1409" t="s">
        <v>607</v>
      </c>
    </row>
    <row r="13" spans="1:2">
      <c r="B13" s="1409" t="s">
        <v>626</v>
      </c>
    </row>
    <row r="14" spans="1:2">
      <c r="B14" s="1409" t="s">
        <v>633</v>
      </c>
    </row>
    <row r="15" spans="1:2">
      <c r="B15" s="1409" t="s">
        <v>642</v>
      </c>
    </row>
    <row r="16" spans="1:2">
      <c r="B16" s="1409" t="s">
        <v>662</v>
      </c>
    </row>
    <row r="17" spans="1:3">
      <c r="B17" s="1409" t="s">
        <v>666</v>
      </c>
    </row>
    <row r="18" spans="1:3">
      <c r="B18" s="1409" t="s">
        <v>671</v>
      </c>
    </row>
    <row r="19" spans="1:3">
      <c r="B19" s="1409" t="s">
        <v>673</v>
      </c>
    </row>
    <row r="20" spans="1:3">
      <c r="B20" s="1409" t="s">
        <v>715</v>
      </c>
    </row>
    <row r="21" spans="1:3">
      <c r="B21" s="1409" t="s">
        <v>719</v>
      </c>
    </row>
    <row r="22" spans="1:3">
      <c r="B22" s="1409" t="s">
        <v>723</v>
      </c>
    </row>
    <row r="23" spans="1:3">
      <c r="B23" s="1409" t="s">
        <v>728</v>
      </c>
    </row>
    <row r="24" spans="1:3">
      <c r="B24" s="1409" t="s">
        <v>736</v>
      </c>
    </row>
    <row r="25" spans="1:3">
      <c r="B25" s="1409" t="s">
        <v>741</v>
      </c>
    </row>
    <row r="26" spans="1:3">
      <c r="B26" s="1409" t="s">
        <v>760</v>
      </c>
    </row>
    <row r="27" spans="1:3">
      <c r="B27" s="1409"/>
    </row>
    <row r="28" spans="1:3">
      <c r="A28" s="1409" t="s">
        <v>774</v>
      </c>
      <c r="B28" s="1409" t="s">
        <v>1245</v>
      </c>
      <c r="C28" s="1409" t="s">
        <v>1246</v>
      </c>
    </row>
    <row r="29" spans="1:3">
      <c r="B29" s="1409"/>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C9:J33"/>
  <sheetViews>
    <sheetView workbookViewId="0"/>
  </sheetViews>
  <sheetFormatPr baseColWidth="10" defaultColWidth="11.42578125" defaultRowHeight="12.75"/>
  <sheetData>
    <row r="9" spans="6:10">
      <c r="F9">
        <f>9*2+7.2</f>
        <v>25.2</v>
      </c>
      <c r="G9">
        <v>1.2</v>
      </c>
      <c r="H9">
        <v>0.2</v>
      </c>
      <c r="I9">
        <f>+H9*G9*F9</f>
        <v>6.048</v>
      </c>
    </row>
    <row r="10" spans="6:10">
      <c r="F10">
        <v>4</v>
      </c>
      <c r="G10">
        <f>0.45+0.45+0.3</f>
        <v>1.2</v>
      </c>
      <c r="H10">
        <v>0.15</v>
      </c>
      <c r="I10">
        <f>+H10*G10*F10</f>
        <v>0.72</v>
      </c>
      <c r="J10">
        <f>+I10*1.05</f>
        <v>0.75600000000000001</v>
      </c>
    </row>
    <row r="11" spans="6:10">
      <c r="F11">
        <v>1</v>
      </c>
      <c r="G11">
        <f>0.45+0.45+0.3</f>
        <v>1.2</v>
      </c>
      <c r="H11">
        <v>0.35</v>
      </c>
      <c r="I11">
        <f>+H11*G11*F11</f>
        <v>0.42</v>
      </c>
      <c r="J11">
        <f>+I11*1.05</f>
        <v>0.441</v>
      </c>
    </row>
    <row r="12" spans="6:10">
      <c r="I12">
        <f>SUM(I9:I11)</f>
        <v>7.1879999999999997</v>
      </c>
      <c r="J12" s="1326">
        <f>+I12*1.05</f>
        <v>7.55</v>
      </c>
    </row>
    <row r="19" spans="3:9">
      <c r="G19" s="1409" t="s">
        <v>1564</v>
      </c>
      <c r="I19">
        <f>18.15+12.86*2+13.35</f>
        <v>57.22</v>
      </c>
    </row>
    <row r="20" spans="3:9">
      <c r="C20">
        <f>6.01-1.2</f>
        <v>4.8099999999999996</v>
      </c>
      <c r="D20">
        <v>2</v>
      </c>
      <c r="E20">
        <f>+D20*C20</f>
        <v>9.6199999999999992</v>
      </c>
      <c r="I20">
        <f>0.8*I19</f>
        <v>45.776000000000003</v>
      </c>
    </row>
    <row r="21" spans="3:9">
      <c r="C21">
        <v>4.5</v>
      </c>
      <c r="D21">
        <v>10</v>
      </c>
      <c r="E21">
        <f>+D21*C21</f>
        <v>45</v>
      </c>
    </row>
    <row r="22" spans="3:9">
      <c r="C22">
        <v>12.26</v>
      </c>
      <c r="D22">
        <v>1</v>
      </c>
      <c r="E22">
        <f t="shared" ref="E22:E32" si="0">+D22*C22</f>
        <v>12.26</v>
      </c>
    </row>
    <row r="23" spans="3:9">
      <c r="C23" s="1409">
        <f>9.87+9.87-2.67-0.2</f>
        <v>16.87</v>
      </c>
      <c r="D23">
        <v>1</v>
      </c>
      <c r="E23">
        <f t="shared" si="0"/>
        <v>16.87</v>
      </c>
    </row>
    <row r="24" spans="3:9">
      <c r="C24" s="1409">
        <f>0.98+0.48</f>
        <v>1.46</v>
      </c>
      <c r="D24">
        <v>1</v>
      </c>
      <c r="E24">
        <f t="shared" si="0"/>
        <v>1.46</v>
      </c>
    </row>
    <row r="25" spans="3:9">
      <c r="C25">
        <v>11.36</v>
      </c>
      <c r="D25">
        <v>2</v>
      </c>
      <c r="E25">
        <f t="shared" si="0"/>
        <v>22.72</v>
      </c>
    </row>
    <row r="26" spans="3:9">
      <c r="C26">
        <v>4.83</v>
      </c>
      <c r="D26">
        <v>8</v>
      </c>
      <c r="E26">
        <f t="shared" si="0"/>
        <v>38.64</v>
      </c>
    </row>
    <row r="27" spans="3:9">
      <c r="C27">
        <v>12.26</v>
      </c>
      <c r="D27">
        <v>2</v>
      </c>
      <c r="E27">
        <f t="shared" si="0"/>
        <v>24.52</v>
      </c>
    </row>
    <row r="28" spans="3:9">
      <c r="C28">
        <v>1.03</v>
      </c>
      <c r="D28">
        <v>2</v>
      </c>
      <c r="E28">
        <f t="shared" si="0"/>
        <v>2.06</v>
      </c>
    </row>
    <row r="29" spans="3:9">
      <c r="C29">
        <f>12.26-5*0.45-6*0.2-2*0.15</f>
        <v>8.51</v>
      </c>
      <c r="D29">
        <v>1</v>
      </c>
      <c r="E29">
        <f t="shared" si="0"/>
        <v>8.51</v>
      </c>
    </row>
    <row r="30" spans="3:9">
      <c r="C30">
        <v>3.75</v>
      </c>
      <c r="D30">
        <v>12</v>
      </c>
      <c r="E30">
        <f t="shared" si="0"/>
        <v>45</v>
      </c>
    </row>
    <row r="31" spans="3:9">
      <c r="C31">
        <v>12.26</v>
      </c>
      <c r="D31">
        <v>2</v>
      </c>
      <c r="E31">
        <f t="shared" si="0"/>
        <v>24.52</v>
      </c>
    </row>
    <row r="32" spans="3:9">
      <c r="C32">
        <v>0.98</v>
      </c>
      <c r="D32">
        <v>2</v>
      </c>
      <c r="E32">
        <f t="shared" si="0"/>
        <v>1.96</v>
      </c>
    </row>
    <row r="33" spans="5:5">
      <c r="E33" s="1735">
        <f>SUM(E20:E32)</f>
        <v>253.14</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D15"/>
  <sheetViews>
    <sheetView workbookViewId="0"/>
  </sheetViews>
  <sheetFormatPr baseColWidth="10" defaultColWidth="11.42578125" defaultRowHeight="12.75"/>
  <sheetData>
    <row r="15" spans="4:4">
      <c r="D15">
        <f>13.8/0.2</f>
        <v>69</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H47"/>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3.5" thickBot="1">
      <c r="A2" s="1273" t="s">
        <v>1217</v>
      </c>
      <c r="B2" s="1274"/>
      <c r="C2" s="1275"/>
      <c r="D2" s="1274"/>
      <c r="E2" s="1274"/>
    </row>
    <row r="3" spans="1:8" ht="13.5" thickTop="1">
      <c r="A3" s="1276" t="s">
        <v>1085</v>
      </c>
      <c r="B3" s="1277">
        <v>1.05</v>
      </c>
      <c r="C3" s="1278" t="s">
        <v>2</v>
      </c>
      <c r="D3" s="1277">
        <v>8030.02</v>
      </c>
      <c r="E3" s="1279">
        <f>B3*D3</f>
        <v>8431.52</v>
      </c>
      <c r="G3" s="1269">
        <v>5701</v>
      </c>
    </row>
    <row r="4" spans="1:8">
      <c r="A4" s="1280" t="s">
        <v>272</v>
      </c>
      <c r="B4" s="1281">
        <v>1.4</v>
      </c>
      <c r="C4" s="1282" t="s">
        <v>126</v>
      </c>
      <c r="D4" s="1281">
        <v>2745.66</v>
      </c>
      <c r="E4" s="1283">
        <f>B4*D4</f>
        <v>3843.92</v>
      </c>
      <c r="F4" s="1268">
        <f>15.54/11.42</f>
        <v>1.36077057793345</v>
      </c>
      <c r="G4" s="1269">
        <v>2745.66</v>
      </c>
      <c r="H4" s="1317">
        <f>16.96/12.1</f>
        <v>1.40165289256198</v>
      </c>
    </row>
    <row r="5" spans="1:8" ht="13.5" thickBot="1">
      <c r="A5" s="1284"/>
      <c r="B5" s="1285"/>
      <c r="C5" s="1286"/>
      <c r="D5" s="1287" t="s">
        <v>1031</v>
      </c>
      <c r="E5" s="1318">
        <f>SUM(E3:E4)</f>
        <v>12275.44</v>
      </c>
    </row>
    <row r="6" spans="1:8" ht="13.5" thickTop="1">
      <c r="A6" s="1289"/>
      <c r="B6" s="1290"/>
      <c r="C6" s="1289"/>
      <c r="D6" s="1291"/>
      <c r="E6" s="1291"/>
    </row>
    <row r="7" spans="1:8" ht="13.5" thickBot="1">
      <c r="A7" s="1292" t="s">
        <v>1216</v>
      </c>
      <c r="B7" s="1274"/>
      <c r="C7" s="1275"/>
      <c r="D7" s="1274"/>
      <c r="E7" s="1274"/>
    </row>
    <row r="8" spans="1:8" ht="13.5" thickTop="1">
      <c r="A8" s="1276" t="s">
        <v>1085</v>
      </c>
      <c r="B8" s="1277">
        <v>1.05</v>
      </c>
      <c r="C8" s="1278" t="s">
        <v>2</v>
      </c>
      <c r="D8" s="1277">
        <f>D3</f>
        <v>8030.02</v>
      </c>
      <c r="E8" s="1279">
        <f>B8*D8</f>
        <v>8431.52</v>
      </c>
    </row>
    <row r="9" spans="1:8">
      <c r="A9" s="1280" t="s">
        <v>272</v>
      </c>
      <c r="B9" s="1281">
        <v>3.26</v>
      </c>
      <c r="C9" s="1282" t="s">
        <v>126</v>
      </c>
      <c r="D9" s="1281">
        <f>D4</f>
        <v>2745.66</v>
      </c>
      <c r="E9" s="1283">
        <f>B9*D9</f>
        <v>8950.85</v>
      </c>
      <c r="F9" s="1268">
        <f>20.01/5.98</f>
        <v>3.3461538461538498</v>
      </c>
      <c r="H9" s="1317">
        <f>22.55/6.91</f>
        <v>3.2633863965267702</v>
      </c>
    </row>
    <row r="10" spans="1:8" ht="13.5" thickBot="1">
      <c r="A10" s="1284"/>
      <c r="B10" s="1285"/>
      <c r="C10" s="1286"/>
      <c r="D10" s="1287" t="s">
        <v>1031</v>
      </c>
      <c r="E10" s="1318">
        <f>SUM(E8:E9)</f>
        <v>17382.37</v>
      </c>
    </row>
    <row r="11" spans="1:8" ht="13.5" thickTop="1">
      <c r="A11" s="1293"/>
      <c r="B11" s="1294"/>
      <c r="C11" s="1293"/>
      <c r="D11" s="1294"/>
      <c r="E11" s="1294"/>
    </row>
    <row r="12" spans="1:8" ht="13.5" thickBot="1">
      <c r="A12" s="1292" t="s">
        <v>1218</v>
      </c>
      <c r="B12" s="1274"/>
      <c r="C12" s="1275"/>
      <c r="D12" s="1274"/>
      <c r="E12" s="1274"/>
    </row>
    <row r="13" spans="1:8" ht="14.25" thickTop="1" thickBot="1">
      <c r="A13" s="1276" t="s">
        <v>1085</v>
      </c>
      <c r="B13" s="1277">
        <v>1.05</v>
      </c>
      <c r="C13" s="1278" t="s">
        <v>2</v>
      </c>
      <c r="D13" s="1277">
        <f>D3</f>
        <v>8030.02</v>
      </c>
      <c r="E13" s="1279">
        <f>B13*D13</f>
        <v>8431.52</v>
      </c>
    </row>
    <row r="14" spans="1:8" ht="14.25" thickTop="1" thickBot="1">
      <c r="A14" s="1280" t="s">
        <v>272</v>
      </c>
      <c r="B14" s="1281">
        <v>4.09</v>
      </c>
      <c r="C14" s="1282" t="s">
        <v>126</v>
      </c>
      <c r="D14" s="1281">
        <f>D4</f>
        <v>2745.66</v>
      </c>
      <c r="E14" s="1279">
        <f>B14*D14</f>
        <v>11229.75</v>
      </c>
      <c r="F14" s="1268">
        <f>((45.14)/4)/(10.92/4)</f>
        <v>4.1336996336996297</v>
      </c>
      <c r="G14" s="1268">
        <f>56.42/13.8</f>
        <v>4.0884057971014496</v>
      </c>
    </row>
    <row r="15" spans="1:8" ht="13.5" thickTop="1">
      <c r="A15" s="1280" t="s">
        <v>1089</v>
      </c>
      <c r="B15" s="1281">
        <v>10</v>
      </c>
      <c r="C15" s="1295" t="s">
        <v>11</v>
      </c>
      <c r="D15" s="1281">
        <v>550</v>
      </c>
      <c r="E15" s="1279">
        <f>B15*D15</f>
        <v>5500</v>
      </c>
      <c r="F15" s="1268">
        <f>(1/0.2)*2</f>
        <v>10</v>
      </c>
    </row>
    <row r="16" spans="1:8" ht="13.5" thickBot="1">
      <c r="A16" s="1284"/>
      <c r="B16" s="1285"/>
      <c r="C16" s="1286"/>
      <c r="D16" s="1287" t="s">
        <v>1031</v>
      </c>
      <c r="E16" s="1318">
        <f>SUM(E13:E15)</f>
        <v>25161.27</v>
      </c>
    </row>
    <row r="17" spans="1:7" ht="13.5" thickTop="1">
      <c r="A17" s="1296"/>
      <c r="B17" s="1294"/>
      <c r="C17" s="1293"/>
      <c r="D17" s="1294"/>
      <c r="E17" s="1294"/>
    </row>
    <row r="18" spans="1:7" ht="13.5" thickBot="1">
      <c r="A18" s="1297" t="s">
        <v>1207</v>
      </c>
      <c r="B18" s="1274"/>
      <c r="C18" s="1275"/>
      <c r="D18" s="1274"/>
      <c r="E18" s="1274"/>
    </row>
    <row r="19" spans="1:7" ht="13.5" thickTop="1">
      <c r="A19" s="1276" t="s">
        <v>1085</v>
      </c>
      <c r="B19" s="1277">
        <v>1.05</v>
      </c>
      <c r="C19" s="1278" t="s">
        <v>2</v>
      </c>
      <c r="D19" s="1277">
        <f>D3</f>
        <v>8030.02</v>
      </c>
      <c r="E19" s="1279">
        <f>B19*D19</f>
        <v>8431.52</v>
      </c>
    </row>
    <row r="20" spans="1:7">
      <c r="A20" s="1280" t="s">
        <v>272</v>
      </c>
      <c r="B20" s="1281">
        <v>1.7</v>
      </c>
      <c r="C20" s="1282" t="s">
        <v>126</v>
      </c>
      <c r="D20" s="1281">
        <f>D14</f>
        <v>2745.66</v>
      </c>
      <c r="E20" s="1283">
        <f>B20*D20</f>
        <v>4667.62</v>
      </c>
      <c r="F20" s="1268">
        <f>0.85/0.5</f>
        <v>1.7</v>
      </c>
      <c r="G20" s="1268">
        <f>0.85/0.5</f>
        <v>1.7</v>
      </c>
    </row>
    <row r="21" spans="1:7">
      <c r="A21" s="1280" t="s">
        <v>1089</v>
      </c>
      <c r="B21" s="1281"/>
      <c r="C21" s="1295"/>
      <c r="D21" s="1281"/>
      <c r="E21" s="1283"/>
    </row>
    <row r="22" spans="1:7" ht="13.5" thickBot="1">
      <c r="A22" s="1284"/>
      <c r="B22" s="1285"/>
      <c r="C22" s="1286"/>
      <c r="D22" s="1287" t="s">
        <v>1031</v>
      </c>
      <c r="E22" s="1318">
        <f>SUM(E19:E21)</f>
        <v>13099.14</v>
      </c>
    </row>
    <row r="23" spans="1:7" ht="13.5" thickTop="1">
      <c r="A23" s="1296"/>
      <c r="B23" s="1294"/>
      <c r="C23" s="1293"/>
      <c r="D23" s="1294"/>
      <c r="E23" s="1294"/>
    </row>
    <row r="24" spans="1:7" ht="13.5" thickBot="1">
      <c r="A24" s="1292" t="s">
        <v>1219</v>
      </c>
      <c r="B24" s="1274"/>
      <c r="C24" s="1275"/>
      <c r="D24" s="1274"/>
      <c r="E24" s="1274"/>
    </row>
    <row r="25" spans="1:7" ht="13.5" thickTop="1">
      <c r="A25" s="1276" t="s">
        <v>1085</v>
      </c>
      <c r="B25" s="1277">
        <v>1.05</v>
      </c>
      <c r="C25" s="1278" t="s">
        <v>2</v>
      </c>
      <c r="D25" s="1277">
        <f>D3</f>
        <v>8030.02</v>
      </c>
      <c r="E25" s="1279">
        <f>B25*D25</f>
        <v>8431.52</v>
      </c>
    </row>
    <row r="26" spans="1:7">
      <c r="A26" s="1280" t="s">
        <v>1208</v>
      </c>
      <c r="B26" s="1281">
        <v>7.02</v>
      </c>
      <c r="C26" s="1282" t="s">
        <v>126</v>
      </c>
      <c r="D26" s="1281">
        <f>D20</f>
        <v>2745.66</v>
      </c>
      <c r="E26" s="1283">
        <f>B26*D26</f>
        <v>19274.53</v>
      </c>
      <c r="F26" s="1268">
        <f>6.78/0.95</f>
        <v>7.1368421052631597</v>
      </c>
      <c r="G26" s="1268">
        <f>7.93/1.13</f>
        <v>7.01769911504425</v>
      </c>
    </row>
    <row r="27" spans="1:7">
      <c r="A27" s="1280" t="s">
        <v>1209</v>
      </c>
      <c r="B27" s="1281">
        <f>1/(0.3*0.3)</f>
        <v>11.11</v>
      </c>
      <c r="C27" s="1295" t="s">
        <v>13</v>
      </c>
      <c r="D27" s="1281">
        <v>375</v>
      </c>
      <c r="E27" s="1283">
        <f>B27*D27</f>
        <v>4166.25</v>
      </c>
    </row>
    <row r="28" spans="1:7">
      <c r="A28" s="1280"/>
      <c r="B28" s="1281"/>
      <c r="C28" s="1298"/>
      <c r="D28" s="1299" t="s">
        <v>1031</v>
      </c>
      <c r="E28" s="1319">
        <f>SUM(E25:E27)</f>
        <v>31872.3</v>
      </c>
    </row>
    <row r="29" spans="1:7">
      <c r="A29" s="1296"/>
      <c r="B29" s="1294"/>
      <c r="C29" s="1293"/>
      <c r="D29" s="1294"/>
      <c r="E29" s="1294"/>
    </row>
    <row r="30" spans="1:7" ht="13.5" thickBot="1">
      <c r="A30" s="1292" t="s">
        <v>1210</v>
      </c>
      <c r="B30" s="1300"/>
      <c r="C30" s="1297"/>
      <c r="D30" s="1300"/>
      <c r="E30" s="1300"/>
    </row>
    <row r="31" spans="1:7" ht="13.5" thickTop="1">
      <c r="A31" s="1276" t="s">
        <v>1085</v>
      </c>
      <c r="B31" s="1277">
        <v>1.05</v>
      </c>
      <c r="C31" s="1278" t="s">
        <v>2</v>
      </c>
      <c r="D31" s="1277">
        <f>D3</f>
        <v>8030.02</v>
      </c>
      <c r="E31" s="1279">
        <f>B31*D31</f>
        <v>8431.52</v>
      </c>
    </row>
    <row r="32" spans="1:7">
      <c r="A32" s="1280" t="s">
        <v>272</v>
      </c>
      <c r="B32" s="1281">
        <v>7.02</v>
      </c>
      <c r="C32" s="1282" t="s">
        <v>126</v>
      </c>
      <c r="D32" s="1281">
        <f>D26</f>
        <v>2745.66</v>
      </c>
      <c r="E32" s="1283">
        <f>B32*D32</f>
        <v>19274.53</v>
      </c>
    </row>
    <row r="33" spans="1:7">
      <c r="A33" s="1280" t="s">
        <v>1089</v>
      </c>
      <c r="B33" s="1281">
        <f>1/(0.3*0.3)</f>
        <v>11.11</v>
      </c>
      <c r="C33" s="1295" t="s">
        <v>11</v>
      </c>
      <c r="D33" s="1281">
        <v>375</v>
      </c>
      <c r="E33" s="1283">
        <f>B33*D33</f>
        <v>4166.25</v>
      </c>
      <c r="G33" s="1268">
        <f>7.93/1.13</f>
        <v>7.01769911504425</v>
      </c>
    </row>
    <row r="34" spans="1:7" ht="13.5" thickBot="1">
      <c r="A34" s="1284"/>
      <c r="B34" s="1285"/>
      <c r="C34" s="1286"/>
      <c r="D34" s="1287"/>
      <c r="E34" s="1288">
        <f>SUM(E31:E33)</f>
        <v>31872.3</v>
      </c>
    </row>
    <row r="35" spans="1:7" ht="13.5" thickTop="1">
      <c r="A35" s="1275"/>
      <c r="B35" s="1274"/>
      <c r="C35" s="1275"/>
      <c r="D35" s="1274"/>
      <c r="E35" s="1274"/>
    </row>
    <row r="36" spans="1:7" ht="13.5" thickBot="1">
      <c r="A36" s="1297" t="s">
        <v>1211</v>
      </c>
      <c r="B36" s="1300"/>
      <c r="C36" s="1297"/>
      <c r="D36" s="1300"/>
      <c r="E36" s="1300"/>
    </row>
    <row r="37" spans="1:7" ht="13.5" thickTop="1">
      <c r="A37" s="1276" t="s">
        <v>1085</v>
      </c>
      <c r="B37" s="1277">
        <v>1.05</v>
      </c>
      <c r="C37" s="1278" t="s">
        <v>2</v>
      </c>
      <c r="D37" s="1277">
        <f>D3</f>
        <v>8030.02</v>
      </c>
      <c r="E37" s="1279">
        <f>B37*D37</f>
        <v>8431.52</v>
      </c>
    </row>
    <row r="38" spans="1:7">
      <c r="A38" s="1280" t="s">
        <v>272</v>
      </c>
      <c r="B38" s="1281">
        <v>0.94</v>
      </c>
      <c r="C38" s="1282" t="s">
        <v>126</v>
      </c>
      <c r="D38" s="1281">
        <f>D32</f>
        <v>2745.66</v>
      </c>
      <c r="E38" s="1283">
        <f>B38*D38</f>
        <v>2580.92</v>
      </c>
      <c r="F38" s="1268">
        <f>6.84/7.25</f>
        <v>0.94344827586206903</v>
      </c>
      <c r="G38" s="1268">
        <f>7.61/8.09</f>
        <v>0.94066749072929501</v>
      </c>
    </row>
    <row r="39" spans="1:7">
      <c r="A39" s="1280" t="s">
        <v>1089</v>
      </c>
      <c r="B39" s="1281">
        <f>1/0.15</f>
        <v>6.67</v>
      </c>
      <c r="C39" s="1295" t="s">
        <v>13</v>
      </c>
      <c r="D39" s="1281">
        <v>225</v>
      </c>
      <c r="E39" s="1283">
        <f>B39*D39</f>
        <v>1500.75</v>
      </c>
    </row>
    <row r="40" spans="1:7" ht="13.5" thickBot="1">
      <c r="A40" s="1284"/>
      <c r="B40" s="1285"/>
      <c r="C40" s="1286"/>
      <c r="D40" s="1287"/>
      <c r="E40" s="1318">
        <f>SUM(E37:E39)</f>
        <v>12513.19</v>
      </c>
    </row>
    <row r="41" spans="1:7" ht="13.5" thickTop="1">
      <c r="A41" s="1275"/>
      <c r="B41" s="1274"/>
      <c r="C41" s="1275"/>
      <c r="D41" s="1274"/>
      <c r="E41" s="1274"/>
    </row>
    <row r="42" spans="1:7" ht="13.5" thickBot="1">
      <c r="A42" s="1297" t="s">
        <v>1220</v>
      </c>
      <c r="B42" s="1274"/>
      <c r="C42" s="1275"/>
      <c r="D42" s="1274"/>
      <c r="E42" s="1274"/>
    </row>
    <row r="43" spans="1:7" ht="13.5" thickTop="1">
      <c r="A43" s="1276" t="s">
        <v>1085</v>
      </c>
      <c r="B43" s="1277">
        <v>1.05</v>
      </c>
      <c r="C43" s="1278" t="s">
        <v>2</v>
      </c>
      <c r="D43" s="1277">
        <f>D3</f>
        <v>8030.02</v>
      </c>
      <c r="E43" s="1279">
        <f>B43*D43</f>
        <v>8431.52</v>
      </c>
    </row>
    <row r="44" spans="1:7">
      <c r="A44" s="1280" t="s">
        <v>272</v>
      </c>
      <c r="B44" s="1281">
        <v>5.09</v>
      </c>
      <c r="C44" s="1282" t="s">
        <v>126</v>
      </c>
      <c r="D44" s="1281">
        <f>D38</f>
        <v>2745.66</v>
      </c>
      <c r="E44" s="1283">
        <f>B44*D44</f>
        <v>13975.41</v>
      </c>
      <c r="F44" s="1268">
        <f>5.5/1.07</f>
        <v>5.1401869158878499</v>
      </c>
      <c r="G44" s="1268">
        <f>5.8/1.14</f>
        <v>5.0877192982456103</v>
      </c>
    </row>
    <row r="45" spans="1:7">
      <c r="A45" s="1280" t="s">
        <v>1089</v>
      </c>
      <c r="B45" s="1281">
        <f>1/(0.3*0.3)</f>
        <v>11.11</v>
      </c>
      <c r="C45" s="1295" t="s">
        <v>13</v>
      </c>
      <c r="D45" s="1281">
        <v>375</v>
      </c>
      <c r="E45" s="1283">
        <f>B45*D45</f>
        <v>4166.25</v>
      </c>
    </row>
    <row r="46" spans="1:7" ht="13.5" thickBot="1">
      <c r="A46" s="1284"/>
      <c r="B46" s="1285"/>
      <c r="C46" s="1286"/>
      <c r="D46" s="1287"/>
      <c r="E46" s="1318">
        <f>SUM(E43:E45)</f>
        <v>26573.18</v>
      </c>
    </row>
    <row r="47" spans="1:7" ht="13.5" thickTop="1">
      <c r="A47" s="1301"/>
      <c r="B47" s="1302"/>
      <c r="C47" s="1301"/>
      <c r="D47" s="1302"/>
      <c r="E47"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28"/>
  <sheetViews>
    <sheetView topLeftCell="A211" zoomScale="130" workbookViewId="0">
      <selection activeCell="B131" sqref="B131"/>
    </sheetView>
  </sheetViews>
  <sheetFormatPr baseColWidth="10" defaultColWidth="11.42578125" defaultRowHeight="12.75"/>
  <cols>
    <col min="1" max="1" width="4" style="4117" customWidth="1"/>
    <col min="2" max="2" width="70.85546875" style="4117" customWidth="1"/>
    <col min="3" max="3" width="13" style="4117" customWidth="1"/>
    <col min="4" max="4" width="8.7109375" style="4117" customWidth="1"/>
    <col min="5" max="5" width="30.140625" style="4117" customWidth="1"/>
    <col min="6" max="16384" width="11.42578125" style="4117"/>
  </cols>
  <sheetData>
    <row r="1" spans="1:7" ht="12.75" customHeight="1">
      <c r="A1" s="4773" t="s">
        <v>5</v>
      </c>
      <c r="B1" s="4773"/>
      <c r="C1" s="4773"/>
      <c r="D1" s="4773"/>
      <c r="E1" s="4773"/>
      <c r="F1" s="4116"/>
    </row>
    <row r="2" spans="1:7" ht="12.75" customHeight="1">
      <c r="A2" s="4773" t="s">
        <v>3192</v>
      </c>
      <c r="B2" s="4773"/>
      <c r="C2" s="4773"/>
      <c r="D2" s="4773"/>
      <c r="E2" s="4773"/>
      <c r="F2" s="4116"/>
    </row>
    <row r="3" spans="1:7" ht="12.75" customHeight="1">
      <c r="A3" s="4773" t="s">
        <v>3193</v>
      </c>
      <c r="B3" s="4773"/>
      <c r="C3" s="4773"/>
      <c r="D3" s="4773"/>
      <c r="E3" s="4773"/>
      <c r="F3" s="4116"/>
    </row>
    <row r="4" spans="1:7" ht="12.75" customHeight="1">
      <c r="A4" s="4773" t="s">
        <v>60</v>
      </c>
      <c r="B4" s="4773"/>
      <c r="C4" s="4773"/>
      <c r="D4" s="4773"/>
      <c r="E4" s="4773"/>
      <c r="F4" s="4116"/>
    </row>
    <row r="5" spans="1:7" ht="5.0999999999999996" customHeight="1">
      <c r="A5" s="4118"/>
      <c r="B5" s="4118"/>
      <c r="C5" s="4119"/>
      <c r="D5" s="4118"/>
      <c r="E5" s="4120"/>
      <c r="F5" s="4121"/>
    </row>
    <row r="6" spans="1:7" ht="12.75" customHeight="1">
      <c r="A6" s="4774" t="s">
        <v>3194</v>
      </c>
      <c r="B6" s="4774"/>
      <c r="C6" s="4774"/>
      <c r="D6" s="4774"/>
      <c r="E6" s="4774"/>
      <c r="F6" s="4122"/>
    </row>
    <row r="7" spans="1:7" ht="13.5" customHeight="1">
      <c r="A7" s="4123" t="s">
        <v>3195</v>
      </c>
      <c r="B7" s="4123"/>
      <c r="C7" s="4123"/>
      <c r="D7" s="4123"/>
      <c r="E7" s="4123"/>
      <c r="F7" s="4122"/>
    </row>
    <row r="8" spans="1:7">
      <c r="A8" s="4771" t="s">
        <v>3196</v>
      </c>
      <c r="B8" s="4772"/>
      <c r="C8" s="4124"/>
      <c r="D8" s="4125"/>
      <c r="E8" s="4126" t="s">
        <v>2212</v>
      </c>
      <c r="F8" s="4127"/>
    </row>
    <row r="9" spans="1:7" ht="5.0999999999999996" customHeight="1" thickBot="1"/>
    <row r="10" spans="1:7" ht="13.5" thickBot="1">
      <c r="A10" s="4128" t="s">
        <v>3197</v>
      </c>
      <c r="B10" s="4129" t="s">
        <v>3198</v>
      </c>
      <c r="C10" s="4129" t="s">
        <v>3199</v>
      </c>
      <c r="D10" s="4129" t="s">
        <v>340</v>
      </c>
      <c r="E10" s="4130" t="s">
        <v>3200</v>
      </c>
    </row>
    <row r="11" spans="1:7" ht="5.0999999999999996" customHeight="1">
      <c r="A11" s="4131"/>
      <c r="B11" s="4131"/>
      <c r="C11" s="4131"/>
      <c r="D11" s="4131"/>
      <c r="E11" s="4131"/>
    </row>
    <row r="12" spans="1:7">
      <c r="A12" s="4132">
        <v>1</v>
      </c>
      <c r="B12" s="4133" t="s">
        <v>3201</v>
      </c>
      <c r="C12" s="4134">
        <v>1977</v>
      </c>
      <c r="D12" s="4132" t="s">
        <v>148</v>
      </c>
      <c r="E12" s="4133" t="s">
        <v>3202</v>
      </c>
      <c r="G12" s="4135"/>
    </row>
    <row r="13" spans="1:7">
      <c r="A13" s="4132">
        <v>2</v>
      </c>
      <c r="B13" s="4133" t="s">
        <v>3203</v>
      </c>
      <c r="C13" s="4134">
        <v>1659</v>
      </c>
      <c r="D13" s="4132" t="s">
        <v>148</v>
      </c>
      <c r="E13" s="4133" t="s">
        <v>3202</v>
      </c>
      <c r="F13" s="4135"/>
    </row>
    <row r="14" spans="1:7">
      <c r="A14" s="4132">
        <v>3</v>
      </c>
      <c r="B14" s="4133" t="s">
        <v>3204</v>
      </c>
      <c r="C14" s="4134">
        <v>1255</v>
      </c>
      <c r="D14" s="4132" t="s">
        <v>148</v>
      </c>
      <c r="E14" s="4133" t="s">
        <v>3202</v>
      </c>
      <c r="F14" s="4135"/>
    </row>
    <row r="15" spans="1:7">
      <c r="A15" s="4132">
        <v>4</v>
      </c>
      <c r="B15" s="4133" t="s">
        <v>3205</v>
      </c>
      <c r="C15" s="4134">
        <v>1100</v>
      </c>
      <c r="D15" s="4132" t="s">
        <v>148</v>
      </c>
      <c r="E15" s="4133" t="s">
        <v>3202</v>
      </c>
      <c r="F15" s="4135"/>
    </row>
    <row r="16" spans="1:7">
      <c r="A16" s="4132">
        <v>5</v>
      </c>
      <c r="B16" s="4133" t="s">
        <v>3206</v>
      </c>
      <c r="C16" s="4134">
        <v>847</v>
      </c>
      <c r="D16" s="4132" t="s">
        <v>148</v>
      </c>
      <c r="E16" s="4133" t="s">
        <v>3202</v>
      </c>
      <c r="F16" s="4135"/>
    </row>
    <row r="17" spans="1:7">
      <c r="A17" s="4132">
        <v>6</v>
      </c>
      <c r="B17" s="4133" t="s">
        <v>3207</v>
      </c>
      <c r="C17" s="4134">
        <v>721</v>
      </c>
      <c r="D17" s="4132" t="s">
        <v>148</v>
      </c>
      <c r="E17" s="4133" t="s">
        <v>3202</v>
      </c>
      <c r="F17" s="4135"/>
      <c r="G17" s="4117">
        <v>22</v>
      </c>
    </row>
    <row r="18" spans="1:7">
      <c r="A18" s="4132">
        <v>7</v>
      </c>
      <c r="B18" s="4133" t="s">
        <v>3208</v>
      </c>
      <c r="C18" s="4134">
        <v>659</v>
      </c>
      <c r="D18" s="4132" t="s">
        <v>148</v>
      </c>
      <c r="E18" s="4133" t="s">
        <v>3202</v>
      </c>
      <c r="F18" s="4135"/>
    </row>
    <row r="19" spans="1:7">
      <c r="A19" s="4132">
        <v>8</v>
      </c>
      <c r="B19" s="4133" t="s">
        <v>3209</v>
      </c>
      <c r="C19" s="4134">
        <v>6937</v>
      </c>
      <c r="D19" s="4132" t="s">
        <v>148</v>
      </c>
      <c r="E19" s="4133" t="s">
        <v>3202</v>
      </c>
      <c r="G19" s="4135"/>
    </row>
    <row r="20" spans="1:7">
      <c r="A20" s="4132">
        <v>9</v>
      </c>
      <c r="B20" s="4133" t="s">
        <v>3210</v>
      </c>
      <c r="C20" s="4136">
        <f>2714</f>
        <v>2714</v>
      </c>
      <c r="D20" s="4132" t="s">
        <v>148</v>
      </c>
      <c r="E20" s="4133" t="s">
        <v>3211</v>
      </c>
    </row>
    <row r="21" spans="1:7">
      <c r="A21" s="4132">
        <v>10</v>
      </c>
      <c r="B21" s="4133" t="s">
        <v>3212</v>
      </c>
      <c r="C21" s="4134">
        <v>1534</v>
      </c>
      <c r="D21" s="4132" t="s">
        <v>47</v>
      </c>
      <c r="E21" s="4133" t="s">
        <v>3213</v>
      </c>
    </row>
    <row r="22" spans="1:7">
      <c r="A22" s="4132">
        <v>11</v>
      </c>
      <c r="B22" s="4133" t="s">
        <v>3214</v>
      </c>
      <c r="C22" s="4134">
        <v>1770</v>
      </c>
      <c r="D22" s="4132" t="s">
        <v>47</v>
      </c>
      <c r="E22" s="4133" t="s">
        <v>3213</v>
      </c>
    </row>
    <row r="23" spans="1:7" ht="12.75" customHeight="1">
      <c r="A23" s="4132">
        <v>12</v>
      </c>
      <c r="B23" s="4117" t="s">
        <v>3215</v>
      </c>
      <c r="C23" s="4134">
        <v>250</v>
      </c>
      <c r="D23" s="4137" t="s">
        <v>3</v>
      </c>
      <c r="E23" s="4117" t="s">
        <v>3216</v>
      </c>
    </row>
    <row r="24" spans="1:7">
      <c r="A24" s="4132">
        <v>13</v>
      </c>
      <c r="B24" s="4117" t="s">
        <v>3217</v>
      </c>
      <c r="C24" s="4134">
        <v>300</v>
      </c>
      <c r="D24" s="4137" t="s">
        <v>3</v>
      </c>
      <c r="E24" s="4117" t="s">
        <v>3216</v>
      </c>
    </row>
    <row r="25" spans="1:7">
      <c r="A25" s="4132">
        <v>14</v>
      </c>
      <c r="B25" s="4133" t="s">
        <v>3218</v>
      </c>
      <c r="C25" s="4138">
        <v>107.87</v>
      </c>
      <c r="D25" s="4132" t="s">
        <v>1</v>
      </c>
      <c r="E25" s="4133" t="s">
        <v>3219</v>
      </c>
    </row>
    <row r="26" spans="1:7">
      <c r="A26" s="4132">
        <v>15</v>
      </c>
      <c r="B26" s="4133" t="s">
        <v>3220</v>
      </c>
      <c r="C26" s="4138">
        <v>323.63</v>
      </c>
      <c r="D26" s="4132" t="s">
        <v>242</v>
      </c>
      <c r="E26" s="4133" t="s">
        <v>3219</v>
      </c>
    </row>
    <row r="27" spans="1:7">
      <c r="A27" s="4132">
        <v>16</v>
      </c>
      <c r="B27" s="4133" t="s">
        <v>3221</v>
      </c>
      <c r="C27" s="4138">
        <v>54.26</v>
      </c>
      <c r="D27" s="4132" t="s">
        <v>2432</v>
      </c>
      <c r="E27" s="4133" t="s">
        <v>3222</v>
      </c>
    </row>
    <row r="28" spans="1:7">
      <c r="A28" s="4132">
        <v>17</v>
      </c>
      <c r="B28" s="4133" t="s">
        <v>3223</v>
      </c>
      <c r="C28" s="4134">
        <v>45.6</v>
      </c>
      <c r="D28" s="4132" t="s">
        <v>2432</v>
      </c>
      <c r="E28" s="4133" t="s">
        <v>3222</v>
      </c>
    </row>
    <row r="29" spans="1:7">
      <c r="A29" s="4132">
        <v>18</v>
      </c>
      <c r="B29" s="4139" t="s">
        <v>3483</v>
      </c>
      <c r="C29" s="4134">
        <v>187.47</v>
      </c>
      <c r="D29" s="4140" t="s">
        <v>3</v>
      </c>
      <c r="E29" s="4133" t="s">
        <v>3224</v>
      </c>
    </row>
    <row r="30" spans="1:7">
      <c r="A30" s="4132">
        <v>19</v>
      </c>
      <c r="B30" s="4139" t="s">
        <v>3484</v>
      </c>
      <c r="C30" s="4134">
        <v>246.83</v>
      </c>
      <c r="D30" s="4140" t="s">
        <v>3</v>
      </c>
      <c r="E30" s="4133" t="s">
        <v>3224</v>
      </c>
    </row>
    <row r="31" spans="1:7">
      <c r="A31" s="4132">
        <v>20</v>
      </c>
      <c r="B31" s="4139" t="s">
        <v>3485</v>
      </c>
      <c r="C31" s="4134">
        <v>246.83</v>
      </c>
      <c r="D31" s="4140" t="s">
        <v>3</v>
      </c>
      <c r="E31" s="4133" t="s">
        <v>3224</v>
      </c>
    </row>
    <row r="32" spans="1:7">
      <c r="A32" s="4132">
        <v>21</v>
      </c>
      <c r="B32" s="4139" t="s">
        <v>3486</v>
      </c>
      <c r="C32" s="4134">
        <v>491.84</v>
      </c>
      <c r="D32" s="4140" t="s">
        <v>3</v>
      </c>
      <c r="E32" s="4133" t="s">
        <v>3224</v>
      </c>
    </row>
    <row r="33" spans="1:8">
      <c r="A33" s="4132">
        <v>22</v>
      </c>
      <c r="B33" s="4139" t="s">
        <v>3225</v>
      </c>
      <c r="C33" s="4134">
        <v>187.47</v>
      </c>
      <c r="D33" s="4140" t="s">
        <v>3</v>
      </c>
      <c r="E33" s="4133" t="s">
        <v>3224</v>
      </c>
    </row>
    <row r="34" spans="1:8">
      <c r="A34" s="4132">
        <v>23</v>
      </c>
      <c r="B34" s="4139" t="s">
        <v>3226</v>
      </c>
      <c r="C34" s="4134">
        <v>246.83</v>
      </c>
      <c r="D34" s="4140" t="s">
        <v>3</v>
      </c>
      <c r="E34" s="4133" t="s">
        <v>3224</v>
      </c>
    </row>
    <row r="35" spans="1:8">
      <c r="A35" s="4132">
        <v>24</v>
      </c>
      <c r="B35" s="4139" t="s">
        <v>3227</v>
      </c>
      <c r="C35" s="4134">
        <v>491.84</v>
      </c>
      <c r="D35" s="4140" t="s">
        <v>3</v>
      </c>
      <c r="E35" s="4133" t="s">
        <v>3224</v>
      </c>
    </row>
    <row r="36" spans="1:8">
      <c r="A36" s="4132">
        <v>25</v>
      </c>
      <c r="B36" s="4139" t="s">
        <v>3228</v>
      </c>
      <c r="C36" s="4141">
        <v>1640.06</v>
      </c>
      <c r="D36" s="4140" t="s">
        <v>3</v>
      </c>
      <c r="E36" s="4133" t="s">
        <v>3224</v>
      </c>
    </row>
    <row r="37" spans="1:8">
      <c r="A37" s="4132">
        <v>26</v>
      </c>
      <c r="B37" s="4139" t="s">
        <v>3487</v>
      </c>
      <c r="C37" s="4134">
        <v>210.06</v>
      </c>
      <c r="D37" s="4140" t="s">
        <v>3</v>
      </c>
      <c r="E37" s="4133" t="s">
        <v>3224</v>
      </c>
      <c r="H37" s="4135"/>
    </row>
    <row r="38" spans="1:8">
      <c r="A38" s="4132">
        <v>27</v>
      </c>
      <c r="B38" s="4139" t="s">
        <v>3229</v>
      </c>
      <c r="C38" s="4134">
        <v>1858.21</v>
      </c>
      <c r="D38" s="4140" t="s">
        <v>3</v>
      </c>
      <c r="E38" s="4133" t="s">
        <v>3224</v>
      </c>
    </row>
    <row r="39" spans="1:8">
      <c r="A39" s="4132">
        <v>28</v>
      </c>
      <c r="B39" s="4139" t="s">
        <v>3488</v>
      </c>
      <c r="C39" s="4134">
        <v>328.21</v>
      </c>
      <c r="D39" s="4140" t="s">
        <v>3</v>
      </c>
      <c r="E39" s="4133" t="s">
        <v>3224</v>
      </c>
    </row>
    <row r="40" spans="1:8">
      <c r="A40" s="4132">
        <v>29</v>
      </c>
      <c r="B40" s="4139" t="s">
        <v>3489</v>
      </c>
      <c r="C40" s="4134">
        <v>437.62</v>
      </c>
      <c r="D40" s="4140" t="s">
        <v>3</v>
      </c>
      <c r="E40" s="4133" t="s">
        <v>3224</v>
      </c>
    </row>
    <row r="41" spans="1:8">
      <c r="A41" s="4132">
        <v>30</v>
      </c>
      <c r="B41" s="4139" t="s">
        <v>3230</v>
      </c>
      <c r="C41" s="4134">
        <v>2067.62</v>
      </c>
      <c r="D41" s="4140" t="s">
        <v>3</v>
      </c>
      <c r="E41" s="4133" t="s">
        <v>3224</v>
      </c>
    </row>
    <row r="42" spans="1:8">
      <c r="A42" s="4132">
        <v>31</v>
      </c>
      <c r="B42" s="4139" t="s">
        <v>3231</v>
      </c>
      <c r="C42" s="4134">
        <v>2805.23</v>
      </c>
      <c r="D42" s="4140" t="s">
        <v>3</v>
      </c>
      <c r="E42" s="4133" t="s">
        <v>3224</v>
      </c>
    </row>
    <row r="43" spans="1:8">
      <c r="A43" s="4132">
        <v>32</v>
      </c>
      <c r="B43" s="4139" t="s">
        <v>3490</v>
      </c>
      <c r="C43" s="4134">
        <v>875.23</v>
      </c>
      <c r="D43" s="4140" t="s">
        <v>3</v>
      </c>
      <c r="E43" s="4133" t="s">
        <v>3224</v>
      </c>
      <c r="F43" s="4135"/>
    </row>
    <row r="44" spans="1:8" ht="12.75" customHeight="1">
      <c r="A44" s="4132">
        <v>33</v>
      </c>
      <c r="B44" s="4139" t="s">
        <v>3232</v>
      </c>
      <c r="C44" s="4134">
        <v>27.98</v>
      </c>
      <c r="D44" s="4140" t="s">
        <v>1</v>
      </c>
      <c r="E44" s="4133" t="s">
        <v>3233</v>
      </c>
    </row>
    <row r="45" spans="1:8">
      <c r="A45" s="4132">
        <v>34</v>
      </c>
      <c r="B45" s="4139" t="s">
        <v>3234</v>
      </c>
      <c r="C45" s="4134">
        <v>32.270000000000003</v>
      </c>
      <c r="D45" s="4140" t="s">
        <v>1</v>
      </c>
      <c r="E45" s="4133" t="s">
        <v>3233</v>
      </c>
    </row>
    <row r="46" spans="1:8">
      <c r="A46" s="4132">
        <v>35</v>
      </c>
      <c r="B46" s="4142" t="s">
        <v>3235</v>
      </c>
      <c r="C46" s="4134">
        <v>251.48</v>
      </c>
      <c r="D46" s="4140" t="s">
        <v>1</v>
      </c>
      <c r="E46" s="4133" t="s">
        <v>3236</v>
      </c>
    </row>
    <row r="47" spans="1:8">
      <c r="A47" s="4132">
        <v>36</v>
      </c>
      <c r="B47" s="4139" t="s">
        <v>3237</v>
      </c>
      <c r="C47" s="4134">
        <v>39.299999999999997</v>
      </c>
      <c r="D47" s="4140" t="s">
        <v>1</v>
      </c>
      <c r="E47" s="4133" t="s">
        <v>3233</v>
      </c>
    </row>
    <row r="48" spans="1:8" ht="12.75" customHeight="1">
      <c r="A48" s="4132">
        <v>37</v>
      </c>
      <c r="B48" s="4142" t="s">
        <v>3238</v>
      </c>
      <c r="C48" s="4138">
        <v>482.88</v>
      </c>
      <c r="D48" s="4140" t="s">
        <v>1</v>
      </c>
      <c r="E48" s="4133" t="s">
        <v>3236</v>
      </c>
    </row>
    <row r="49" spans="1:5">
      <c r="A49" s="4132">
        <v>38</v>
      </c>
      <c r="B49" s="4139" t="s">
        <v>3239</v>
      </c>
      <c r="C49" s="4138">
        <v>51.65</v>
      </c>
      <c r="D49" s="4140" t="s">
        <v>1</v>
      </c>
      <c r="E49" s="4133" t="s">
        <v>3233</v>
      </c>
    </row>
    <row r="50" spans="1:5">
      <c r="A50" s="4132">
        <v>39</v>
      </c>
      <c r="B50" s="4143" t="s">
        <v>3240</v>
      </c>
      <c r="C50" s="4134">
        <v>740</v>
      </c>
      <c r="D50" s="4140" t="s">
        <v>3</v>
      </c>
      <c r="E50" s="4133" t="s">
        <v>3241</v>
      </c>
    </row>
    <row r="51" spans="1:5">
      <c r="A51" s="4132">
        <v>40</v>
      </c>
      <c r="B51" s="4143" t="s">
        <v>3242</v>
      </c>
      <c r="C51" s="4134">
        <v>910</v>
      </c>
      <c r="D51" s="4140" t="s">
        <v>3</v>
      </c>
      <c r="E51" s="4133" t="s">
        <v>3241</v>
      </c>
    </row>
    <row r="52" spans="1:5">
      <c r="A52" s="4132">
        <v>41</v>
      </c>
      <c r="B52" s="4143" t="s">
        <v>3243</v>
      </c>
      <c r="C52" s="4134">
        <v>1060</v>
      </c>
      <c r="D52" s="4140" t="s">
        <v>3</v>
      </c>
      <c r="E52" s="4133" t="s">
        <v>3241</v>
      </c>
    </row>
    <row r="53" spans="1:5">
      <c r="A53" s="4132">
        <v>42</v>
      </c>
      <c r="B53" s="4143" t="s">
        <v>3244</v>
      </c>
      <c r="C53" s="4134">
        <v>1860</v>
      </c>
      <c r="D53" s="4140" t="s">
        <v>3</v>
      </c>
      <c r="E53" s="4133" t="s">
        <v>3241</v>
      </c>
    </row>
    <row r="54" spans="1:5">
      <c r="A54" s="4132">
        <v>43</v>
      </c>
      <c r="B54" s="4117" t="s">
        <v>3245</v>
      </c>
      <c r="C54" s="4138">
        <v>7.85</v>
      </c>
      <c r="D54" s="4137" t="s">
        <v>1</v>
      </c>
      <c r="E54" s="4133" t="s">
        <v>3233</v>
      </c>
    </row>
    <row r="55" spans="1:5">
      <c r="A55" s="4132">
        <v>44</v>
      </c>
      <c r="B55" s="4133" t="s">
        <v>3246</v>
      </c>
      <c r="C55" s="4134">
        <v>2370</v>
      </c>
      <c r="D55" s="4132" t="s">
        <v>242</v>
      </c>
      <c r="E55" s="4133" t="s">
        <v>3247</v>
      </c>
    </row>
    <row r="56" spans="1:5">
      <c r="A56" s="4132">
        <v>45</v>
      </c>
      <c r="B56" s="4144" t="s">
        <v>3248</v>
      </c>
      <c r="C56" s="4134">
        <v>53.1</v>
      </c>
      <c r="D56" s="4140" t="s">
        <v>3</v>
      </c>
      <c r="E56" s="4138" t="s">
        <v>3216</v>
      </c>
    </row>
    <row r="57" spans="1:5">
      <c r="A57" s="4132">
        <v>46</v>
      </c>
      <c r="B57" s="4144" t="s">
        <v>3249</v>
      </c>
      <c r="C57" s="4134">
        <v>54.1</v>
      </c>
      <c r="D57" s="4140" t="s">
        <v>3</v>
      </c>
      <c r="E57" s="4138" t="s">
        <v>3216</v>
      </c>
    </row>
    <row r="58" spans="1:5">
      <c r="A58" s="4132">
        <v>47</v>
      </c>
      <c r="B58" s="4144" t="s">
        <v>3250</v>
      </c>
      <c r="C58" s="4134">
        <v>53.1</v>
      </c>
      <c r="D58" s="4140" t="s">
        <v>3</v>
      </c>
      <c r="E58" s="4138" t="s">
        <v>3216</v>
      </c>
    </row>
    <row r="59" spans="1:5">
      <c r="A59" s="4132">
        <v>48</v>
      </c>
      <c r="B59" s="4133" t="s">
        <v>3251</v>
      </c>
      <c r="C59" s="4134">
        <f>ROUND(7.52*1.18*60,2)</f>
        <v>532.41999999999996</v>
      </c>
      <c r="D59" s="4132" t="s">
        <v>118</v>
      </c>
      <c r="E59" s="4133" t="s">
        <v>3252</v>
      </c>
    </row>
    <row r="60" spans="1:5">
      <c r="A60" s="4132">
        <v>49</v>
      </c>
      <c r="B60" s="4133" t="s">
        <v>3253</v>
      </c>
      <c r="C60" s="4134">
        <v>2.5</v>
      </c>
      <c r="D60" s="4132" t="s">
        <v>118</v>
      </c>
      <c r="E60" s="4145"/>
    </row>
    <row r="61" spans="1:5">
      <c r="A61" s="4132">
        <v>50</v>
      </c>
      <c r="B61" s="4133" t="s">
        <v>3254</v>
      </c>
      <c r="C61" s="4134">
        <v>61</v>
      </c>
      <c r="D61" s="4132" t="s">
        <v>183</v>
      </c>
      <c r="E61" s="4133" t="s">
        <v>3247</v>
      </c>
    </row>
    <row r="62" spans="1:5">
      <c r="A62" s="4132">
        <v>51</v>
      </c>
      <c r="B62" s="4144" t="s">
        <v>3255</v>
      </c>
      <c r="C62" s="4134">
        <v>200</v>
      </c>
      <c r="D62" s="4137" t="s">
        <v>3</v>
      </c>
      <c r="E62" s="4117" t="s">
        <v>3216</v>
      </c>
    </row>
    <row r="63" spans="1:5" ht="12.75" customHeight="1">
      <c r="A63" s="4132">
        <v>52</v>
      </c>
      <c r="B63" s="4133" t="s">
        <v>2564</v>
      </c>
      <c r="C63" s="4134">
        <v>1100</v>
      </c>
      <c r="D63" s="4132" t="s">
        <v>2430</v>
      </c>
      <c r="E63" s="4133" t="s">
        <v>3247</v>
      </c>
    </row>
    <row r="64" spans="1:5">
      <c r="A64" s="4132">
        <v>53</v>
      </c>
      <c r="B64" s="4133" t="s">
        <v>3256</v>
      </c>
      <c r="C64" s="4134">
        <v>1250</v>
      </c>
      <c r="D64" s="4132" t="s">
        <v>2430</v>
      </c>
      <c r="E64" s="4133" t="s">
        <v>3247</v>
      </c>
    </row>
    <row r="65" spans="1:5">
      <c r="A65" s="4132">
        <v>54</v>
      </c>
      <c r="B65" s="4138" t="s">
        <v>3257</v>
      </c>
      <c r="C65" s="4134">
        <v>33</v>
      </c>
      <c r="D65" s="4132" t="s">
        <v>3</v>
      </c>
      <c r="E65" s="4133" t="s">
        <v>3247</v>
      </c>
    </row>
    <row r="66" spans="1:5">
      <c r="A66" s="4132">
        <v>55</v>
      </c>
      <c r="B66" s="4133" t="s">
        <v>3258</v>
      </c>
      <c r="C66" s="4134">
        <v>33</v>
      </c>
      <c r="D66" s="4132" t="s">
        <v>3</v>
      </c>
      <c r="E66" s="4133" t="s">
        <v>3247</v>
      </c>
    </row>
    <row r="67" spans="1:5">
      <c r="A67" s="4132">
        <v>56</v>
      </c>
      <c r="B67" s="4133" t="s">
        <v>3259</v>
      </c>
      <c r="C67" s="4134">
        <v>40</v>
      </c>
      <c r="D67" s="4132" t="s">
        <v>3</v>
      </c>
      <c r="E67" s="4133" t="s">
        <v>3247</v>
      </c>
    </row>
    <row r="68" spans="1:5">
      <c r="A68" s="4132">
        <v>57</v>
      </c>
      <c r="B68" s="4133" t="s">
        <v>3260</v>
      </c>
      <c r="C68" s="4134">
        <v>65</v>
      </c>
      <c r="D68" s="4132" t="s">
        <v>3</v>
      </c>
      <c r="E68" s="4133" t="s">
        <v>3247</v>
      </c>
    </row>
    <row r="69" spans="1:5">
      <c r="A69" s="4132">
        <v>58</v>
      </c>
      <c r="B69" s="4144" t="s">
        <v>3261</v>
      </c>
      <c r="C69" s="4134">
        <v>1850</v>
      </c>
      <c r="D69" s="4137" t="s">
        <v>3</v>
      </c>
      <c r="E69" s="4117" t="s">
        <v>3216</v>
      </c>
    </row>
    <row r="70" spans="1:5">
      <c r="A70" s="4132">
        <v>59</v>
      </c>
      <c r="B70" s="4143" t="s">
        <v>3262</v>
      </c>
      <c r="C70" s="4134">
        <f>2300*1.18</f>
        <v>2714</v>
      </c>
      <c r="D70" s="4132" t="s">
        <v>3</v>
      </c>
      <c r="E70" s="4133" t="s">
        <v>3263</v>
      </c>
    </row>
    <row r="71" spans="1:5" ht="12.75" customHeight="1">
      <c r="A71" s="4132">
        <v>60</v>
      </c>
      <c r="B71" s="4146" t="s">
        <v>3264</v>
      </c>
      <c r="C71" s="4147">
        <f>533.93*7</f>
        <v>3737.51</v>
      </c>
      <c r="D71" s="4137" t="s">
        <v>3</v>
      </c>
      <c r="E71" s="4133"/>
    </row>
    <row r="72" spans="1:5">
      <c r="A72" s="4132">
        <v>61</v>
      </c>
      <c r="B72" s="4133" t="s">
        <v>3265</v>
      </c>
      <c r="C72" s="4134">
        <v>900</v>
      </c>
      <c r="D72" s="4132" t="s">
        <v>120</v>
      </c>
      <c r="E72" s="4133" t="s">
        <v>3247</v>
      </c>
    </row>
    <row r="73" spans="1:5">
      <c r="A73" s="4132">
        <v>62</v>
      </c>
      <c r="B73" s="4133" t="s">
        <v>3266</v>
      </c>
      <c r="C73" s="4134">
        <v>385</v>
      </c>
      <c r="D73" s="4132" t="s">
        <v>120</v>
      </c>
      <c r="E73" s="4133" t="s">
        <v>3247</v>
      </c>
    </row>
    <row r="74" spans="1:5">
      <c r="A74" s="4132">
        <v>63</v>
      </c>
      <c r="B74" s="4133" t="s">
        <v>3267</v>
      </c>
      <c r="C74" s="4136">
        <v>350</v>
      </c>
      <c r="D74" s="4148" t="s">
        <v>3268</v>
      </c>
      <c r="E74" s="4133" t="s">
        <v>3269</v>
      </c>
    </row>
    <row r="75" spans="1:5">
      <c r="A75" s="4132">
        <v>64</v>
      </c>
      <c r="B75" s="4144" t="s">
        <v>3270</v>
      </c>
      <c r="C75" s="4134">
        <v>12.89</v>
      </c>
      <c r="D75" s="4137" t="s">
        <v>3</v>
      </c>
      <c r="E75" s="4117" t="s">
        <v>3216</v>
      </c>
    </row>
    <row r="76" spans="1:5">
      <c r="A76" s="4132">
        <v>65</v>
      </c>
      <c r="B76" s="4117" t="s">
        <v>3271</v>
      </c>
      <c r="C76" s="4134">
        <v>43</v>
      </c>
      <c r="D76" s="4137" t="s">
        <v>183</v>
      </c>
      <c r="E76" s="4133" t="s">
        <v>3247</v>
      </c>
    </row>
    <row r="77" spans="1:5">
      <c r="A77" s="4132">
        <v>66</v>
      </c>
      <c r="B77" s="4139" t="s">
        <v>3272</v>
      </c>
      <c r="C77" s="4134">
        <v>1032.5</v>
      </c>
      <c r="D77" s="4140" t="s">
        <v>3</v>
      </c>
      <c r="E77" s="4133" t="s">
        <v>3273</v>
      </c>
    </row>
    <row r="78" spans="1:5">
      <c r="A78" s="4132">
        <v>67</v>
      </c>
      <c r="B78" s="4139" t="s">
        <v>3274</v>
      </c>
      <c r="C78" s="4134">
        <v>1121</v>
      </c>
      <c r="D78" s="4140" t="s">
        <v>3</v>
      </c>
      <c r="E78" s="4133" t="s">
        <v>3273</v>
      </c>
    </row>
    <row r="79" spans="1:5">
      <c r="A79" s="4132">
        <v>68</v>
      </c>
      <c r="B79" s="4139" t="s">
        <v>3275</v>
      </c>
      <c r="C79" s="4134">
        <v>1392.4</v>
      </c>
      <c r="D79" s="4140" t="s">
        <v>3</v>
      </c>
      <c r="E79" s="4133" t="s">
        <v>3273</v>
      </c>
    </row>
    <row r="80" spans="1:5">
      <c r="A80" s="4132">
        <v>69</v>
      </c>
      <c r="B80" s="4139" t="s">
        <v>3276</v>
      </c>
      <c r="C80" s="4134">
        <v>1362.9</v>
      </c>
      <c r="D80" s="4140" t="s">
        <v>3</v>
      </c>
      <c r="E80" s="4133" t="s">
        <v>3273</v>
      </c>
    </row>
    <row r="81" spans="1:5">
      <c r="A81" s="4132">
        <v>70</v>
      </c>
      <c r="B81" s="4139" t="s">
        <v>3277</v>
      </c>
      <c r="C81" s="4134">
        <v>1793.6</v>
      </c>
      <c r="D81" s="4140" t="s">
        <v>3</v>
      </c>
      <c r="E81" s="4133" t="s">
        <v>3273</v>
      </c>
    </row>
    <row r="82" spans="1:5">
      <c r="A82" s="4132">
        <v>71</v>
      </c>
      <c r="B82" s="4139" t="s">
        <v>3278</v>
      </c>
      <c r="C82" s="4134">
        <v>2106.3000000000002</v>
      </c>
      <c r="D82" s="4140" t="s">
        <v>3</v>
      </c>
      <c r="E82" s="4133" t="s">
        <v>3273</v>
      </c>
    </row>
    <row r="83" spans="1:5">
      <c r="A83" s="4132">
        <v>72</v>
      </c>
      <c r="B83" s="4139" t="s">
        <v>3279</v>
      </c>
      <c r="C83" s="4141">
        <v>3351.2</v>
      </c>
      <c r="D83" s="4140" t="s">
        <v>3</v>
      </c>
      <c r="E83" s="4133" t="s">
        <v>3273</v>
      </c>
    </row>
    <row r="84" spans="1:5">
      <c r="A84" s="4132">
        <v>73</v>
      </c>
      <c r="B84" s="4139" t="s">
        <v>3280</v>
      </c>
      <c r="C84" s="4141">
        <v>3469.2</v>
      </c>
      <c r="D84" s="4140" t="s">
        <v>3</v>
      </c>
      <c r="E84" s="4133" t="s">
        <v>3273</v>
      </c>
    </row>
    <row r="85" spans="1:5">
      <c r="A85" s="4132">
        <v>74</v>
      </c>
      <c r="B85" s="4139" t="s">
        <v>3281</v>
      </c>
      <c r="C85" s="4141">
        <v>4088.7</v>
      </c>
      <c r="D85" s="4140" t="s">
        <v>3</v>
      </c>
      <c r="E85" s="4133" t="s">
        <v>3273</v>
      </c>
    </row>
    <row r="86" spans="1:5">
      <c r="A86" s="4132">
        <v>75</v>
      </c>
      <c r="B86" s="4139" t="s">
        <v>3282</v>
      </c>
      <c r="C86" s="4141">
        <v>5699.4</v>
      </c>
      <c r="D86" s="4140" t="s">
        <v>3</v>
      </c>
      <c r="E86" s="4133" t="s">
        <v>3273</v>
      </c>
    </row>
    <row r="87" spans="1:5">
      <c r="A87" s="4132">
        <v>76</v>
      </c>
      <c r="B87" s="4139" t="s">
        <v>3283</v>
      </c>
      <c r="C87" s="4141">
        <v>6796.8</v>
      </c>
      <c r="D87" s="4140" t="s">
        <v>3</v>
      </c>
      <c r="E87" s="4133" t="s">
        <v>3273</v>
      </c>
    </row>
    <row r="88" spans="1:5">
      <c r="A88" s="4132">
        <v>77</v>
      </c>
      <c r="B88" s="4139" t="s">
        <v>3284</v>
      </c>
      <c r="C88" s="4141">
        <v>7976.8</v>
      </c>
      <c r="D88" s="4140" t="s">
        <v>3</v>
      </c>
      <c r="E88" s="4133" t="s">
        <v>3273</v>
      </c>
    </row>
    <row r="89" spans="1:5">
      <c r="A89" s="4132">
        <v>78</v>
      </c>
      <c r="B89" s="4144" t="s">
        <v>3285</v>
      </c>
      <c r="C89" s="4134">
        <v>26.5</v>
      </c>
      <c r="D89" s="4137" t="s">
        <v>3</v>
      </c>
      <c r="E89" s="4117" t="s">
        <v>3216</v>
      </c>
    </row>
    <row r="90" spans="1:5">
      <c r="A90" s="4132">
        <v>79</v>
      </c>
      <c r="B90" s="4144" t="s">
        <v>3286</v>
      </c>
      <c r="C90" s="4134">
        <v>230.1</v>
      </c>
      <c r="D90" s="4137" t="s">
        <v>3</v>
      </c>
      <c r="E90" s="4117" t="s">
        <v>3216</v>
      </c>
    </row>
    <row r="91" spans="1:5">
      <c r="A91" s="4132">
        <v>80</v>
      </c>
      <c r="B91" s="4144" t="s">
        <v>3287</v>
      </c>
      <c r="C91" s="4134">
        <v>306.8</v>
      </c>
      <c r="D91" s="4137" t="s">
        <v>3</v>
      </c>
      <c r="E91" s="4117" t="s">
        <v>3216</v>
      </c>
    </row>
    <row r="92" spans="1:5">
      <c r="A92" s="4132">
        <v>81</v>
      </c>
      <c r="B92" s="4144" t="s">
        <v>3288</v>
      </c>
      <c r="C92" s="4134">
        <v>28.32</v>
      </c>
      <c r="D92" s="4137" t="s">
        <v>3</v>
      </c>
      <c r="E92" s="4117" t="s">
        <v>3216</v>
      </c>
    </row>
    <row r="93" spans="1:5">
      <c r="A93" s="4132">
        <v>82</v>
      </c>
      <c r="B93" s="4139" t="s">
        <v>3289</v>
      </c>
      <c r="C93" s="4134">
        <v>1652</v>
      </c>
      <c r="D93" s="4140" t="s">
        <v>3</v>
      </c>
      <c r="E93" s="4133" t="s">
        <v>3273</v>
      </c>
    </row>
    <row r="94" spans="1:5">
      <c r="A94" s="4132">
        <v>83</v>
      </c>
      <c r="B94" s="4139" t="s">
        <v>3290</v>
      </c>
      <c r="C94" s="4134">
        <v>2124</v>
      </c>
      <c r="D94" s="4140" t="s">
        <v>3</v>
      </c>
      <c r="E94" s="4133" t="s">
        <v>3273</v>
      </c>
    </row>
    <row r="95" spans="1:5">
      <c r="A95" s="4132">
        <v>84</v>
      </c>
      <c r="B95" s="4139" t="s">
        <v>3291</v>
      </c>
      <c r="C95" s="4134">
        <v>5664</v>
      </c>
      <c r="D95" s="4140" t="s">
        <v>3</v>
      </c>
      <c r="E95" s="4133" t="s">
        <v>3273</v>
      </c>
    </row>
    <row r="96" spans="1:5">
      <c r="A96" s="4132">
        <v>85</v>
      </c>
      <c r="B96" s="4146" t="s">
        <v>3292</v>
      </c>
      <c r="C96" s="4147">
        <f>48.57*7</f>
        <v>339.99</v>
      </c>
      <c r="D96" s="4137" t="s">
        <v>3</v>
      </c>
      <c r="E96" s="4145"/>
    </row>
    <row r="97" spans="1:5">
      <c r="A97" s="4132">
        <v>86</v>
      </c>
      <c r="B97" s="4133" t="s">
        <v>3293</v>
      </c>
      <c r="C97" s="4134">
        <v>1100</v>
      </c>
      <c r="D97" s="4132" t="s">
        <v>2430</v>
      </c>
      <c r="E97" s="4133" t="s">
        <v>3247</v>
      </c>
    </row>
    <row r="98" spans="1:5">
      <c r="A98" s="4132">
        <v>87</v>
      </c>
      <c r="B98" s="4133" t="s">
        <v>3294</v>
      </c>
      <c r="C98" s="4134">
        <v>1100</v>
      </c>
      <c r="D98" s="4132" t="s">
        <v>2430</v>
      </c>
      <c r="E98" s="4133" t="s">
        <v>3247</v>
      </c>
    </row>
    <row r="99" spans="1:5">
      <c r="A99" s="4132">
        <v>88</v>
      </c>
      <c r="B99" s="4139" t="s">
        <v>3491</v>
      </c>
      <c r="C99" s="4134">
        <v>1168.2</v>
      </c>
      <c r="D99" s="4140" t="s">
        <v>3</v>
      </c>
      <c r="E99" s="4133" t="s">
        <v>3273</v>
      </c>
    </row>
    <row r="100" spans="1:5">
      <c r="A100" s="4132">
        <v>89</v>
      </c>
      <c r="B100" s="4139" t="s">
        <v>3492</v>
      </c>
      <c r="C100" s="4134">
        <v>1357</v>
      </c>
      <c r="D100" s="4140" t="s">
        <v>3</v>
      </c>
      <c r="E100" s="4133" t="s">
        <v>3273</v>
      </c>
    </row>
    <row r="101" spans="1:5">
      <c r="A101" s="4132">
        <v>90</v>
      </c>
      <c r="B101" s="4139" t="s">
        <v>3493</v>
      </c>
      <c r="C101" s="4134">
        <v>2100.4</v>
      </c>
      <c r="D101" s="4140" t="s">
        <v>3</v>
      </c>
      <c r="E101" s="4133" t="s">
        <v>3273</v>
      </c>
    </row>
    <row r="102" spans="1:5">
      <c r="A102" s="4132">
        <v>91</v>
      </c>
      <c r="B102" s="4139" t="s">
        <v>3494</v>
      </c>
      <c r="C102" s="4134">
        <v>3097.5</v>
      </c>
      <c r="D102" s="4140" t="s">
        <v>3</v>
      </c>
      <c r="E102" s="4133" t="s">
        <v>3273</v>
      </c>
    </row>
    <row r="103" spans="1:5">
      <c r="A103" s="4132">
        <v>92</v>
      </c>
      <c r="B103" s="4139" t="s">
        <v>3295</v>
      </c>
      <c r="C103" s="4134">
        <v>1239</v>
      </c>
      <c r="D103" s="4140" t="s">
        <v>3</v>
      </c>
      <c r="E103" s="4133" t="s">
        <v>3273</v>
      </c>
    </row>
    <row r="104" spans="1:5">
      <c r="A104" s="4132">
        <v>93</v>
      </c>
      <c r="B104" s="4139" t="s">
        <v>3296</v>
      </c>
      <c r="C104" s="4134">
        <v>1486.8</v>
      </c>
      <c r="D104" s="4140" t="s">
        <v>3</v>
      </c>
      <c r="E104" s="4133" t="s">
        <v>3273</v>
      </c>
    </row>
    <row r="105" spans="1:5">
      <c r="A105" s="4132">
        <v>94</v>
      </c>
      <c r="B105" s="4139" t="s">
        <v>3297</v>
      </c>
      <c r="C105" s="4134">
        <v>4012</v>
      </c>
      <c r="D105" s="4140" t="s">
        <v>3</v>
      </c>
      <c r="E105" s="4133" t="s">
        <v>3273</v>
      </c>
    </row>
    <row r="106" spans="1:5">
      <c r="A106" s="4132">
        <v>95</v>
      </c>
      <c r="B106" s="4133" t="s">
        <v>3298</v>
      </c>
      <c r="C106" s="4136">
        <f>ROUND((7500*1.18)/15.24,2)</f>
        <v>580.71</v>
      </c>
      <c r="D106" s="4132" t="s">
        <v>1</v>
      </c>
      <c r="E106" s="4133" t="s">
        <v>3299</v>
      </c>
    </row>
    <row r="107" spans="1:5">
      <c r="A107" s="4132">
        <v>96</v>
      </c>
      <c r="B107" s="4144" t="s">
        <v>3300</v>
      </c>
      <c r="C107" s="4134">
        <v>286.36</v>
      </c>
      <c r="D107" s="4137" t="s">
        <v>3</v>
      </c>
      <c r="E107" s="4117" t="s">
        <v>3216</v>
      </c>
    </row>
    <row r="108" spans="1:5">
      <c r="A108" s="4132">
        <v>97</v>
      </c>
      <c r="B108" s="4144" t="s">
        <v>3301</v>
      </c>
      <c r="C108" s="4134">
        <v>286.36</v>
      </c>
      <c r="D108" s="4137" t="s">
        <v>3</v>
      </c>
      <c r="E108" s="4117" t="s">
        <v>3216</v>
      </c>
    </row>
    <row r="109" spans="1:5">
      <c r="A109" s="4132">
        <v>98</v>
      </c>
      <c r="B109" s="4146" t="s">
        <v>3302</v>
      </c>
      <c r="C109" s="4149">
        <v>95</v>
      </c>
      <c r="D109" s="4132" t="s">
        <v>279</v>
      </c>
      <c r="E109" s="4133" t="s">
        <v>3247</v>
      </c>
    </row>
    <row r="110" spans="1:5">
      <c r="A110" s="4132">
        <v>99</v>
      </c>
      <c r="B110" s="4133" t="s">
        <v>3303</v>
      </c>
      <c r="C110" s="4136">
        <v>550</v>
      </c>
      <c r="D110" s="4132" t="s">
        <v>2430</v>
      </c>
      <c r="E110" s="4133" t="s">
        <v>3304</v>
      </c>
    </row>
    <row r="111" spans="1:5">
      <c r="A111" s="4132">
        <v>100</v>
      </c>
      <c r="B111" s="4144" t="s">
        <v>3305</v>
      </c>
      <c r="C111" s="4134">
        <v>35.4</v>
      </c>
      <c r="D111" s="4137" t="s">
        <v>3</v>
      </c>
      <c r="E111" s="4117" t="s">
        <v>3216</v>
      </c>
    </row>
    <row r="112" spans="1:5">
      <c r="A112" s="4132">
        <v>101</v>
      </c>
      <c r="B112" s="4146" t="s">
        <v>3306</v>
      </c>
      <c r="C112" s="4150">
        <f>47.25*7</f>
        <v>330.75</v>
      </c>
      <c r="D112" s="4132" t="s">
        <v>3</v>
      </c>
      <c r="E112" s="4145"/>
    </row>
    <row r="113" spans="1:5">
      <c r="A113" s="4132">
        <v>102</v>
      </c>
      <c r="B113" s="4144" t="s">
        <v>3307</v>
      </c>
      <c r="C113" s="4134">
        <v>200</v>
      </c>
      <c r="D113" s="4137" t="s">
        <v>3</v>
      </c>
      <c r="E113" s="4117" t="s">
        <v>3216</v>
      </c>
    </row>
    <row r="114" spans="1:5">
      <c r="A114" s="4132">
        <v>103</v>
      </c>
      <c r="B114" s="4133" t="s">
        <v>3308</v>
      </c>
      <c r="C114" s="4136">
        <v>730</v>
      </c>
      <c r="D114" s="4132" t="s">
        <v>118</v>
      </c>
      <c r="E114" s="4133" t="s">
        <v>3211</v>
      </c>
    </row>
    <row r="115" spans="1:5">
      <c r="A115" s="4132">
        <v>104</v>
      </c>
      <c r="B115" s="4133" t="s">
        <v>3309</v>
      </c>
      <c r="C115" s="4136">
        <v>210</v>
      </c>
      <c r="D115" s="4132" t="s">
        <v>118</v>
      </c>
      <c r="E115" s="4133" t="s">
        <v>3211</v>
      </c>
    </row>
    <row r="116" spans="1:5">
      <c r="A116" s="4132">
        <v>105</v>
      </c>
      <c r="B116" s="4133" t="s">
        <v>3310</v>
      </c>
      <c r="C116" s="4136">
        <v>725</v>
      </c>
      <c r="D116" s="4148" t="s">
        <v>118</v>
      </c>
      <c r="E116" s="4133" t="s">
        <v>3211</v>
      </c>
    </row>
    <row r="117" spans="1:5">
      <c r="A117" s="4132">
        <v>106</v>
      </c>
      <c r="B117" s="4139" t="s">
        <v>3311</v>
      </c>
      <c r="C117" s="4134">
        <v>1062</v>
      </c>
      <c r="D117" s="4140" t="s">
        <v>3</v>
      </c>
      <c r="E117" s="4133" t="s">
        <v>3273</v>
      </c>
    </row>
    <row r="118" spans="1:5">
      <c r="A118" s="4132">
        <v>107</v>
      </c>
      <c r="B118" s="4139" t="s">
        <v>3312</v>
      </c>
      <c r="C118" s="4134">
        <v>2301</v>
      </c>
      <c r="D118" s="4140" t="s">
        <v>3</v>
      </c>
      <c r="E118" s="4133" t="s">
        <v>3273</v>
      </c>
    </row>
    <row r="119" spans="1:5">
      <c r="A119" s="4132">
        <v>108</v>
      </c>
      <c r="B119" s="4139" t="s">
        <v>3313</v>
      </c>
      <c r="C119" s="4134">
        <v>2230.1999999999998</v>
      </c>
      <c r="D119" s="4140" t="s">
        <v>3</v>
      </c>
      <c r="E119" s="4133" t="s">
        <v>3273</v>
      </c>
    </row>
    <row r="120" spans="1:5">
      <c r="A120" s="4132">
        <v>109</v>
      </c>
      <c r="B120" s="4146" t="s">
        <v>3314</v>
      </c>
      <c r="C120" s="4150">
        <f>126.43*7</f>
        <v>885.01</v>
      </c>
      <c r="D120" s="4132" t="s">
        <v>3</v>
      </c>
      <c r="E120" s="4133" t="s">
        <v>3315</v>
      </c>
    </row>
    <row r="121" spans="1:5">
      <c r="A121" s="4132">
        <v>110</v>
      </c>
      <c r="B121" s="4144" t="s">
        <v>3316</v>
      </c>
      <c r="C121" s="4134">
        <v>6.9</v>
      </c>
      <c r="D121" s="4137" t="s">
        <v>3</v>
      </c>
      <c r="E121" s="4117" t="s">
        <v>3216</v>
      </c>
    </row>
    <row r="122" spans="1:5">
      <c r="A122" s="4132">
        <v>111</v>
      </c>
      <c r="B122" s="4139" t="s">
        <v>3317</v>
      </c>
      <c r="C122" s="4134">
        <v>1239</v>
      </c>
      <c r="D122" s="4140" t="s">
        <v>3</v>
      </c>
      <c r="E122" s="4133" t="s">
        <v>3273</v>
      </c>
    </row>
    <row r="123" spans="1:5">
      <c r="A123" s="4132">
        <v>112</v>
      </c>
      <c r="B123" s="4139" t="s">
        <v>3318</v>
      </c>
      <c r="C123" s="4134">
        <v>1652</v>
      </c>
      <c r="D123" s="4140" t="s">
        <v>3</v>
      </c>
      <c r="E123" s="4133" t="s">
        <v>3273</v>
      </c>
    </row>
    <row r="124" spans="1:5">
      <c r="A124" s="4132">
        <v>113</v>
      </c>
      <c r="B124" s="4139" t="s">
        <v>3319</v>
      </c>
      <c r="C124" s="4134">
        <v>1829</v>
      </c>
      <c r="D124" s="4140" t="s">
        <v>3</v>
      </c>
      <c r="E124" s="4133" t="s">
        <v>3273</v>
      </c>
    </row>
    <row r="125" spans="1:5">
      <c r="A125" s="4132">
        <v>114</v>
      </c>
      <c r="B125" s="4139" t="s">
        <v>3320</v>
      </c>
      <c r="C125" s="4134">
        <v>3091.6</v>
      </c>
      <c r="D125" s="4140" t="s">
        <v>3</v>
      </c>
      <c r="E125" s="4133" t="s">
        <v>3273</v>
      </c>
    </row>
    <row r="126" spans="1:5">
      <c r="A126" s="4132">
        <v>115</v>
      </c>
      <c r="B126" s="4139" t="s">
        <v>3321</v>
      </c>
      <c r="C126" s="4134">
        <v>4307</v>
      </c>
      <c r="D126" s="4140" t="s">
        <v>3</v>
      </c>
      <c r="E126" s="4133" t="s">
        <v>3273</v>
      </c>
    </row>
    <row r="127" spans="1:5">
      <c r="A127" s="4132">
        <v>116</v>
      </c>
      <c r="B127" s="4133" t="s">
        <v>3322</v>
      </c>
      <c r="C127" s="4134">
        <v>15</v>
      </c>
      <c r="D127" s="4148" t="s">
        <v>3003</v>
      </c>
      <c r="E127" s="4133" t="s">
        <v>3269</v>
      </c>
    </row>
    <row r="128" spans="1:5">
      <c r="A128" s="4132">
        <v>117</v>
      </c>
      <c r="B128" s="4144" t="s">
        <v>3323</v>
      </c>
      <c r="C128" s="4134">
        <v>292.05</v>
      </c>
      <c r="D128" s="4137" t="s">
        <v>3</v>
      </c>
      <c r="E128" s="4117" t="s">
        <v>3216</v>
      </c>
    </row>
    <row r="129" spans="1:5">
      <c r="A129" s="4132">
        <v>118</v>
      </c>
      <c r="B129" s="4144" t="s">
        <v>3324</v>
      </c>
      <c r="C129" s="4134">
        <v>32.06</v>
      </c>
      <c r="D129" s="4137" t="s">
        <v>1</v>
      </c>
      <c r="E129" s="4117" t="s">
        <v>3216</v>
      </c>
    </row>
    <row r="130" spans="1:5">
      <c r="A130" s="4132">
        <v>119</v>
      </c>
      <c r="B130" s="4151" t="s">
        <v>3325</v>
      </c>
      <c r="C130" s="4134">
        <v>32.1</v>
      </c>
      <c r="D130" s="4137" t="s">
        <v>1</v>
      </c>
      <c r="E130" s="4117" t="s">
        <v>3216</v>
      </c>
    </row>
    <row r="131" spans="1:5">
      <c r="A131" s="4132">
        <v>120</v>
      </c>
      <c r="B131" s="4139" t="s">
        <v>3326</v>
      </c>
      <c r="C131" s="4134">
        <v>463.77</v>
      </c>
      <c r="D131" s="4140" t="s">
        <v>1</v>
      </c>
      <c r="E131" s="4117" t="s">
        <v>3327</v>
      </c>
    </row>
    <row r="132" spans="1:5">
      <c r="A132" s="4132">
        <v>121</v>
      </c>
      <c r="B132" s="4139" t="s">
        <v>3328</v>
      </c>
      <c r="C132" s="4134">
        <v>763.5</v>
      </c>
      <c r="D132" s="4140" t="s">
        <v>1</v>
      </c>
      <c r="E132" s="4117" t="s">
        <v>3327</v>
      </c>
    </row>
    <row r="133" spans="1:5">
      <c r="A133" s="4132">
        <v>122</v>
      </c>
      <c r="B133" s="4142" t="s">
        <v>3329</v>
      </c>
      <c r="C133" s="4134">
        <v>1515.17</v>
      </c>
      <c r="D133" s="4140" t="s">
        <v>1</v>
      </c>
      <c r="E133" s="4117" t="s">
        <v>3330</v>
      </c>
    </row>
    <row r="134" spans="1:5">
      <c r="A134" s="4132">
        <v>123</v>
      </c>
      <c r="B134" s="4139" t="s">
        <v>3331</v>
      </c>
      <c r="C134" s="4134">
        <v>1655.85</v>
      </c>
      <c r="D134" s="4140" t="s">
        <v>1</v>
      </c>
      <c r="E134" s="4117" t="s">
        <v>3327</v>
      </c>
    </row>
    <row r="135" spans="1:5">
      <c r="A135" s="4132">
        <v>124</v>
      </c>
      <c r="B135" s="4117" t="s">
        <v>3332</v>
      </c>
      <c r="C135" s="4134">
        <v>98.3</v>
      </c>
      <c r="D135" s="4140" t="s">
        <v>1</v>
      </c>
      <c r="E135" s="4117" t="s">
        <v>3330</v>
      </c>
    </row>
    <row r="136" spans="1:5">
      <c r="A136" s="4132">
        <v>125</v>
      </c>
      <c r="B136" s="4142" t="s">
        <v>3333</v>
      </c>
      <c r="C136" s="4134">
        <v>3685.08</v>
      </c>
      <c r="D136" s="4140" t="s">
        <v>1</v>
      </c>
      <c r="E136" s="4117" t="s">
        <v>3330</v>
      </c>
    </row>
    <row r="137" spans="1:5">
      <c r="A137" s="4132">
        <v>126</v>
      </c>
      <c r="B137" s="4139" t="s">
        <v>3334</v>
      </c>
      <c r="C137" s="4134">
        <v>6336.96</v>
      </c>
      <c r="D137" s="4140" t="s">
        <v>1</v>
      </c>
      <c r="E137" s="4117" t="s">
        <v>3327</v>
      </c>
    </row>
    <row r="138" spans="1:5">
      <c r="A138" s="4132">
        <v>127</v>
      </c>
      <c r="B138" s="4144" t="s">
        <v>3335</v>
      </c>
      <c r="C138" s="4134">
        <v>380</v>
      </c>
      <c r="D138" s="4137" t="s">
        <v>3</v>
      </c>
      <c r="E138" s="4117" t="s">
        <v>3216</v>
      </c>
    </row>
    <row r="139" spans="1:5">
      <c r="A139" s="4132">
        <v>128</v>
      </c>
      <c r="B139" s="4143" t="s">
        <v>3336</v>
      </c>
      <c r="C139" s="4136">
        <v>24874.400000000001</v>
      </c>
      <c r="D139" s="4140" t="s">
        <v>3</v>
      </c>
      <c r="E139" s="4133" t="s">
        <v>3241</v>
      </c>
    </row>
    <row r="140" spans="1:5">
      <c r="A140" s="4132">
        <v>129</v>
      </c>
      <c r="B140" s="4143" t="s">
        <v>3337</v>
      </c>
      <c r="C140" s="4136">
        <v>31078.37</v>
      </c>
      <c r="D140" s="4140" t="s">
        <v>3</v>
      </c>
      <c r="E140" s="4133" t="s">
        <v>3241</v>
      </c>
    </row>
    <row r="141" spans="1:5">
      <c r="A141" s="4132">
        <v>130</v>
      </c>
      <c r="B141" s="4143" t="s">
        <v>3338</v>
      </c>
      <c r="C141" s="4136">
        <v>41671.94</v>
      </c>
      <c r="D141" s="4140" t="s">
        <v>3</v>
      </c>
      <c r="E141" s="4133" t="s">
        <v>3241</v>
      </c>
    </row>
    <row r="142" spans="1:5">
      <c r="A142" s="4132">
        <v>131</v>
      </c>
      <c r="B142" s="4143" t="s">
        <v>3339</v>
      </c>
      <c r="C142" s="4136">
        <v>77315.490000000005</v>
      </c>
      <c r="D142" s="4140" t="s">
        <v>3</v>
      </c>
      <c r="E142" s="4138" t="s">
        <v>3211</v>
      </c>
    </row>
    <row r="143" spans="1:5">
      <c r="A143" s="4140">
        <v>132</v>
      </c>
      <c r="B143" s="4138" t="s">
        <v>3340</v>
      </c>
      <c r="C143" s="4134">
        <v>337.49</v>
      </c>
      <c r="D143" s="4140" t="s">
        <v>3</v>
      </c>
      <c r="E143" s="4138" t="s">
        <v>3341</v>
      </c>
    </row>
    <row r="144" spans="1:5">
      <c r="A144" s="4140">
        <v>133</v>
      </c>
      <c r="B144" s="4138" t="s">
        <v>3342</v>
      </c>
      <c r="C144" s="4152">
        <v>299</v>
      </c>
      <c r="D144" s="4140" t="s">
        <v>120</v>
      </c>
      <c r="E144" s="4138" t="s">
        <v>3247</v>
      </c>
    </row>
    <row r="145" spans="1:6">
      <c r="A145" s="4138">
        <v>134</v>
      </c>
      <c r="B145" s="4138" t="str">
        <f>"SUM. DIESSEL REGULAR ("&amp;F145&amp;")"</f>
        <v>SUM. DIESSEL REGULAR (del 16-03-21 al 19-03-2021)</v>
      </c>
      <c r="C145" s="4138">
        <v>181.6</v>
      </c>
      <c r="D145" s="4140" t="s">
        <v>118</v>
      </c>
      <c r="E145" s="4138" t="s">
        <v>3343</v>
      </c>
      <c r="F145" s="4117" t="s">
        <v>3344</v>
      </c>
    </row>
    <row r="146" spans="1:6">
      <c r="A146" s="4138">
        <v>135</v>
      </c>
      <c r="B146" s="4138" t="s">
        <v>3345</v>
      </c>
      <c r="C146" s="4138">
        <v>117.06</v>
      </c>
      <c r="D146" s="4140" t="s">
        <v>47</v>
      </c>
      <c r="E146" s="4138" t="s">
        <v>3346</v>
      </c>
    </row>
    <row r="147" spans="1:6">
      <c r="A147" s="4138">
        <v>136</v>
      </c>
      <c r="B147" s="4138" t="s">
        <v>3347</v>
      </c>
      <c r="C147" s="4138">
        <v>126.42</v>
      </c>
      <c r="D147" s="4140" t="s">
        <v>47</v>
      </c>
      <c r="E147" s="4138" t="s">
        <v>3346</v>
      </c>
    </row>
    <row r="148" spans="1:6">
      <c r="A148" s="4138">
        <v>137</v>
      </c>
      <c r="B148" s="4138" t="s">
        <v>3348</v>
      </c>
      <c r="C148" s="4138">
        <v>121.28</v>
      </c>
      <c r="D148" s="4140" t="s">
        <v>1</v>
      </c>
      <c r="E148" s="4138" t="s">
        <v>3349</v>
      </c>
    </row>
    <row r="149" spans="1:6">
      <c r="A149" s="4138">
        <v>138</v>
      </c>
      <c r="B149" s="4138" t="s">
        <v>3350</v>
      </c>
      <c r="C149" s="4138">
        <v>119.62</v>
      </c>
      <c r="D149" s="4140" t="s">
        <v>1</v>
      </c>
      <c r="E149" s="4138" t="s">
        <v>3349</v>
      </c>
    </row>
    <row r="150" spans="1:6">
      <c r="A150" s="4138">
        <v>139</v>
      </c>
      <c r="B150" s="4138" t="s">
        <v>3351</v>
      </c>
      <c r="C150" s="4138">
        <v>50.23</v>
      </c>
      <c r="D150" s="4140" t="s">
        <v>1</v>
      </c>
      <c r="E150" s="4138" t="s">
        <v>3349</v>
      </c>
    </row>
    <row r="151" spans="1:6">
      <c r="A151" s="4138">
        <v>140</v>
      </c>
      <c r="B151" s="4138" t="s">
        <v>3352</v>
      </c>
      <c r="C151" s="4138">
        <v>71.790000000000006</v>
      </c>
      <c r="D151" s="4140" t="s">
        <v>1</v>
      </c>
      <c r="E151" s="4138" t="s">
        <v>3349</v>
      </c>
    </row>
    <row r="152" spans="1:6">
      <c r="A152" s="4138">
        <v>141</v>
      </c>
      <c r="B152" s="4138" t="s">
        <v>3353</v>
      </c>
      <c r="C152" s="4134">
        <v>2200</v>
      </c>
      <c r="D152" s="4140" t="s">
        <v>148</v>
      </c>
      <c r="E152" s="4138"/>
      <c r="F152" s="4138"/>
    </row>
    <row r="153" spans="1:6">
      <c r="A153" s="4138">
        <v>142</v>
      </c>
      <c r="B153" s="4138" t="s">
        <v>3354</v>
      </c>
      <c r="C153" s="4134">
        <f>1500*1.18</f>
        <v>1770</v>
      </c>
      <c r="D153" s="4140" t="s">
        <v>47</v>
      </c>
      <c r="E153" s="4138" t="s">
        <v>3213</v>
      </c>
      <c r="F153" s="4138"/>
    </row>
    <row r="154" spans="1:6">
      <c r="A154" s="4138">
        <v>143</v>
      </c>
      <c r="B154" s="4138" t="s">
        <v>3355</v>
      </c>
      <c r="C154" s="4134">
        <v>4700</v>
      </c>
      <c r="D154" s="4140" t="s">
        <v>47</v>
      </c>
      <c r="E154" s="4138"/>
      <c r="F154" s="4138"/>
    </row>
    <row r="155" spans="1:6">
      <c r="A155" s="4138">
        <v>144</v>
      </c>
      <c r="B155" s="4138" t="s">
        <v>3356</v>
      </c>
      <c r="C155" s="4153">
        <v>2500</v>
      </c>
      <c r="D155" s="4140" t="s">
        <v>3</v>
      </c>
      <c r="E155" s="4138" t="s">
        <v>3357</v>
      </c>
      <c r="F155" s="4138"/>
    </row>
    <row r="156" spans="1:6">
      <c r="A156" s="4138">
        <v>145</v>
      </c>
      <c r="B156" s="4138" t="str">
        <f>"SUM. GASOLINA REGULAR ("&amp;F156&amp;")"</f>
        <v>SUM. GASOLINA REGULAR (del 16-03-21 al 19-03-2021)</v>
      </c>
      <c r="C156" s="4134">
        <v>228.5</v>
      </c>
      <c r="D156" s="4140" t="s">
        <v>118</v>
      </c>
      <c r="E156" s="4138" t="s">
        <v>3343</v>
      </c>
      <c r="F156" s="4138" t="s">
        <v>3344</v>
      </c>
    </row>
    <row r="157" spans="1:6">
      <c r="A157" s="4138">
        <v>146</v>
      </c>
      <c r="B157" s="4154" t="s">
        <v>3358</v>
      </c>
      <c r="C157" s="4134">
        <f>12200*1.18</f>
        <v>14396</v>
      </c>
      <c r="D157" s="4140" t="s">
        <v>3</v>
      </c>
      <c r="E157" s="4138" t="s">
        <v>3359</v>
      </c>
      <c r="F157" s="4138"/>
    </row>
    <row r="158" spans="1:6">
      <c r="A158" s="4138">
        <v>147</v>
      </c>
      <c r="B158" s="4139" t="s">
        <v>3360</v>
      </c>
      <c r="C158" s="4134">
        <v>1793.6</v>
      </c>
      <c r="D158" s="4140" t="s">
        <v>3</v>
      </c>
      <c r="E158" s="4138" t="s">
        <v>3273</v>
      </c>
      <c r="F158" s="4138"/>
    </row>
    <row r="159" spans="1:6">
      <c r="A159" s="4138">
        <v>148</v>
      </c>
      <c r="B159" s="4154" t="s">
        <v>3361</v>
      </c>
      <c r="C159" s="4134">
        <v>869.63</v>
      </c>
      <c r="D159" s="4140" t="s">
        <v>3</v>
      </c>
      <c r="E159" s="4138" t="s">
        <v>3241</v>
      </c>
      <c r="F159" s="4138"/>
    </row>
    <row r="160" spans="1:6">
      <c r="A160" s="4138">
        <v>149</v>
      </c>
      <c r="B160" s="4138" t="s">
        <v>3362</v>
      </c>
      <c r="C160" s="4134">
        <v>1210</v>
      </c>
      <c r="D160" s="4140" t="s">
        <v>118</v>
      </c>
      <c r="E160" s="4138" t="s">
        <v>3211</v>
      </c>
      <c r="F160" s="4138"/>
    </row>
    <row r="161" spans="1:7">
      <c r="A161" s="4138">
        <v>150</v>
      </c>
      <c r="B161" s="4138" t="s">
        <v>3363</v>
      </c>
      <c r="C161" s="4134">
        <v>67.180000000000007</v>
      </c>
      <c r="D161" s="4140" t="s">
        <v>2432</v>
      </c>
      <c r="E161" s="4138" t="s">
        <v>3222</v>
      </c>
      <c r="F161" s="4138"/>
    </row>
    <row r="162" spans="1:7">
      <c r="A162" s="4138">
        <v>151</v>
      </c>
      <c r="B162" s="4138" t="s">
        <v>3364</v>
      </c>
      <c r="C162" s="4134">
        <v>350</v>
      </c>
      <c r="D162" s="4140" t="s">
        <v>118</v>
      </c>
      <c r="E162" s="4138"/>
      <c r="F162" s="4138"/>
    </row>
    <row r="163" spans="1:7">
      <c r="A163" s="4138">
        <v>152</v>
      </c>
      <c r="B163" s="4138" t="s">
        <v>3365</v>
      </c>
      <c r="C163" s="4152">
        <f>17*1.18</f>
        <v>20.059999999999999</v>
      </c>
      <c r="D163" s="4140" t="s">
        <v>118</v>
      </c>
      <c r="E163" s="4138" t="s">
        <v>3366</v>
      </c>
      <c r="F163" s="4138"/>
    </row>
    <row r="164" spans="1:7">
      <c r="A164" s="4138">
        <v>153</v>
      </c>
      <c r="B164" s="4139" t="s">
        <v>3367</v>
      </c>
      <c r="C164" s="4134">
        <v>1818.54</v>
      </c>
      <c r="D164" s="4140" t="s">
        <v>1</v>
      </c>
      <c r="E164" s="4138" t="s">
        <v>3330</v>
      </c>
      <c r="F164" s="4138"/>
    </row>
    <row r="165" spans="1:7">
      <c r="A165" s="4138">
        <v>154</v>
      </c>
      <c r="B165" s="4139" t="s">
        <v>3368</v>
      </c>
      <c r="C165" s="4138">
        <v>207.68</v>
      </c>
      <c r="D165" s="4140" t="s">
        <v>1</v>
      </c>
      <c r="E165" s="4138" t="s">
        <v>3236</v>
      </c>
      <c r="F165" s="4138"/>
    </row>
    <row r="166" spans="1:7">
      <c r="A166" s="4117">
        <v>155</v>
      </c>
      <c r="B166" s="4144" t="s">
        <v>3369</v>
      </c>
      <c r="C166" s="4134">
        <v>584.1</v>
      </c>
      <c r="D166" s="4140" t="s">
        <v>3</v>
      </c>
      <c r="E166" s="4138" t="s">
        <v>3370</v>
      </c>
      <c r="F166" s="4138"/>
      <c r="G166" s="4138"/>
    </row>
    <row r="167" spans="1:7">
      <c r="A167" s="4117">
        <v>156</v>
      </c>
      <c r="B167" s="4117" t="s">
        <v>3371</v>
      </c>
      <c r="C167" s="4134">
        <v>1800</v>
      </c>
      <c r="D167" s="4140" t="s">
        <v>148</v>
      </c>
      <c r="E167" s="4138" t="s">
        <v>3372</v>
      </c>
      <c r="F167" s="4138"/>
      <c r="G167" s="4138"/>
    </row>
    <row r="168" spans="1:7">
      <c r="A168" s="4117">
        <v>157</v>
      </c>
      <c r="B168" s="4138" t="s">
        <v>3373</v>
      </c>
      <c r="C168" s="4134">
        <v>110</v>
      </c>
      <c r="D168" s="4140" t="s">
        <v>183</v>
      </c>
      <c r="E168" s="4138"/>
      <c r="F168" s="4138"/>
      <c r="G168" s="4138"/>
    </row>
    <row r="169" spans="1:7">
      <c r="A169" s="4117">
        <v>158</v>
      </c>
      <c r="B169" s="4138" t="s">
        <v>3374</v>
      </c>
      <c r="C169" s="4134">
        <v>750</v>
      </c>
      <c r="D169" s="4140" t="s">
        <v>148</v>
      </c>
      <c r="E169" s="4138" t="s">
        <v>3372</v>
      </c>
      <c r="F169" s="4138"/>
      <c r="G169" s="4138"/>
    </row>
    <row r="170" spans="1:7">
      <c r="A170" s="4117">
        <v>159</v>
      </c>
      <c r="B170" s="4138" t="s">
        <v>3375</v>
      </c>
      <c r="C170" s="4134">
        <v>1600</v>
      </c>
      <c r="D170" s="4140" t="s">
        <v>148</v>
      </c>
      <c r="E170" s="4138" t="s">
        <v>3372</v>
      </c>
      <c r="F170" s="4138"/>
      <c r="G170" s="4138"/>
    </row>
    <row r="171" spans="1:7">
      <c r="A171" s="4117">
        <v>160</v>
      </c>
      <c r="B171" s="4138" t="s">
        <v>3376</v>
      </c>
      <c r="C171" s="4135">
        <v>425</v>
      </c>
      <c r="D171" s="4137" t="s">
        <v>3</v>
      </c>
      <c r="E171" s="4117" t="s">
        <v>3377</v>
      </c>
    </row>
    <row r="172" spans="1:7">
      <c r="A172" s="4117">
        <v>161</v>
      </c>
      <c r="B172" s="4155" t="s">
        <v>3378</v>
      </c>
      <c r="C172" s="4134">
        <v>620.21</v>
      </c>
      <c r="D172" s="4140" t="s">
        <v>3</v>
      </c>
      <c r="E172" s="4138" t="s">
        <v>3370</v>
      </c>
      <c r="F172" s="4138"/>
      <c r="G172" s="4138"/>
    </row>
    <row r="173" spans="1:7">
      <c r="A173" s="4117">
        <v>162</v>
      </c>
      <c r="B173" s="4156" t="s">
        <v>3379</v>
      </c>
      <c r="C173" s="4134">
        <v>55.04</v>
      </c>
      <c r="D173" s="4140" t="s">
        <v>183</v>
      </c>
      <c r="E173" s="4138" t="s">
        <v>3370</v>
      </c>
      <c r="F173" s="4138"/>
      <c r="G173" s="4138"/>
    </row>
    <row r="174" spans="1:7">
      <c r="A174" s="4117">
        <v>163</v>
      </c>
      <c r="B174" s="4156" t="s">
        <v>3380</v>
      </c>
      <c r="C174" s="4134">
        <v>72.569999999999993</v>
      </c>
      <c r="D174" s="4140" t="s">
        <v>3191</v>
      </c>
      <c r="E174" s="4138" t="s">
        <v>3370</v>
      </c>
      <c r="F174" s="4138"/>
      <c r="G174" s="4138"/>
    </row>
    <row r="175" spans="1:7">
      <c r="A175" s="4117">
        <v>164</v>
      </c>
      <c r="B175" s="4155" t="s">
        <v>3381</v>
      </c>
      <c r="C175" s="4134">
        <v>63.83</v>
      </c>
      <c r="D175" s="4140" t="s">
        <v>3</v>
      </c>
      <c r="E175" s="4138" t="s">
        <v>3370</v>
      </c>
      <c r="F175" s="4138"/>
      <c r="G175" s="4138"/>
    </row>
    <row r="176" spans="1:7">
      <c r="A176" s="4117">
        <v>165</v>
      </c>
      <c r="B176" s="4155" t="s">
        <v>3382</v>
      </c>
      <c r="C176" s="4145">
        <v>89.53</v>
      </c>
      <c r="D176" s="4140" t="s">
        <v>3</v>
      </c>
      <c r="E176" s="4138" t="s">
        <v>3370</v>
      </c>
      <c r="F176" s="4138"/>
      <c r="G176" s="4138"/>
    </row>
    <row r="177" spans="1:7">
      <c r="A177" s="4138">
        <v>166</v>
      </c>
      <c r="B177" s="4155" t="s">
        <v>3383</v>
      </c>
      <c r="C177" s="4138">
        <v>287.92</v>
      </c>
      <c r="D177" s="4140" t="s">
        <v>3</v>
      </c>
      <c r="E177" s="4138" t="s">
        <v>3370</v>
      </c>
      <c r="F177" s="4138"/>
      <c r="G177" s="4138"/>
    </row>
    <row r="178" spans="1:7">
      <c r="A178" s="4138">
        <v>167</v>
      </c>
      <c r="B178" s="4138" t="s">
        <v>3384</v>
      </c>
      <c r="C178" s="4157">
        <v>351.58</v>
      </c>
      <c r="D178" s="4140" t="s">
        <v>3</v>
      </c>
      <c r="E178" s="4138" t="s">
        <v>3211</v>
      </c>
      <c r="F178" s="4138"/>
      <c r="G178" s="4138"/>
    </row>
    <row r="179" spans="1:7">
      <c r="A179" s="4138">
        <v>168</v>
      </c>
      <c r="B179" s="4158" t="s">
        <v>3385</v>
      </c>
      <c r="C179" s="4157">
        <v>331.23</v>
      </c>
      <c r="D179" s="4140" t="s">
        <v>3</v>
      </c>
      <c r="E179" s="4138" t="s">
        <v>3211</v>
      </c>
      <c r="F179" s="4138"/>
      <c r="G179" s="4138"/>
    </row>
    <row r="180" spans="1:7">
      <c r="A180" s="4138">
        <v>169</v>
      </c>
      <c r="B180" s="4159" t="s">
        <v>3386</v>
      </c>
      <c r="C180" s="4134">
        <v>352.77</v>
      </c>
      <c r="D180" s="4140" t="s">
        <v>3</v>
      </c>
      <c r="E180" s="4138" t="s">
        <v>3211</v>
      </c>
    </row>
    <row r="181" spans="1:7">
      <c r="A181" s="4138">
        <v>170</v>
      </c>
      <c r="B181" s="4160" t="s">
        <v>3387</v>
      </c>
      <c r="C181" s="4157">
        <v>135.80000000000001</v>
      </c>
      <c r="D181" s="4161" t="s">
        <v>3</v>
      </c>
      <c r="E181" s="4138" t="s">
        <v>3388</v>
      </c>
    </row>
    <row r="182" spans="1:7">
      <c r="A182" s="4138">
        <v>171</v>
      </c>
      <c r="B182" s="4159" t="s">
        <v>3389</v>
      </c>
      <c r="C182" s="4134">
        <v>120.64</v>
      </c>
      <c r="D182" s="4161" t="s">
        <v>3</v>
      </c>
      <c r="E182" s="4138" t="s">
        <v>3388</v>
      </c>
    </row>
    <row r="183" spans="1:7">
      <c r="A183" s="4138">
        <v>172</v>
      </c>
      <c r="B183" s="4158" t="s">
        <v>3390</v>
      </c>
      <c r="C183" s="4157">
        <v>8.65</v>
      </c>
      <c r="D183" s="4140" t="s">
        <v>1665</v>
      </c>
      <c r="E183" s="4138" t="s">
        <v>3388</v>
      </c>
    </row>
    <row r="184" spans="1:7">
      <c r="A184" s="4138">
        <v>173</v>
      </c>
      <c r="B184" s="4158" t="s">
        <v>3391</v>
      </c>
      <c r="C184" s="4157">
        <v>45.39</v>
      </c>
      <c r="D184" s="4140" t="s">
        <v>3</v>
      </c>
      <c r="E184" s="4138" t="s">
        <v>3388</v>
      </c>
    </row>
    <row r="185" spans="1:7">
      <c r="A185" s="4138">
        <v>174</v>
      </c>
      <c r="B185" s="4159" t="s">
        <v>3392</v>
      </c>
      <c r="C185" s="4134">
        <v>39.28</v>
      </c>
      <c r="D185" s="4140" t="s">
        <v>3</v>
      </c>
      <c r="E185" s="4138" t="s">
        <v>3388</v>
      </c>
    </row>
    <row r="186" spans="1:7">
      <c r="A186" s="4138">
        <v>175</v>
      </c>
      <c r="B186" s="4158" t="s">
        <v>3393</v>
      </c>
      <c r="C186" s="4157">
        <v>300</v>
      </c>
      <c r="D186" s="4140" t="s">
        <v>3</v>
      </c>
      <c r="E186" s="4138" t="s">
        <v>3388</v>
      </c>
    </row>
    <row r="187" spans="1:7">
      <c r="A187" s="4138">
        <v>176</v>
      </c>
      <c r="B187" s="4158" t="s">
        <v>3394</v>
      </c>
      <c r="C187" s="4157">
        <v>281.76</v>
      </c>
      <c r="D187" s="4140" t="s">
        <v>3</v>
      </c>
      <c r="E187" s="4138" t="s">
        <v>3388</v>
      </c>
    </row>
    <row r="188" spans="1:7">
      <c r="A188" s="4138">
        <v>177</v>
      </c>
      <c r="B188" s="4160" t="s">
        <v>3395</v>
      </c>
      <c r="C188" s="4157">
        <v>3.2</v>
      </c>
      <c r="D188" s="4140" t="s">
        <v>3</v>
      </c>
      <c r="E188" s="4138" t="s">
        <v>3388</v>
      </c>
    </row>
    <row r="189" spans="1:7">
      <c r="A189" s="4138">
        <v>178</v>
      </c>
      <c r="B189" s="4158" t="s">
        <v>3396</v>
      </c>
      <c r="C189" s="4157">
        <v>79.52</v>
      </c>
      <c r="D189" s="4140" t="s">
        <v>3</v>
      </c>
      <c r="E189" s="4138" t="s">
        <v>3388</v>
      </c>
    </row>
    <row r="190" spans="1:7">
      <c r="A190" s="4138">
        <v>179</v>
      </c>
      <c r="B190" s="4158" t="s">
        <v>3397</v>
      </c>
      <c r="C190" s="4157">
        <v>82.45</v>
      </c>
      <c r="D190" s="4140" t="s">
        <v>3</v>
      </c>
      <c r="E190" s="4138" t="s">
        <v>3388</v>
      </c>
    </row>
    <row r="191" spans="1:7">
      <c r="A191" s="4138">
        <v>180</v>
      </c>
      <c r="B191" s="4138" t="s">
        <v>3398</v>
      </c>
      <c r="C191" s="4134">
        <v>860.2</v>
      </c>
      <c r="D191" s="4140" t="s">
        <v>3</v>
      </c>
      <c r="E191" s="4138" t="s">
        <v>3377</v>
      </c>
    </row>
    <row r="192" spans="1:7">
      <c r="A192" s="4138">
        <v>181</v>
      </c>
      <c r="B192" s="4138" t="s">
        <v>3399</v>
      </c>
      <c r="C192" s="4134">
        <v>387.44</v>
      </c>
      <c r="D192" s="4140" t="s">
        <v>3</v>
      </c>
      <c r="E192" s="4138" t="s">
        <v>3377</v>
      </c>
      <c r="F192" s="4162"/>
    </row>
    <row r="193" spans="1:6">
      <c r="A193" s="4138">
        <v>182</v>
      </c>
      <c r="B193" s="4138" t="s">
        <v>3400</v>
      </c>
      <c r="C193" s="4138">
        <v>189.54</v>
      </c>
      <c r="D193" s="4140" t="s">
        <v>1</v>
      </c>
      <c r="E193" s="4138" t="s">
        <v>3401</v>
      </c>
    </row>
    <row r="194" spans="1:6">
      <c r="A194" s="4138">
        <v>183</v>
      </c>
      <c r="B194" s="4138" t="s">
        <v>3402</v>
      </c>
      <c r="C194" s="4138">
        <v>245.18</v>
      </c>
      <c r="D194" s="4140" t="s">
        <v>1</v>
      </c>
      <c r="E194" s="4138" t="s">
        <v>3401</v>
      </c>
      <c r="F194" s="4135"/>
    </row>
    <row r="195" spans="1:6">
      <c r="A195" s="4138">
        <v>184</v>
      </c>
      <c r="B195" s="4138" t="s">
        <v>3403</v>
      </c>
      <c r="C195" s="4138">
        <v>28.72</v>
      </c>
      <c r="D195" s="4140" t="s">
        <v>11</v>
      </c>
      <c r="E195" s="4138" t="s">
        <v>3401</v>
      </c>
    </row>
    <row r="196" spans="1:6">
      <c r="A196" s="4138">
        <v>185</v>
      </c>
      <c r="B196" s="4138" t="s">
        <v>3404</v>
      </c>
      <c r="C196" s="4134">
        <v>2500</v>
      </c>
      <c r="D196" s="4140" t="s">
        <v>3405</v>
      </c>
      <c r="E196" s="4138" t="s">
        <v>3406</v>
      </c>
    </row>
    <row r="197" spans="1:6">
      <c r="A197" s="4138">
        <v>186</v>
      </c>
      <c r="B197" s="4138" t="s">
        <v>3407</v>
      </c>
      <c r="C197" s="4138">
        <v>198.8</v>
      </c>
      <c r="D197" s="4140" t="s">
        <v>11</v>
      </c>
      <c r="E197" s="4138" t="s">
        <v>3401</v>
      </c>
    </row>
    <row r="198" spans="1:6">
      <c r="A198" s="4138">
        <v>187</v>
      </c>
      <c r="B198" s="4138" t="s">
        <v>3408</v>
      </c>
      <c r="C198" s="4138">
        <v>249.6</v>
      </c>
      <c r="D198" s="4140" t="s">
        <v>11</v>
      </c>
      <c r="E198" s="4138" t="s">
        <v>3401</v>
      </c>
    </row>
    <row r="199" spans="1:6">
      <c r="A199" s="4138">
        <v>188</v>
      </c>
      <c r="B199" s="4138" t="s">
        <v>3409</v>
      </c>
      <c r="C199" s="4138">
        <v>28.72</v>
      </c>
      <c r="D199" s="4140" t="s">
        <v>11</v>
      </c>
      <c r="E199" s="4138" t="s">
        <v>3401</v>
      </c>
    </row>
    <row r="200" spans="1:6">
      <c r="A200" s="4138">
        <v>189</v>
      </c>
      <c r="B200" s="4138" t="s">
        <v>3190</v>
      </c>
      <c r="C200" s="4134">
        <v>750</v>
      </c>
      <c r="D200" s="4140" t="s">
        <v>148</v>
      </c>
      <c r="E200" s="4138" t="s">
        <v>3372</v>
      </c>
    </row>
    <row r="201" spans="1:6">
      <c r="A201" s="4138">
        <v>190</v>
      </c>
      <c r="B201" s="4138" t="s">
        <v>3410</v>
      </c>
      <c r="C201" s="4138">
        <v>33.14</v>
      </c>
      <c r="D201" s="4140" t="s">
        <v>11</v>
      </c>
      <c r="E201" s="4138" t="s">
        <v>3401</v>
      </c>
    </row>
    <row r="202" spans="1:6">
      <c r="A202" s="4138">
        <v>191</v>
      </c>
      <c r="B202" s="4138" t="s">
        <v>3411</v>
      </c>
      <c r="C202" s="4138">
        <v>309.22000000000003</v>
      </c>
      <c r="D202" s="4140" t="s">
        <v>1</v>
      </c>
      <c r="E202" s="4138" t="s">
        <v>3401</v>
      </c>
    </row>
    <row r="203" spans="1:6">
      <c r="A203" s="4138">
        <v>192</v>
      </c>
      <c r="B203" s="4138" t="s">
        <v>3412</v>
      </c>
      <c r="C203" s="4138">
        <v>189.96</v>
      </c>
      <c r="D203" s="4140" t="s">
        <v>11</v>
      </c>
      <c r="E203" s="4138" t="s">
        <v>3401</v>
      </c>
    </row>
    <row r="204" spans="1:6">
      <c r="A204" s="4138">
        <v>193</v>
      </c>
      <c r="B204" s="4138" t="s">
        <v>3413</v>
      </c>
      <c r="C204" s="4138">
        <v>35.33</v>
      </c>
      <c r="D204" s="4140" t="s">
        <v>11</v>
      </c>
      <c r="E204" s="4138" t="s">
        <v>3401</v>
      </c>
    </row>
    <row r="205" spans="1:6">
      <c r="A205" s="4138">
        <v>194</v>
      </c>
      <c r="B205" s="4138" t="s">
        <v>3414</v>
      </c>
      <c r="C205" s="4138">
        <v>165.66</v>
      </c>
      <c r="D205" s="4140" t="s">
        <v>11</v>
      </c>
      <c r="E205" s="4138" t="s">
        <v>3401</v>
      </c>
    </row>
    <row r="206" spans="1:6">
      <c r="A206" s="4138">
        <v>195</v>
      </c>
      <c r="B206" s="4138" t="s">
        <v>3415</v>
      </c>
      <c r="C206" s="4134">
        <v>2391.58</v>
      </c>
      <c r="D206" s="4140" t="s">
        <v>118</v>
      </c>
      <c r="E206" s="4138" t="s">
        <v>3211</v>
      </c>
    </row>
    <row r="207" spans="1:6">
      <c r="A207" s="4138">
        <v>196</v>
      </c>
      <c r="B207" s="4138" t="s">
        <v>3416</v>
      </c>
      <c r="C207" s="4134">
        <v>2300</v>
      </c>
      <c r="D207" s="4140" t="s">
        <v>148</v>
      </c>
      <c r="E207" s="4138" t="s">
        <v>3417</v>
      </c>
    </row>
    <row r="208" spans="1:6">
      <c r="A208" s="4138">
        <v>197</v>
      </c>
      <c r="B208" s="4154" t="s">
        <v>3418</v>
      </c>
      <c r="C208" s="4134">
        <f>18000*1.18</f>
        <v>21240</v>
      </c>
      <c r="D208" s="4140" t="s">
        <v>3</v>
      </c>
      <c r="E208" s="4138" t="s">
        <v>3419</v>
      </c>
    </row>
    <row r="209" spans="1:5">
      <c r="A209" s="4138">
        <v>198</v>
      </c>
      <c r="B209" s="4139" t="s">
        <v>3420</v>
      </c>
      <c r="C209" s="4134">
        <v>2041.4</v>
      </c>
      <c r="D209" s="4140" t="s">
        <v>3</v>
      </c>
      <c r="E209" s="4138" t="s">
        <v>3273</v>
      </c>
    </row>
    <row r="210" spans="1:5">
      <c r="A210" s="4138">
        <v>199</v>
      </c>
      <c r="B210" s="4154" t="s">
        <v>3421</v>
      </c>
      <c r="C210" s="4134">
        <v>1293.4100000000001</v>
      </c>
      <c r="D210" s="4140" t="s">
        <v>3</v>
      </c>
      <c r="E210" s="4138" t="s">
        <v>3419</v>
      </c>
    </row>
    <row r="211" spans="1:5">
      <c r="A211" s="4138">
        <v>200</v>
      </c>
      <c r="B211" s="4163" t="s">
        <v>3189</v>
      </c>
      <c r="C211" s="4134">
        <v>2631.4</v>
      </c>
      <c r="D211" s="4140" t="s">
        <v>3</v>
      </c>
      <c r="E211" s="4138" t="s">
        <v>3419</v>
      </c>
    </row>
    <row r="212" spans="1:5">
      <c r="A212" s="4138">
        <v>201</v>
      </c>
      <c r="B212" s="4139" t="s">
        <v>3422</v>
      </c>
      <c r="C212" s="4134">
        <v>616.75</v>
      </c>
      <c r="D212" s="4140" t="s">
        <v>1</v>
      </c>
      <c r="E212" s="4138" t="s">
        <v>3327</v>
      </c>
    </row>
    <row r="213" spans="1:5">
      <c r="A213" s="4138">
        <v>202</v>
      </c>
      <c r="B213" s="4138" t="s">
        <v>3423</v>
      </c>
      <c r="C213" s="4134">
        <f>1371.98*1.18</f>
        <v>1618.94</v>
      </c>
      <c r="D213" s="4140" t="s">
        <v>3</v>
      </c>
      <c r="E213" s="4138" t="s">
        <v>3424</v>
      </c>
    </row>
    <row r="214" spans="1:5">
      <c r="A214" s="4138">
        <v>203</v>
      </c>
      <c r="B214" s="4138" t="s">
        <v>3425</v>
      </c>
      <c r="C214" s="4134">
        <f>4416*1.18</f>
        <v>5210.88</v>
      </c>
      <c r="D214" s="4140" t="s">
        <v>3</v>
      </c>
      <c r="E214" s="4138" t="s">
        <v>3424</v>
      </c>
    </row>
    <row r="215" spans="1:5">
      <c r="A215" s="4138">
        <v>204</v>
      </c>
      <c r="B215" s="4138" t="s">
        <v>3426</v>
      </c>
      <c r="C215" s="4138">
        <v>115.03</v>
      </c>
      <c r="D215" s="4140" t="s">
        <v>3</v>
      </c>
      <c r="E215" s="4138" t="s">
        <v>3427</v>
      </c>
    </row>
    <row r="216" spans="1:5">
      <c r="A216" s="4138">
        <v>205</v>
      </c>
      <c r="B216" s="4138" t="s">
        <v>3428</v>
      </c>
      <c r="C216" s="4138">
        <v>165.66</v>
      </c>
      <c r="D216" s="4140" t="s">
        <v>1</v>
      </c>
      <c r="E216" s="4138" t="s">
        <v>3401</v>
      </c>
    </row>
    <row r="217" spans="1:5">
      <c r="A217" s="4117">
        <v>206</v>
      </c>
      <c r="B217" s="4138" t="s">
        <v>3429</v>
      </c>
      <c r="C217" s="4117">
        <v>33.14</v>
      </c>
      <c r="D217" s="4137" t="s">
        <v>11</v>
      </c>
      <c r="E217" s="4138" t="s">
        <v>3401</v>
      </c>
    </row>
    <row r="218" spans="1:5">
      <c r="A218" s="4117">
        <v>207</v>
      </c>
      <c r="B218" s="4138" t="s">
        <v>3430</v>
      </c>
      <c r="C218" s="4117">
        <v>1.76</v>
      </c>
      <c r="D218" s="4137" t="s">
        <v>3</v>
      </c>
      <c r="E218" s="4138" t="s">
        <v>3431</v>
      </c>
    </row>
    <row r="219" spans="1:5">
      <c r="A219" s="4117">
        <v>208</v>
      </c>
      <c r="B219" s="4139" t="s">
        <v>3432</v>
      </c>
      <c r="C219" s="4134">
        <v>3754.08</v>
      </c>
      <c r="D219" s="4140" t="s">
        <v>1</v>
      </c>
      <c r="E219" s="4117" t="s">
        <v>3327</v>
      </c>
    </row>
    <row r="220" spans="1:5">
      <c r="A220" s="4117">
        <v>209</v>
      </c>
      <c r="B220" s="4139" t="s">
        <v>3433</v>
      </c>
      <c r="C220" s="4134">
        <v>43.04</v>
      </c>
      <c r="D220" s="4140" t="s">
        <v>1</v>
      </c>
      <c r="E220" s="4133" t="s">
        <v>3233</v>
      </c>
    </row>
    <row r="221" spans="1:5">
      <c r="A221" s="4117">
        <v>210</v>
      </c>
      <c r="B221" s="4117" t="s">
        <v>3434</v>
      </c>
      <c r="C221" s="4134">
        <f>19895*1.18</f>
        <v>23476.1</v>
      </c>
      <c r="D221" s="4164" t="s">
        <v>3</v>
      </c>
      <c r="E221" s="4138" t="s">
        <v>3435</v>
      </c>
    </row>
    <row r="222" spans="1:5">
      <c r="A222" s="4117">
        <v>211</v>
      </c>
      <c r="B222" s="4117" t="s">
        <v>3436</v>
      </c>
      <c r="C222" s="4135">
        <v>115</v>
      </c>
      <c r="D222" s="4137" t="s">
        <v>1665</v>
      </c>
      <c r="E222" s="4117" t="s">
        <v>3216</v>
      </c>
    </row>
    <row r="223" spans="1:5">
      <c r="A223" s="4117">
        <v>212</v>
      </c>
      <c r="B223" s="4117" t="s">
        <v>3437</v>
      </c>
      <c r="C223" s="4138">
        <v>131.86000000000001</v>
      </c>
      <c r="D223" s="4164" t="s">
        <v>3</v>
      </c>
      <c r="E223" s="4117" t="s">
        <v>3438</v>
      </c>
    </row>
    <row r="224" spans="1:5">
      <c r="A224" s="4117">
        <v>213</v>
      </c>
      <c r="B224" s="4117" t="s">
        <v>3439</v>
      </c>
      <c r="C224" s="4138">
        <v>43.04</v>
      </c>
      <c r="D224" s="4164" t="s">
        <v>3</v>
      </c>
      <c r="E224" s="4133" t="s">
        <v>3233</v>
      </c>
    </row>
    <row r="225" spans="1:5">
      <c r="A225" s="4117">
        <v>214</v>
      </c>
      <c r="B225" s="4117" t="s">
        <v>3440</v>
      </c>
      <c r="C225" s="4135">
        <f>22550*1.18</f>
        <v>26609</v>
      </c>
      <c r="D225" s="4137" t="s">
        <v>1</v>
      </c>
      <c r="E225" s="4138" t="s">
        <v>3441</v>
      </c>
    </row>
    <row r="226" spans="1:5">
      <c r="A226" s="4117">
        <v>215</v>
      </c>
      <c r="B226" s="4117" t="s">
        <v>3442</v>
      </c>
      <c r="C226" s="4135">
        <v>2600</v>
      </c>
      <c r="D226" s="4137" t="s">
        <v>3</v>
      </c>
      <c r="E226" s="4138" t="s">
        <v>3443</v>
      </c>
    </row>
    <row r="227" spans="1:5">
      <c r="A227" s="4117">
        <v>216</v>
      </c>
      <c r="B227" s="4117" t="s">
        <v>3444</v>
      </c>
      <c r="C227" s="4135">
        <v>5500</v>
      </c>
      <c r="D227" s="4137" t="s">
        <v>3</v>
      </c>
      <c r="E227" s="4138" t="s">
        <v>3443</v>
      </c>
    </row>
    <row r="228" spans="1:5">
      <c r="A228" s="4117">
        <v>217</v>
      </c>
      <c r="B228" s="4117" t="s">
        <v>3445</v>
      </c>
      <c r="C228" s="4135">
        <v>80</v>
      </c>
      <c r="D228" s="4137" t="s">
        <v>3</v>
      </c>
      <c r="E228" s="4138" t="s">
        <v>3446</v>
      </c>
    </row>
  </sheetData>
  <customSheetViews>
    <customSheetView guid="{43BC9397-3E8C-478C-B548-E4A845A7F82B}" scale="130" topLeftCell="A211">
      <selection activeCell="B131" sqref="B131"/>
      <pageMargins left="0.7" right="0.7" top="0.75" bottom="0.75" header="0.3" footer="0.3"/>
      <pageSetup orientation="portrait" r:id="rId1"/>
    </customSheetView>
  </customSheetViews>
  <mergeCells count="6">
    <mergeCell ref="A8:B8"/>
    <mergeCell ref="A1:E1"/>
    <mergeCell ref="A2:E2"/>
    <mergeCell ref="A3:E3"/>
    <mergeCell ref="A4:E4"/>
    <mergeCell ref="A6:E6"/>
  </mergeCell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G10:I12"/>
  <sheetViews>
    <sheetView workbookViewId="0"/>
  </sheetViews>
  <sheetFormatPr baseColWidth="10" defaultColWidth="11.42578125" defaultRowHeight="12.75"/>
  <sheetData>
    <row r="10" spans="7:9">
      <c r="G10">
        <v>1600</v>
      </c>
    </row>
    <row r="11" spans="7:9">
      <c r="G11">
        <f>320/G10</f>
        <v>0.2</v>
      </c>
      <c r="I11">
        <v>1510.4</v>
      </c>
    </row>
    <row r="12" spans="7:9">
      <c r="I12">
        <f>+I11/2</f>
        <v>755.2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H48"/>
  <sheetViews>
    <sheetView workbookViewId="0"/>
  </sheetViews>
  <sheetFormatPr baseColWidth="10" defaultColWidth="11.42578125" defaultRowHeight="12.75"/>
  <cols>
    <col min="1" max="1" width="42.28515625" style="1268" customWidth="1"/>
    <col min="2" max="2" width="12.7109375" style="1268" customWidth="1"/>
    <col min="3" max="3" width="7.85546875" style="1268" customWidth="1"/>
    <col min="4" max="4" width="15.85546875" style="1268" customWidth="1"/>
    <col min="5" max="5" width="14.140625" style="1268" customWidth="1"/>
    <col min="6" max="16384" width="11.42578125" style="1268"/>
  </cols>
  <sheetData>
    <row r="1" spans="1:8" ht="15">
      <c r="A1" s="1270" t="s">
        <v>1206</v>
      </c>
      <c r="B1" s="1271"/>
      <c r="C1" s="1272"/>
      <c r="D1" s="1271"/>
      <c r="E1" s="1271"/>
    </row>
    <row r="2" spans="1:8" ht="15">
      <c r="A2" s="1270"/>
      <c r="B2" s="1271"/>
      <c r="C2" s="1272"/>
      <c r="D2" s="1271"/>
      <c r="E2" s="1271"/>
    </row>
    <row r="4" spans="1:8" ht="13.5" thickBot="1">
      <c r="A4" s="1273" t="s">
        <v>2174</v>
      </c>
      <c r="B4" s="1274"/>
      <c r="C4" s="1275"/>
      <c r="D4" s="1274"/>
      <c r="E4" s="1274"/>
    </row>
    <row r="5" spans="1:8" ht="13.5" thickTop="1">
      <c r="A5" s="1276" t="s">
        <v>1085</v>
      </c>
      <c r="B5" s="1277">
        <v>1.05</v>
      </c>
      <c r="C5" s="1278" t="s">
        <v>2</v>
      </c>
      <c r="D5" s="1277">
        <v>8030.02</v>
      </c>
      <c r="E5" s="1279">
        <f>B5*D5</f>
        <v>8431.52</v>
      </c>
      <c r="G5" s="1269">
        <v>5701</v>
      </c>
    </row>
    <row r="6" spans="1:8">
      <c r="A6" s="1280" t="s">
        <v>272</v>
      </c>
      <c r="B6" s="1281">
        <v>2.1800000000000002</v>
      </c>
      <c r="C6" s="1282" t="s">
        <v>126</v>
      </c>
      <c r="D6" s="1281">
        <v>2745.66</v>
      </c>
      <c r="E6" s="1283">
        <f>B6*D6</f>
        <v>5985.54</v>
      </c>
      <c r="F6" s="1268">
        <f>15.54/11.42</f>
        <v>1.36077057793345</v>
      </c>
      <c r="G6" s="1269">
        <v>2745.66</v>
      </c>
      <c r="H6" s="1317">
        <f>16.96/12.1</f>
        <v>1.40165289256198</v>
      </c>
    </row>
    <row r="7" spans="1:8" ht="13.5" thickBot="1">
      <c r="A7" s="1284"/>
      <c r="B7" s="1285"/>
      <c r="C7" s="1286"/>
      <c r="D7" s="1287" t="s">
        <v>1031</v>
      </c>
      <c r="E7" s="1318">
        <f>SUM(E5:E6)</f>
        <v>14417.06</v>
      </c>
    </row>
    <row r="8" spans="1:8" ht="14.25" thickTop="1" thickBot="1">
      <c r="A8" s="1273" t="s">
        <v>2175</v>
      </c>
      <c r="B8" s="1274"/>
      <c r="C8" s="1275"/>
      <c r="D8" s="1274"/>
      <c r="E8" s="1274"/>
    </row>
    <row r="9" spans="1:8" ht="13.5" thickTop="1">
      <c r="A9" s="1276" t="s">
        <v>1085</v>
      </c>
      <c r="B9" s="1277">
        <v>1.05</v>
      </c>
      <c r="C9" s="1278" t="s">
        <v>2</v>
      </c>
      <c r="D9" s="1277">
        <v>8030.02</v>
      </c>
      <c r="E9" s="1279">
        <f>B9*D9</f>
        <v>8431.52</v>
      </c>
      <c r="G9" s="1269">
        <v>5701</v>
      </c>
    </row>
    <row r="10" spans="1:8">
      <c r="A10" s="1280" t="s">
        <v>272</v>
      </c>
      <c r="B10" s="1281">
        <v>2.8</v>
      </c>
      <c r="C10" s="1282" t="s">
        <v>126</v>
      </c>
      <c r="D10" s="1281">
        <v>2745.66</v>
      </c>
      <c r="E10" s="1283">
        <f>B10*D10</f>
        <v>7687.85</v>
      </c>
      <c r="F10" s="1268">
        <f>15.54/11.42</f>
        <v>1.36077057793345</v>
      </c>
      <c r="G10" s="1269">
        <v>2745.66</v>
      </c>
      <c r="H10" s="1317">
        <f>16.96/12.1</f>
        <v>1.40165289256198</v>
      </c>
    </row>
    <row r="11" spans="1:8" ht="13.5" thickBot="1">
      <c r="A11" s="1284"/>
      <c r="B11" s="1285"/>
      <c r="C11" s="1286"/>
      <c r="D11" s="1287" t="s">
        <v>1031</v>
      </c>
      <c r="E11" s="1318">
        <f>SUM(E9:E10)</f>
        <v>16119.37</v>
      </c>
    </row>
    <row r="12" spans="1:8" ht="13.5" thickTop="1">
      <c r="A12" s="1289"/>
      <c r="B12" s="1290"/>
      <c r="C12" s="1289"/>
      <c r="D12" s="1291"/>
      <c r="E12" s="1291"/>
    </row>
    <row r="13" spans="1:8" ht="13.5" thickBot="1">
      <c r="A13" s="1292" t="s">
        <v>2176</v>
      </c>
      <c r="B13" s="1274"/>
      <c r="C13" s="1275"/>
      <c r="D13" s="1274"/>
      <c r="E13" s="1274"/>
    </row>
    <row r="14" spans="1:8" ht="13.5" thickTop="1">
      <c r="A14" s="1276" t="s">
        <v>1085</v>
      </c>
      <c r="B14" s="1277">
        <v>1.05</v>
      </c>
      <c r="C14" s="1278" t="s">
        <v>2</v>
      </c>
      <c r="D14" s="1277">
        <f>D9</f>
        <v>8030.02</v>
      </c>
      <c r="E14" s="1279">
        <f>B14*D14</f>
        <v>8431.52</v>
      </c>
    </row>
    <row r="15" spans="1:8">
      <c r="A15" s="1280" t="s">
        <v>272</v>
      </c>
      <c r="B15" s="1281">
        <v>2.6</v>
      </c>
      <c r="C15" s="1282" t="s">
        <v>126</v>
      </c>
      <c r="D15" s="1281">
        <f>D10</f>
        <v>2745.66</v>
      </c>
      <c r="E15" s="1283">
        <f>B15*D15</f>
        <v>7138.72</v>
      </c>
      <c r="F15" s="1268">
        <f>20.01/5.98</f>
        <v>3.3461538461538498</v>
      </c>
      <c r="H15" s="1317">
        <f>22.55/6.91</f>
        <v>3.2633863965267702</v>
      </c>
    </row>
    <row r="16" spans="1:8" ht="13.5" thickBot="1">
      <c r="A16" s="1284"/>
      <c r="B16" s="1285"/>
      <c r="C16" s="1286"/>
      <c r="D16" s="1287" t="s">
        <v>1031</v>
      </c>
      <c r="E16" s="1318">
        <f>SUM(E14:E15)</f>
        <v>15570.24</v>
      </c>
    </row>
    <row r="17" spans="1:7" ht="13.5" thickTop="1">
      <c r="A17" s="1293"/>
      <c r="B17" s="1294"/>
      <c r="C17" s="1293"/>
      <c r="D17" s="1294"/>
      <c r="E17" s="1294"/>
    </row>
    <row r="18" spans="1:7" ht="13.5" thickBot="1">
      <c r="A18" s="1292" t="s">
        <v>2177</v>
      </c>
      <c r="B18" s="1274"/>
      <c r="C18" s="1275"/>
      <c r="D18" s="1274"/>
      <c r="E18" s="1274"/>
    </row>
    <row r="19" spans="1:7" ht="13.5" thickTop="1">
      <c r="A19" s="1276" t="s">
        <v>1085</v>
      </c>
      <c r="B19" s="1277">
        <v>1.05</v>
      </c>
      <c r="C19" s="1278" t="s">
        <v>2</v>
      </c>
      <c r="D19" s="1277">
        <f>D9</f>
        <v>8030.02</v>
      </c>
      <c r="E19" s="1279">
        <f>B19*D19</f>
        <v>8431.52</v>
      </c>
    </row>
    <row r="20" spans="1:7">
      <c r="A20" s="1280" t="s">
        <v>1208</v>
      </c>
      <c r="B20" s="1281">
        <v>5</v>
      </c>
      <c r="C20" s="1282" t="s">
        <v>126</v>
      </c>
      <c r="D20" s="1281" t="e">
        <f>#REF!</f>
        <v>#REF!</v>
      </c>
      <c r="E20" s="1283" t="e">
        <f>B20*D20</f>
        <v>#REF!</v>
      </c>
      <c r="F20" s="1268">
        <f>6.78/0.95</f>
        <v>7.1368421052631597</v>
      </c>
      <c r="G20" s="1268">
        <f>7.93/1.13</f>
        <v>7.01769911504425</v>
      </c>
    </row>
    <row r="21" spans="1:7">
      <c r="A21" s="1280" t="s">
        <v>2178</v>
      </c>
      <c r="B21" s="1281">
        <f>1/(0.3*0.3)</f>
        <v>11.11</v>
      </c>
      <c r="C21" s="1295" t="s">
        <v>13</v>
      </c>
      <c r="D21" s="1281">
        <v>375</v>
      </c>
      <c r="E21" s="1283">
        <f>B21*D21</f>
        <v>4166.25</v>
      </c>
    </row>
    <row r="22" spans="1:7">
      <c r="A22" s="1280"/>
      <c r="B22" s="1281"/>
      <c r="C22" s="1298"/>
      <c r="D22" s="1299" t="s">
        <v>1031</v>
      </c>
      <c r="E22" s="1319" t="e">
        <f>SUM(E19:E21)</f>
        <v>#REF!</v>
      </c>
    </row>
    <row r="23" spans="1:7">
      <c r="A23" s="1289"/>
      <c r="B23" s="1290"/>
      <c r="C23" s="1289"/>
      <c r="D23" s="1291"/>
      <c r="E23"/>
    </row>
    <row r="24" spans="1:7" ht="13.5" thickBot="1">
      <c r="A24" s="1292" t="s">
        <v>2179</v>
      </c>
      <c r="B24" s="1274"/>
      <c r="C24" s="1275"/>
      <c r="D24" s="1274"/>
      <c r="E24" s="1274"/>
    </row>
    <row r="25" spans="1:7" ht="14.25" thickTop="1" thickBot="1">
      <c r="A25" s="1276" t="s">
        <v>1085</v>
      </c>
      <c r="B25" s="1277">
        <v>1.05</v>
      </c>
      <c r="C25" s="1278" t="s">
        <v>2</v>
      </c>
      <c r="D25" s="1277">
        <f>D9</f>
        <v>8030.02</v>
      </c>
      <c r="E25" s="1279">
        <f>B25*D25</f>
        <v>8431.52</v>
      </c>
    </row>
    <row r="26" spans="1:7" ht="14.25" thickTop="1" thickBot="1">
      <c r="A26" s="1280" t="s">
        <v>272</v>
      </c>
      <c r="B26" s="1281">
        <v>2.44</v>
      </c>
      <c r="C26" s="1282" t="s">
        <v>126</v>
      </c>
      <c r="D26" s="1281">
        <f>D10</f>
        <v>2745.66</v>
      </c>
      <c r="E26" s="1279">
        <f>B26*D26</f>
        <v>6699.41</v>
      </c>
      <c r="F26" s="1268">
        <f>((45.14)/4)/(10.92/4)</f>
        <v>4.1336996336996297</v>
      </c>
      <c r="G26" s="1268">
        <f>56.42/13.8</f>
        <v>4.0884057971014496</v>
      </c>
    </row>
    <row r="27" spans="1:7" ht="13.5" thickTop="1">
      <c r="A27" s="1280" t="s">
        <v>1089</v>
      </c>
      <c r="B27" s="1281">
        <v>10</v>
      </c>
      <c r="C27" s="1295" t="s">
        <v>11</v>
      </c>
      <c r="D27" s="1281">
        <v>550</v>
      </c>
      <c r="E27" s="1279">
        <f>B27*D27</f>
        <v>5500</v>
      </c>
      <c r="F27" s="1268">
        <f>(1/0.2)*2</f>
        <v>10</v>
      </c>
    </row>
    <row r="28" spans="1:7" ht="13.5" thickBot="1">
      <c r="A28" s="1284"/>
      <c r="B28" s="1285"/>
      <c r="C28" s="1286"/>
      <c r="D28" s="1287" t="s">
        <v>1031</v>
      </c>
      <c r="E28" s="1318">
        <f>SUM(E25:E27)</f>
        <v>20630.93</v>
      </c>
    </row>
    <row r="29" spans="1:7" ht="13.5" thickTop="1">
      <c r="A29" s="1296"/>
      <c r="B29" s="1294"/>
      <c r="C29" s="1293"/>
      <c r="D29" s="1294"/>
      <c r="E29" s="1294"/>
    </row>
    <row r="30" spans="1:7">
      <c r="A30" s="1275"/>
      <c r="B30" s="1274"/>
      <c r="C30" s="1275"/>
      <c r="D30" s="1274"/>
      <c r="E30" s="1274"/>
    </row>
    <row r="31" spans="1:7" ht="13.5" thickBot="1">
      <c r="A31" s="1297" t="s">
        <v>2180</v>
      </c>
      <c r="B31" s="1300"/>
      <c r="C31" s="1297"/>
      <c r="D31" s="1300"/>
      <c r="E31" s="1300"/>
    </row>
    <row r="32" spans="1:7" ht="13.5" thickTop="1">
      <c r="A32" s="1276" t="s">
        <v>1085</v>
      </c>
      <c r="B32" s="1277">
        <v>1.05</v>
      </c>
      <c r="C32" s="1278" t="s">
        <v>2</v>
      </c>
      <c r="D32" s="1277">
        <f>D9</f>
        <v>8030.02</v>
      </c>
      <c r="E32" s="1279">
        <f>B32*D32</f>
        <v>8431.52</v>
      </c>
    </row>
    <row r="33" spans="1:7">
      <c r="A33" s="1280" t="s">
        <v>272</v>
      </c>
      <c r="B33" s="1281">
        <v>1.57</v>
      </c>
      <c r="C33" s="1282" t="s">
        <v>126</v>
      </c>
      <c r="D33" s="1281">
        <f>+D26</f>
        <v>2745.66</v>
      </c>
      <c r="E33" s="1283">
        <f>B33*D33</f>
        <v>4310.6899999999996</v>
      </c>
      <c r="F33" s="1268">
        <f>6.84/7.25</f>
        <v>0.94344827586206903</v>
      </c>
      <c r="G33" s="1268">
        <f>7.61/8.09</f>
        <v>0.94066749072929501</v>
      </c>
    </row>
    <row r="34" spans="1:7">
      <c r="A34" s="1280" t="s">
        <v>1089</v>
      </c>
      <c r="B34" s="1281">
        <f>1/0.15</f>
        <v>6.67</v>
      </c>
      <c r="C34" s="1295" t="s">
        <v>13</v>
      </c>
      <c r="D34" s="1281">
        <v>225</v>
      </c>
      <c r="E34" s="1283">
        <f>B34*D34</f>
        <v>1500.75</v>
      </c>
    </row>
    <row r="35" spans="1:7" ht="13.5" thickBot="1">
      <c r="A35" s="1284"/>
      <c r="B35" s="1285"/>
      <c r="C35" s="1286"/>
      <c r="D35" s="1287"/>
      <c r="E35" s="1318">
        <f>SUM(E32:E34)</f>
        <v>14242.96</v>
      </c>
    </row>
    <row r="36" spans="1:7" ht="13.5" thickTop="1">
      <c r="A36" s="1275"/>
      <c r="B36" s="1274"/>
      <c r="C36" s="1275"/>
      <c r="D36" s="1274"/>
      <c r="E36" s="1274"/>
    </row>
    <row r="37" spans="1:7" ht="13.5" thickBot="1">
      <c r="A37" s="1297" t="s">
        <v>2181</v>
      </c>
      <c r="B37" s="1300"/>
      <c r="C37" s="1297"/>
      <c r="D37" s="1300"/>
      <c r="E37" s="1300"/>
    </row>
    <row r="38" spans="1:7" ht="13.5" thickTop="1">
      <c r="A38" s="1276" t="s">
        <v>1085</v>
      </c>
      <c r="B38" s="1277">
        <v>1.05</v>
      </c>
      <c r="C38" s="1278" t="s">
        <v>2</v>
      </c>
      <c r="D38" s="1277">
        <f>D15</f>
        <v>2745.66</v>
      </c>
      <c r="E38" s="1279">
        <f>B38*D38</f>
        <v>2882.94</v>
      </c>
    </row>
    <row r="39" spans="1:7">
      <c r="A39" s="1280" t="s">
        <v>272</v>
      </c>
      <c r="B39" s="1281">
        <v>1.64</v>
      </c>
      <c r="C39" s="1282" t="s">
        <v>126</v>
      </c>
      <c r="D39" s="1281">
        <f>+D32</f>
        <v>8030.02</v>
      </c>
      <c r="E39" s="1283">
        <f>B39*D39</f>
        <v>13169.23</v>
      </c>
      <c r="F39" s="1268">
        <f>6.84/7.25</f>
        <v>0.94344827586206903</v>
      </c>
      <c r="G39" s="1268">
        <f>7.61/8.09</f>
        <v>0.94066749072929501</v>
      </c>
    </row>
    <row r="40" spans="1:7">
      <c r="A40" s="1280" t="s">
        <v>1089</v>
      </c>
      <c r="B40" s="1281">
        <f>1/0.15</f>
        <v>6.67</v>
      </c>
      <c r="C40" s="1295" t="s">
        <v>13</v>
      </c>
      <c r="D40" s="1281">
        <v>225</v>
      </c>
      <c r="E40" s="1283">
        <f>B40*D40</f>
        <v>1500.75</v>
      </c>
    </row>
    <row r="41" spans="1:7" ht="13.5" thickBot="1">
      <c r="A41" s="1284"/>
      <c r="B41" s="1285"/>
      <c r="C41" s="1286"/>
      <c r="D41" s="1287"/>
      <c r="E41" s="1318">
        <f>SUM(E38:E40)</f>
        <v>17552.919999999998</v>
      </c>
    </row>
    <row r="42" spans="1:7" ht="13.5" thickTop="1">
      <c r="A42" s="1275"/>
      <c r="B42" s="1274"/>
      <c r="C42" s="1275"/>
      <c r="D42" s="1274"/>
      <c r="E42" s="1274"/>
    </row>
    <row r="43" spans="1:7" ht="13.5" thickBot="1">
      <c r="A43" s="1297" t="s">
        <v>2182</v>
      </c>
      <c r="B43" s="1274"/>
      <c r="C43" s="1275"/>
      <c r="D43" s="1274"/>
      <c r="E43" s="1274"/>
    </row>
    <row r="44" spans="1:7" ht="13.5" thickTop="1">
      <c r="A44" s="1276" t="s">
        <v>1085</v>
      </c>
      <c r="B44" s="1277">
        <v>1.05</v>
      </c>
      <c r="C44" s="1278" t="s">
        <v>2</v>
      </c>
      <c r="D44" s="1277">
        <f>D9</f>
        <v>8030.02</v>
      </c>
      <c r="E44" s="1279">
        <f>B44*D44</f>
        <v>8431.52</v>
      </c>
    </row>
    <row r="45" spans="1:7">
      <c r="A45" s="1280" t="s">
        <v>272</v>
      </c>
      <c r="B45" s="1281">
        <v>3.2</v>
      </c>
      <c r="C45" s="1282" t="s">
        <v>126</v>
      </c>
      <c r="D45" s="1281">
        <f>D33</f>
        <v>2745.66</v>
      </c>
      <c r="E45" s="1283">
        <f>B45*D45</f>
        <v>8786.11</v>
      </c>
      <c r="F45" s="1268">
        <f>5.5/1.07</f>
        <v>5.1401869158878499</v>
      </c>
      <c r="G45" s="1268">
        <f>5.8/1.14</f>
        <v>5.0877192982456103</v>
      </c>
    </row>
    <row r="46" spans="1:7">
      <c r="A46" s="1280" t="s">
        <v>1089</v>
      </c>
      <c r="B46" s="1281">
        <f>1/(0.3*0.3)</f>
        <v>11.11</v>
      </c>
      <c r="C46" s="1295" t="s">
        <v>13</v>
      </c>
      <c r="D46" s="1281">
        <v>375</v>
      </c>
      <c r="E46" s="1283">
        <f>B46*D46</f>
        <v>4166.25</v>
      </c>
    </row>
    <row r="47" spans="1:7" ht="13.5" thickBot="1">
      <c r="A47" s="1284"/>
      <c r="B47" s="1285"/>
      <c r="C47" s="1286"/>
      <c r="D47" s="1287"/>
      <c r="E47" s="1318">
        <f>SUM(E44:E46)</f>
        <v>21383.88</v>
      </c>
    </row>
    <row r="48" spans="1:7" ht="13.5" thickTop="1">
      <c r="A48" s="1301"/>
      <c r="B48" s="1302"/>
      <c r="C48" s="1301"/>
      <c r="D48" s="1302"/>
      <c r="E48"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3:G589"/>
  <sheetViews>
    <sheetView workbookViewId="0"/>
  </sheetViews>
  <sheetFormatPr baseColWidth="10" defaultColWidth="11.42578125" defaultRowHeight="12.75"/>
  <cols>
    <col min="1" max="1" width="46" customWidth="1"/>
  </cols>
  <sheetData>
    <row r="3" spans="1:5">
      <c r="A3" s="123" t="s">
        <v>1004</v>
      </c>
      <c r="B3" s="7"/>
      <c r="C3" s="7"/>
      <c r="D3" s="123" t="s">
        <v>1005</v>
      </c>
      <c r="E3" s="122"/>
    </row>
    <row r="4" spans="1:5">
      <c r="A4" s="123" t="s">
        <v>109</v>
      </c>
      <c r="B4" s="7"/>
      <c r="C4" s="7"/>
      <c r="D4" s="7"/>
      <c r="E4" s="122"/>
    </row>
    <row r="5" spans="1:5" ht="13.5" thickBot="1">
      <c r="A5" s="123" t="s">
        <v>110</v>
      </c>
      <c r="B5" s="7"/>
      <c r="C5" s="7"/>
      <c r="D5" s="123" t="s">
        <v>111</v>
      </c>
      <c r="E5" s="122"/>
    </row>
    <row r="6" spans="1:5" ht="14.25" thickTop="1" thickBot="1">
      <c r="A6" s="124" t="s">
        <v>112</v>
      </c>
      <c r="B6" s="124" t="s">
        <v>113</v>
      </c>
      <c r="C6" s="124" t="s">
        <v>114</v>
      </c>
      <c r="D6" s="124" t="s">
        <v>44</v>
      </c>
      <c r="E6" s="124" t="s">
        <v>115</v>
      </c>
    </row>
    <row r="7" spans="1:5" ht="13.5" thickTop="1">
      <c r="A7" s="125"/>
      <c r="B7" s="125"/>
      <c r="C7" s="125"/>
      <c r="D7" s="125"/>
      <c r="E7" s="125"/>
    </row>
    <row r="8" spans="1:5" ht="13.5" thickBot="1">
      <c r="A8" s="4769" t="s">
        <v>116</v>
      </c>
      <c r="B8" s="4769"/>
      <c r="C8" s="4769"/>
      <c r="D8" s="4769"/>
      <c r="E8" s="4769"/>
    </row>
    <row r="9" spans="1:5" ht="14.25" thickTop="1" thickBot="1">
      <c r="A9" s="126" t="s">
        <v>117</v>
      </c>
      <c r="B9" s="127">
        <v>1</v>
      </c>
      <c r="C9" s="128" t="s">
        <v>118</v>
      </c>
      <c r="D9" s="129">
        <v>5</v>
      </c>
      <c r="E9" s="129">
        <f t="shared" ref="E9:E17" si="0">ROUND(B9*D9,2)</f>
        <v>5</v>
      </c>
    </row>
    <row r="10" spans="1:5" ht="14.25" thickTop="1" thickBot="1">
      <c r="A10" s="126" t="s">
        <v>119</v>
      </c>
      <c r="B10" s="127">
        <v>1</v>
      </c>
      <c r="C10" s="128" t="s">
        <v>120</v>
      </c>
      <c r="D10" s="129">
        <v>320</v>
      </c>
      <c r="E10" s="129">
        <f t="shared" si="0"/>
        <v>320</v>
      </c>
    </row>
    <row r="11" spans="1:5" ht="14.25" thickTop="1" thickBot="1">
      <c r="A11" s="126" t="s">
        <v>121</v>
      </c>
      <c r="B11" s="127">
        <v>1</v>
      </c>
      <c r="C11" s="128" t="s">
        <v>2</v>
      </c>
      <c r="D11" s="129">
        <v>100</v>
      </c>
      <c r="E11" s="129">
        <f t="shared" si="0"/>
        <v>100</v>
      </c>
    </row>
    <row r="12" spans="1:5" ht="14.25" thickTop="1" thickBot="1">
      <c r="A12" s="126" t="s">
        <v>122</v>
      </c>
      <c r="B12" s="127">
        <v>1</v>
      </c>
      <c r="C12" s="128" t="s">
        <v>2</v>
      </c>
      <c r="D12" s="129">
        <v>900</v>
      </c>
      <c r="E12" s="129">
        <f t="shared" si="0"/>
        <v>900</v>
      </c>
    </row>
    <row r="13" spans="1:5" ht="14.25" thickTop="1" thickBot="1">
      <c r="A13" s="126" t="s">
        <v>123</v>
      </c>
      <c r="B13" s="127">
        <v>1</v>
      </c>
      <c r="C13" s="128" t="s">
        <v>2</v>
      </c>
      <c r="D13" s="129">
        <v>1400</v>
      </c>
      <c r="E13" s="129">
        <f t="shared" si="0"/>
        <v>1400</v>
      </c>
    </row>
    <row r="14" spans="1:5" ht="14.25" thickTop="1" thickBot="1">
      <c r="A14" s="126" t="s">
        <v>124</v>
      </c>
      <c r="B14" s="127">
        <v>1</v>
      </c>
      <c r="C14" s="128" t="s">
        <v>2</v>
      </c>
      <c r="D14" s="129">
        <v>1100</v>
      </c>
      <c r="E14" s="129">
        <f t="shared" si="0"/>
        <v>1100</v>
      </c>
    </row>
    <row r="15" spans="1:5" ht="14.25" thickTop="1" thickBot="1">
      <c r="A15" s="126" t="s">
        <v>125</v>
      </c>
      <c r="B15" s="127">
        <v>1</v>
      </c>
      <c r="C15" s="128" t="s">
        <v>126</v>
      </c>
      <c r="D15" s="129">
        <v>2300</v>
      </c>
      <c r="E15" s="129">
        <f t="shared" si="0"/>
        <v>2300</v>
      </c>
    </row>
    <row r="16" spans="1:5" ht="14.25" thickTop="1" thickBot="1">
      <c r="A16" s="126" t="s">
        <v>8</v>
      </c>
      <c r="B16" s="127">
        <v>5</v>
      </c>
      <c r="C16" s="128" t="s">
        <v>127</v>
      </c>
      <c r="D16" s="129">
        <v>21.34</v>
      </c>
      <c r="E16" s="129">
        <f t="shared" si="0"/>
        <v>106.7</v>
      </c>
    </row>
    <row r="17" spans="1:5" ht="14.25" thickTop="1" thickBot="1">
      <c r="A17" s="126" t="s">
        <v>128</v>
      </c>
      <c r="B17" s="127"/>
      <c r="C17" s="128" t="s">
        <v>127</v>
      </c>
      <c r="D17" s="129">
        <v>1</v>
      </c>
      <c r="E17" s="129">
        <f t="shared" si="0"/>
        <v>0</v>
      </c>
    </row>
    <row r="18" spans="1:5" ht="13.5" thickTop="1">
      <c r="A18" s="45"/>
      <c r="B18" s="130"/>
      <c r="C18" s="131"/>
      <c r="D18" s="132"/>
      <c r="E18" s="132"/>
    </row>
    <row r="19" spans="1:5" ht="13.5" thickBot="1">
      <c r="A19" s="133" t="s">
        <v>129</v>
      </c>
      <c r="B19" s="134"/>
      <c r="C19" s="135"/>
      <c r="D19" s="135"/>
      <c r="E19" s="135"/>
    </row>
    <row r="20" spans="1:5" ht="13.5" thickTop="1">
      <c r="A20" s="136" t="s">
        <v>130</v>
      </c>
      <c r="B20" s="137">
        <v>1</v>
      </c>
      <c r="C20" s="138" t="s">
        <v>2</v>
      </c>
      <c r="D20" s="139">
        <f>E12</f>
        <v>900</v>
      </c>
      <c r="E20" s="140">
        <f>ROUND(B20*D20,2)</f>
        <v>900</v>
      </c>
    </row>
    <row r="21" spans="1:5">
      <c r="A21" s="141" t="s">
        <v>8</v>
      </c>
      <c r="B21" s="142">
        <v>5</v>
      </c>
      <c r="C21" s="143" t="s">
        <v>127</v>
      </c>
      <c r="D21" s="144">
        <f>+D16</f>
        <v>21.34</v>
      </c>
      <c r="E21" s="145">
        <f>ROUND(B21*D21,2)</f>
        <v>106.7</v>
      </c>
    </row>
    <row r="22" spans="1:5">
      <c r="A22" s="141" t="s">
        <v>131</v>
      </c>
      <c r="B22" s="142">
        <v>1</v>
      </c>
      <c r="C22" s="143" t="s">
        <v>2</v>
      </c>
      <c r="D22" s="144">
        <v>12</v>
      </c>
      <c r="E22" s="145">
        <f>ROUND(B22*D22,2)</f>
        <v>12</v>
      </c>
    </row>
    <row r="23" spans="1:5" ht="13.5" thickBot="1">
      <c r="A23" s="146"/>
      <c r="B23" s="147"/>
      <c r="C23" s="4769" t="s">
        <v>132</v>
      </c>
      <c r="D23" s="4769"/>
      <c r="E23" s="148">
        <f>SUM(E20:E22)</f>
        <v>1018.7</v>
      </c>
    </row>
    <row r="24" spans="1:5" ht="13.5" thickTop="1">
      <c r="A24" s="149"/>
      <c r="B24" s="150"/>
      <c r="C24" s="132"/>
      <c r="D24" s="132"/>
      <c r="E24" s="151"/>
    </row>
    <row r="25" spans="1:5" ht="13.5" thickBot="1">
      <c r="A25" s="133" t="s">
        <v>133</v>
      </c>
      <c r="B25" s="134"/>
      <c r="C25" s="135"/>
      <c r="D25" s="135"/>
      <c r="E25" s="135"/>
    </row>
    <row r="26" spans="1:5" ht="13.5" thickTop="1">
      <c r="A26" s="136" t="s">
        <v>130</v>
      </c>
      <c r="B26" s="137">
        <v>1</v>
      </c>
      <c r="C26" s="138" t="s">
        <v>2</v>
      </c>
      <c r="D26" s="139">
        <f>E14</f>
        <v>1100</v>
      </c>
      <c r="E26" s="140">
        <f>ROUND(B26*D26,2)</f>
        <v>1100</v>
      </c>
    </row>
    <row r="27" spans="1:5">
      <c r="A27" s="141" t="s">
        <v>8</v>
      </c>
      <c r="B27" s="142">
        <v>5</v>
      </c>
      <c r="C27" s="143" t="s">
        <v>127</v>
      </c>
      <c r="D27" s="144">
        <f>+D16</f>
        <v>21.34</v>
      </c>
      <c r="E27" s="145">
        <f>ROUND(B27*D27,2)</f>
        <v>106.7</v>
      </c>
    </row>
    <row r="28" spans="1:5">
      <c r="A28" s="141" t="s">
        <v>131</v>
      </c>
      <c r="B28" s="142">
        <v>1</v>
      </c>
      <c r="C28" s="143" t="s">
        <v>2</v>
      </c>
      <c r="D28" s="144">
        <v>12</v>
      </c>
      <c r="E28" s="145">
        <f>ROUND(B28*D28,2)</f>
        <v>12</v>
      </c>
    </row>
    <row r="29" spans="1:5" ht="13.5" thickBot="1">
      <c r="A29" s="152"/>
      <c r="B29" s="153"/>
      <c r="C29" s="4769" t="s">
        <v>132</v>
      </c>
      <c r="D29" s="4769"/>
      <c r="E29" s="154">
        <f>SUM(E26:E28)</f>
        <v>1218.7</v>
      </c>
    </row>
    <row r="30" spans="1:5" ht="13.5" thickTop="1">
      <c r="A30" s="45"/>
      <c r="B30" s="150"/>
      <c r="C30" s="132"/>
      <c r="D30" s="132"/>
      <c r="E30" s="155"/>
    </row>
    <row r="31" spans="1:5" ht="13.5" thickBot="1">
      <c r="A31" s="156" t="s">
        <v>134</v>
      </c>
      <c r="B31" s="134"/>
      <c r="C31" s="135"/>
      <c r="D31" s="135"/>
      <c r="E31" s="135"/>
    </row>
    <row r="32" spans="1:5" ht="13.5" thickTop="1">
      <c r="A32" s="136" t="s">
        <v>122</v>
      </c>
      <c r="B32" s="137">
        <v>0.45</v>
      </c>
      <c r="C32" s="157" t="s">
        <v>2</v>
      </c>
      <c r="D32" s="158">
        <f>E23</f>
        <v>1018.7</v>
      </c>
      <c r="E32" s="140">
        <f>ROUND(B32*D32,2)</f>
        <v>458.42</v>
      </c>
    </row>
    <row r="33" spans="1:5">
      <c r="A33" s="141" t="s">
        <v>124</v>
      </c>
      <c r="B33" s="142">
        <v>0.9</v>
      </c>
      <c r="C33" s="159" t="s">
        <v>2</v>
      </c>
      <c r="D33" s="144">
        <f>E29</f>
        <v>1218.7</v>
      </c>
      <c r="E33" s="145">
        <f>ROUND(B33*D33,2)</f>
        <v>1096.83</v>
      </c>
    </row>
    <row r="34" spans="1:5">
      <c r="A34" s="141" t="s">
        <v>135</v>
      </c>
      <c r="B34" s="142">
        <v>13</v>
      </c>
      <c r="C34" s="159" t="s">
        <v>136</v>
      </c>
      <c r="D34" s="144">
        <f>E10</f>
        <v>320</v>
      </c>
      <c r="E34" s="145">
        <f>ROUND(B34*D34,2)</f>
        <v>4160</v>
      </c>
    </row>
    <row r="35" spans="1:5">
      <c r="A35" s="141" t="s">
        <v>137</v>
      </c>
      <c r="B35" s="142">
        <v>60</v>
      </c>
      <c r="C35" s="159" t="s">
        <v>138</v>
      </c>
      <c r="D35" s="144">
        <f>E9</f>
        <v>5</v>
      </c>
      <c r="E35" s="145">
        <f>ROUND(B35*D35,2)</f>
        <v>300</v>
      </c>
    </row>
    <row r="36" spans="1:5">
      <c r="A36" s="141" t="s">
        <v>139</v>
      </c>
      <c r="B36" s="142">
        <v>1</v>
      </c>
      <c r="C36" s="159" t="s">
        <v>2</v>
      </c>
      <c r="D36" s="144">
        <v>450</v>
      </c>
      <c r="E36" s="145">
        <f>ROUND(B36*D36,2)</f>
        <v>450</v>
      </c>
    </row>
    <row r="37" spans="1:5">
      <c r="A37" s="141" t="s">
        <v>140</v>
      </c>
      <c r="B37" s="160"/>
      <c r="C37" s="144"/>
      <c r="D37" s="144"/>
      <c r="E37" s="145">
        <f>SUM(E32+E33+E34+E35)*0.02</f>
        <v>120.31</v>
      </c>
    </row>
    <row r="38" spans="1:5" ht="13.5" thickBot="1">
      <c r="A38" s="152"/>
      <c r="B38" s="161"/>
      <c r="C38" s="4769" t="s">
        <v>132</v>
      </c>
      <c r="D38" s="4769"/>
      <c r="E38" s="154">
        <f>SUM(E32:E37)</f>
        <v>6585.56</v>
      </c>
    </row>
    <row r="39" spans="1:5" ht="13.5" thickTop="1">
      <c r="A39" s="149"/>
      <c r="B39" s="134"/>
      <c r="C39" s="135"/>
      <c r="D39" s="162"/>
      <c r="E39" s="163"/>
    </row>
    <row r="40" spans="1:5" ht="13.5" thickBot="1">
      <c r="A40" s="133" t="s">
        <v>141</v>
      </c>
      <c r="B40" s="134"/>
      <c r="C40" s="135"/>
      <c r="D40" s="135"/>
      <c r="E40" s="135"/>
    </row>
    <row r="41" spans="1:5" ht="13.5" thickTop="1">
      <c r="A41" s="136" t="s">
        <v>122</v>
      </c>
      <c r="B41" s="137">
        <v>0.45</v>
      </c>
      <c r="C41" s="138" t="s">
        <v>2</v>
      </c>
      <c r="D41" s="158">
        <f>SUM(E23)</f>
        <v>1018.7</v>
      </c>
      <c r="E41" s="140">
        <f>ROUND(B41*D41,2)</f>
        <v>458.42</v>
      </c>
    </row>
    <row r="42" spans="1:5">
      <c r="A42" s="141" t="s">
        <v>124</v>
      </c>
      <c r="B42" s="142">
        <v>0.9</v>
      </c>
      <c r="C42" s="143" t="s">
        <v>2</v>
      </c>
      <c r="D42" s="144">
        <f>SUM(E29)</f>
        <v>1218.7</v>
      </c>
      <c r="E42" s="145">
        <f>ROUND(B42*D42,2)</f>
        <v>1096.83</v>
      </c>
    </row>
    <row r="43" spans="1:5">
      <c r="A43" s="141" t="s">
        <v>142</v>
      </c>
      <c r="B43" s="142">
        <v>9</v>
      </c>
      <c r="C43" s="143" t="s">
        <v>120</v>
      </c>
      <c r="D43" s="144">
        <f>SUM(E10)</f>
        <v>320</v>
      </c>
      <c r="E43" s="145">
        <f>ROUND(B43*D43,2)</f>
        <v>2880</v>
      </c>
    </row>
    <row r="44" spans="1:5">
      <c r="A44" s="141" t="s">
        <v>117</v>
      </c>
      <c r="B44" s="142">
        <v>60</v>
      </c>
      <c r="C44" s="143" t="s">
        <v>138</v>
      </c>
      <c r="D44" s="144">
        <f>+E9</f>
        <v>5</v>
      </c>
      <c r="E44" s="145">
        <f>ROUND(B44*D44,2)</f>
        <v>300</v>
      </c>
    </row>
    <row r="45" spans="1:5">
      <c r="A45" s="141" t="s">
        <v>139</v>
      </c>
      <c r="B45" s="142">
        <v>1</v>
      </c>
      <c r="C45" s="143" t="s">
        <v>2</v>
      </c>
      <c r="D45" s="144">
        <v>650</v>
      </c>
      <c r="E45" s="145">
        <f>ROUND(B45*D45,2)</f>
        <v>650</v>
      </c>
    </row>
    <row r="46" spans="1:5">
      <c r="A46" s="141" t="s">
        <v>140</v>
      </c>
      <c r="B46" s="160"/>
      <c r="C46" s="144"/>
      <c r="D46" s="144"/>
      <c r="E46" s="145">
        <f>SUM(E41+E42+E43+E44)*0.02</f>
        <v>94.71</v>
      </c>
    </row>
    <row r="47" spans="1:5" ht="13.5" thickBot="1">
      <c r="A47" s="152"/>
      <c r="B47" s="161"/>
      <c r="C47" s="4769" t="s">
        <v>132</v>
      </c>
      <c r="D47" s="4769"/>
      <c r="E47" s="154">
        <f>SUM(E41:E46)</f>
        <v>5479.96</v>
      </c>
    </row>
    <row r="48" spans="1:5" ht="13.5" thickTop="1">
      <c r="A48" s="149"/>
      <c r="B48" s="134"/>
      <c r="C48" s="135"/>
      <c r="D48" s="135"/>
      <c r="E48" s="135"/>
    </row>
    <row r="49" spans="1:5" ht="13.5" thickBot="1">
      <c r="A49" s="784" t="s">
        <v>143</v>
      </c>
      <c r="B49" s="785"/>
      <c r="C49" s="786"/>
      <c r="D49" s="786"/>
      <c r="E49" s="786"/>
    </row>
    <row r="50" spans="1:5" ht="13.5" thickTop="1">
      <c r="A50" s="787" t="s">
        <v>122</v>
      </c>
      <c r="B50" s="788">
        <v>0.52</v>
      </c>
      <c r="C50" s="789" t="s">
        <v>2</v>
      </c>
      <c r="D50" s="790">
        <v>1050</v>
      </c>
      <c r="E50" s="791">
        <f>ROUND(B50*D50,2)</f>
        <v>546</v>
      </c>
    </row>
    <row r="51" spans="1:5">
      <c r="A51" s="792" t="s">
        <v>124</v>
      </c>
      <c r="B51" s="793">
        <v>0.85</v>
      </c>
      <c r="C51" s="794" t="s">
        <v>2</v>
      </c>
      <c r="D51" s="795">
        <v>1100</v>
      </c>
      <c r="E51" s="796">
        <f>ROUND(B51*D51,2)</f>
        <v>935</v>
      </c>
    </row>
    <row r="52" spans="1:5">
      <c r="A52" s="792" t="s">
        <v>135</v>
      </c>
      <c r="B52" s="793">
        <v>7</v>
      </c>
      <c r="C52" s="794" t="s">
        <v>144</v>
      </c>
      <c r="D52" s="795">
        <v>310</v>
      </c>
      <c r="E52" s="796">
        <f>ROUND(B52*D52,2)</f>
        <v>2170</v>
      </c>
    </row>
    <row r="53" spans="1:5">
      <c r="A53" s="792" t="s">
        <v>117</v>
      </c>
      <c r="B53" s="793">
        <v>60</v>
      </c>
      <c r="C53" s="794" t="s">
        <v>138</v>
      </c>
      <c r="D53" s="795">
        <f>E9</f>
        <v>5</v>
      </c>
      <c r="E53" s="796">
        <f>ROUND(B53*D53,2)</f>
        <v>300</v>
      </c>
    </row>
    <row r="54" spans="1:5">
      <c r="A54" s="792" t="s">
        <v>139</v>
      </c>
      <c r="B54" s="793">
        <v>1</v>
      </c>
      <c r="C54" s="794" t="s">
        <v>2</v>
      </c>
      <c r="D54" s="795">
        <v>1200</v>
      </c>
      <c r="E54" s="796">
        <f>ROUND(B54*D54,2)</f>
        <v>1200</v>
      </c>
    </row>
    <row r="55" spans="1:5">
      <c r="A55" s="792" t="s">
        <v>140</v>
      </c>
      <c r="B55" s="797"/>
      <c r="C55" s="794"/>
      <c r="D55" s="795"/>
      <c r="E55" s="796">
        <f>SUM(E50+E51+E52+E53)*0.02</f>
        <v>79.02</v>
      </c>
    </row>
    <row r="56" spans="1:5" ht="13.5" thickBot="1">
      <c r="A56" s="798"/>
      <c r="B56" s="799"/>
      <c r="C56" s="4769" t="s">
        <v>132</v>
      </c>
      <c r="D56" s="4769"/>
      <c r="E56" s="800">
        <f>SUM(E50:E55)</f>
        <v>5230.0200000000004</v>
      </c>
    </row>
    <row r="57" spans="1:5" ht="13.5" thickTop="1">
      <c r="A57" s="149"/>
      <c r="B57" s="134"/>
      <c r="C57" s="164"/>
      <c r="D57" s="135"/>
      <c r="E57" s="135"/>
    </row>
    <row r="58" spans="1:5" ht="13.5" thickBot="1">
      <c r="A58" s="156" t="s">
        <v>123</v>
      </c>
      <c r="B58" s="134"/>
      <c r="C58" s="164"/>
      <c r="D58" s="135"/>
      <c r="E58" s="135"/>
    </row>
    <row r="59" spans="1:5" ht="13.5" thickTop="1">
      <c r="A59" s="136" t="s">
        <v>145</v>
      </c>
      <c r="B59" s="137">
        <v>1</v>
      </c>
      <c r="C59" s="157" t="s">
        <v>2</v>
      </c>
      <c r="D59" s="158">
        <f>E13</f>
        <v>1400</v>
      </c>
      <c r="E59" s="140">
        <f>B59*D59</f>
        <v>1400</v>
      </c>
    </row>
    <row r="60" spans="1:5">
      <c r="A60" s="141" t="s">
        <v>8</v>
      </c>
      <c r="B60" s="142">
        <f>E17</f>
        <v>0</v>
      </c>
      <c r="C60" s="159" t="s">
        <v>127</v>
      </c>
      <c r="D60" s="144">
        <f>E16</f>
        <v>106.7</v>
      </c>
      <c r="E60" s="145">
        <f>B60*D60</f>
        <v>0</v>
      </c>
    </row>
    <row r="61" spans="1:5">
      <c r="A61" s="141" t="s">
        <v>131</v>
      </c>
      <c r="B61" s="142">
        <v>1</v>
      </c>
      <c r="C61" s="159" t="s">
        <v>2</v>
      </c>
      <c r="D61" s="144">
        <v>12</v>
      </c>
      <c r="E61" s="145">
        <f>B61*D61</f>
        <v>12</v>
      </c>
    </row>
    <row r="62" spans="1:5" ht="13.5" thickBot="1">
      <c r="A62" s="152"/>
      <c r="B62" s="161"/>
      <c r="C62" s="4769" t="s">
        <v>132</v>
      </c>
      <c r="D62" s="4769"/>
      <c r="E62" s="154">
        <f>SUM(E59:E61)</f>
        <v>1412</v>
      </c>
    </row>
    <row r="63" spans="1:5" ht="13.5" thickTop="1">
      <c r="A63" s="149"/>
      <c r="B63" s="134"/>
      <c r="C63" s="135"/>
      <c r="D63" s="135"/>
      <c r="E63" s="135"/>
    </row>
    <row r="64" spans="1:5" ht="13.5" thickBot="1">
      <c r="A64" s="133" t="s">
        <v>146</v>
      </c>
      <c r="B64" s="134"/>
      <c r="C64" s="135"/>
      <c r="D64" s="135"/>
      <c r="E64" s="135"/>
    </row>
    <row r="65" spans="1:5" ht="13.5" thickTop="1">
      <c r="A65" s="136" t="s">
        <v>122</v>
      </c>
      <c r="B65" s="137">
        <v>1.02</v>
      </c>
      <c r="C65" s="157" t="s">
        <v>2</v>
      </c>
      <c r="D65" s="165">
        <f>SUM(E62)</f>
        <v>1412</v>
      </c>
      <c r="E65" s="140">
        <f>B65*D65</f>
        <v>1440.24</v>
      </c>
    </row>
    <row r="66" spans="1:5">
      <c r="A66" s="141" t="s">
        <v>135</v>
      </c>
      <c r="B66" s="166">
        <v>9.4600000000000009</v>
      </c>
      <c r="C66" s="159" t="s">
        <v>144</v>
      </c>
      <c r="D66" s="166">
        <f>SUM(E10)</f>
        <v>320</v>
      </c>
      <c r="E66" s="145">
        <f>B66*D66</f>
        <v>3027.2</v>
      </c>
    </row>
    <row r="67" spans="1:5">
      <c r="A67" s="141" t="s">
        <v>117</v>
      </c>
      <c r="B67" s="142">
        <v>50</v>
      </c>
      <c r="C67" s="159" t="s">
        <v>138</v>
      </c>
      <c r="D67" s="166">
        <f>E9</f>
        <v>5</v>
      </c>
      <c r="E67" s="145">
        <f>B67*D67</f>
        <v>250</v>
      </c>
    </row>
    <row r="68" spans="1:5">
      <c r="A68" s="141" t="s">
        <v>121</v>
      </c>
      <c r="B68" s="166">
        <v>3.07</v>
      </c>
      <c r="C68" s="159" t="s">
        <v>144</v>
      </c>
      <c r="D68" s="166">
        <f>+E11</f>
        <v>100</v>
      </c>
      <c r="E68" s="145">
        <f>B68*D68</f>
        <v>307</v>
      </c>
    </row>
    <row r="69" spans="1:5">
      <c r="A69" s="141" t="s">
        <v>147</v>
      </c>
      <c r="B69" s="142">
        <v>0.5</v>
      </c>
      <c r="C69" s="159" t="s">
        <v>148</v>
      </c>
      <c r="D69" s="166">
        <v>321.60000000000002</v>
      </c>
      <c r="E69" s="145">
        <f>B69*D69</f>
        <v>160.80000000000001</v>
      </c>
    </row>
    <row r="70" spans="1:5">
      <c r="A70" s="141" t="s">
        <v>149</v>
      </c>
      <c r="B70" s="160"/>
      <c r="C70" s="159"/>
      <c r="D70" s="144"/>
      <c r="E70" s="145">
        <f>SUM(E66+E67+E65+E68)*0.03</f>
        <v>150.72999999999999</v>
      </c>
    </row>
    <row r="71" spans="1:5" ht="13.5" thickBot="1">
      <c r="A71" s="152" t="s">
        <v>43</v>
      </c>
      <c r="B71" s="161"/>
      <c r="C71" s="4769" t="s">
        <v>132</v>
      </c>
      <c r="D71" s="4769"/>
      <c r="E71" s="154">
        <f>SUM(E65:E70)</f>
        <v>5335.97</v>
      </c>
    </row>
    <row r="72" spans="1:5" ht="13.5" thickTop="1">
      <c r="A72" s="149"/>
      <c r="B72" s="134"/>
      <c r="C72" s="164"/>
      <c r="D72" s="162"/>
      <c r="E72" s="162"/>
    </row>
    <row r="73" spans="1:5" ht="13.5" thickBot="1">
      <c r="A73" s="133" t="s">
        <v>150</v>
      </c>
      <c r="B73" s="134"/>
      <c r="C73" s="164"/>
      <c r="D73" s="135"/>
      <c r="E73" s="135"/>
    </row>
    <row r="74" spans="1:5" ht="13.5" thickTop="1">
      <c r="A74" s="136" t="s">
        <v>151</v>
      </c>
      <c r="B74" s="137">
        <v>1</v>
      </c>
      <c r="C74" s="157" t="s">
        <v>2</v>
      </c>
      <c r="D74" s="165">
        <f>SUM(E23)</f>
        <v>1018.7</v>
      </c>
      <c r="E74" s="140">
        <f>B74*D74</f>
        <v>1018.7</v>
      </c>
    </row>
    <row r="75" spans="1:5">
      <c r="A75" s="141" t="s">
        <v>117</v>
      </c>
      <c r="B75" s="142">
        <v>69</v>
      </c>
      <c r="C75" s="159" t="s">
        <v>138</v>
      </c>
      <c r="D75" s="166">
        <f>E9</f>
        <v>5</v>
      </c>
      <c r="E75" s="145">
        <f>B75*D75</f>
        <v>345</v>
      </c>
    </row>
    <row r="76" spans="1:5">
      <c r="A76" s="141" t="s">
        <v>135</v>
      </c>
      <c r="B76" s="142">
        <v>11.51</v>
      </c>
      <c r="C76" s="159" t="s">
        <v>144</v>
      </c>
      <c r="D76" s="166">
        <f>SUM(E10)</f>
        <v>320</v>
      </c>
      <c r="E76" s="145">
        <f>B76*D76</f>
        <v>3683.2</v>
      </c>
    </row>
    <row r="77" spans="1:5">
      <c r="A77" s="141" t="s">
        <v>147</v>
      </c>
      <c r="B77" s="142">
        <v>0.5</v>
      </c>
      <c r="C77" s="159" t="s">
        <v>148</v>
      </c>
      <c r="D77" s="166">
        <v>650</v>
      </c>
      <c r="E77" s="145">
        <f>B77*D77</f>
        <v>325</v>
      </c>
    </row>
    <row r="78" spans="1:5">
      <c r="A78" s="141" t="s">
        <v>149</v>
      </c>
      <c r="B78" s="160"/>
      <c r="C78" s="159"/>
      <c r="D78" s="144"/>
      <c r="E78" s="145">
        <f>SUM(E74+E75+E76)*0.03</f>
        <v>151.41</v>
      </c>
    </row>
    <row r="79" spans="1:5" ht="13.5" thickBot="1">
      <c r="A79" s="152"/>
      <c r="B79" s="161"/>
      <c r="C79" s="4769" t="s">
        <v>132</v>
      </c>
      <c r="D79" s="4769"/>
      <c r="E79" s="154">
        <f>SUM(E74:E78)</f>
        <v>5523.31</v>
      </c>
    </row>
    <row r="80" spans="1:5" ht="13.5" thickTop="1">
      <c r="A80" s="45"/>
      <c r="B80" s="130"/>
      <c r="C80" s="132"/>
      <c r="D80" s="155"/>
      <c r="E80" s="155"/>
    </row>
    <row r="81" spans="1:5" ht="13.5" thickBot="1">
      <c r="A81" s="133" t="s">
        <v>152</v>
      </c>
      <c r="B81" s="134"/>
      <c r="C81" s="135"/>
      <c r="D81" s="135"/>
      <c r="E81" s="135"/>
    </row>
    <row r="82" spans="1:5" ht="13.5" thickTop="1">
      <c r="A82" s="136" t="s">
        <v>153</v>
      </c>
      <c r="B82" s="167">
        <v>2.5999999999999999E-2</v>
      </c>
      <c r="C82" s="157" t="s">
        <v>2</v>
      </c>
      <c r="D82" s="165">
        <f>SUM(E71)</f>
        <v>5335.97</v>
      </c>
      <c r="E82" s="140">
        <f>B82*D82</f>
        <v>138.74</v>
      </c>
    </row>
    <row r="83" spans="1:5">
      <c r="A83" s="141" t="s">
        <v>154</v>
      </c>
      <c r="B83" s="160">
        <v>3.3000000000000002E-2</v>
      </c>
      <c r="C83" s="159" t="s">
        <v>155</v>
      </c>
      <c r="D83" s="166">
        <v>45</v>
      </c>
      <c r="E83" s="145">
        <f>B83*D83</f>
        <v>1.49</v>
      </c>
    </row>
    <row r="84" spans="1:5">
      <c r="A84" s="141" t="s">
        <v>156</v>
      </c>
      <c r="B84" s="142">
        <v>1</v>
      </c>
      <c r="C84" s="159" t="s">
        <v>42</v>
      </c>
      <c r="D84" s="168">
        <v>5</v>
      </c>
      <c r="E84" s="145">
        <f>B84*D84</f>
        <v>5</v>
      </c>
    </row>
    <row r="85" spans="1:5">
      <c r="A85" s="141" t="s">
        <v>41</v>
      </c>
      <c r="B85" s="142">
        <v>1</v>
      </c>
      <c r="C85" s="159" t="s">
        <v>11</v>
      </c>
      <c r="D85" s="166">
        <v>95.62</v>
      </c>
      <c r="E85" s="145">
        <f>B85*D85</f>
        <v>95.62</v>
      </c>
    </row>
    <row r="86" spans="1:5" ht="13.5" thickBot="1">
      <c r="A86" s="152"/>
      <c r="B86" s="161"/>
      <c r="C86" s="4769" t="s">
        <v>157</v>
      </c>
      <c r="D86" s="4769"/>
      <c r="E86" s="154">
        <f>SUM(E82:E85)</f>
        <v>240.85</v>
      </c>
    </row>
    <row r="87" spans="1:5" ht="13.5" thickTop="1">
      <c r="A87" s="45"/>
      <c r="B87" s="130"/>
      <c r="C87" s="169"/>
      <c r="D87" s="169"/>
      <c r="E87" s="155"/>
    </row>
    <row r="88" spans="1:5" ht="13.5" thickBot="1">
      <c r="A88" s="170" t="s">
        <v>158</v>
      </c>
      <c r="B88" s="171"/>
      <c r="C88" s="172"/>
      <c r="D88" s="171"/>
      <c r="E88" s="171"/>
    </row>
    <row r="89" spans="1:5" ht="14.25" thickTop="1" thickBot="1">
      <c r="A89" s="173" t="s">
        <v>159</v>
      </c>
      <c r="B89" s="173">
        <v>2.5999999999999999E-2</v>
      </c>
      <c r="C89" s="174" t="s">
        <v>160</v>
      </c>
      <c r="D89" s="175">
        <f>E71</f>
        <v>5335.97</v>
      </c>
      <c r="E89" s="176">
        <f>B89*D89</f>
        <v>138.74</v>
      </c>
    </row>
    <row r="90" spans="1:5" ht="14.25" thickTop="1" thickBot="1">
      <c r="A90" s="173" t="s">
        <v>154</v>
      </c>
      <c r="B90" s="173">
        <v>3.3000000000000002E-2</v>
      </c>
      <c r="C90" s="174" t="s">
        <v>161</v>
      </c>
      <c r="D90" s="177">
        <f>+D83</f>
        <v>45</v>
      </c>
      <c r="E90" s="176">
        <f>B90*D90</f>
        <v>1.49</v>
      </c>
    </row>
    <row r="91" spans="1:5" ht="14.25" thickTop="1" thickBot="1">
      <c r="A91" s="173" t="s">
        <v>156</v>
      </c>
      <c r="B91" s="178">
        <v>1</v>
      </c>
      <c r="C91" s="174" t="s">
        <v>61</v>
      </c>
      <c r="D91" s="177">
        <v>5</v>
      </c>
      <c r="E91" s="176">
        <f>B91*D91</f>
        <v>5</v>
      </c>
    </row>
    <row r="92" spans="1:5" ht="14.25" thickTop="1" thickBot="1">
      <c r="A92" s="173" t="s">
        <v>162</v>
      </c>
      <c r="B92" s="178">
        <v>1</v>
      </c>
      <c r="C92" s="174" t="s">
        <v>163</v>
      </c>
      <c r="D92" s="177">
        <v>110.26</v>
      </c>
      <c r="E92" s="176">
        <f>B92*D92</f>
        <v>110.26</v>
      </c>
    </row>
    <row r="93" spans="1:5" ht="14.25" thickTop="1" thickBot="1">
      <c r="A93" s="173"/>
      <c r="B93" s="173"/>
      <c r="C93" s="4769" t="s">
        <v>164</v>
      </c>
      <c r="D93" s="4769"/>
      <c r="E93" s="179">
        <f>SUM(E89:E92)</f>
        <v>255.49</v>
      </c>
    </row>
    <row r="94" spans="1:5" ht="13.5" thickTop="1">
      <c r="A94" s="149"/>
      <c r="B94" s="134"/>
      <c r="C94" s="135"/>
      <c r="D94" s="162"/>
      <c r="E94" s="162"/>
    </row>
    <row r="95" spans="1:5" ht="13.5" thickBot="1">
      <c r="A95" s="156" t="s">
        <v>165</v>
      </c>
      <c r="B95" s="134"/>
      <c r="C95" s="135"/>
      <c r="D95" s="135"/>
      <c r="E95" s="135"/>
    </row>
    <row r="96" spans="1:5" ht="13.5" thickTop="1">
      <c r="A96" s="136" t="s">
        <v>166</v>
      </c>
      <c r="B96" s="180">
        <v>2.5999999999999999E-2</v>
      </c>
      <c r="C96" s="157" t="s">
        <v>2</v>
      </c>
      <c r="D96" s="165">
        <f>SUM(E71)</f>
        <v>5335.97</v>
      </c>
      <c r="E96" s="140">
        <f>B96*D96</f>
        <v>138.74</v>
      </c>
    </row>
    <row r="97" spans="1:5">
      <c r="A97" s="141" t="s">
        <v>154</v>
      </c>
      <c r="B97" s="181">
        <v>3.3000000000000002E-2</v>
      </c>
      <c r="C97" s="159" t="s">
        <v>155</v>
      </c>
      <c r="D97" s="166">
        <f>+D83</f>
        <v>45</v>
      </c>
      <c r="E97" s="145">
        <f>B97*D97</f>
        <v>1.49</v>
      </c>
    </row>
    <row r="98" spans="1:5">
      <c r="A98" s="141" t="s">
        <v>156</v>
      </c>
      <c r="B98" s="142">
        <v>1</v>
      </c>
      <c r="C98" s="159" t="s">
        <v>42</v>
      </c>
      <c r="D98" s="168">
        <v>5</v>
      </c>
      <c r="E98" s="145">
        <f>B98*D98</f>
        <v>5</v>
      </c>
    </row>
    <row r="99" spans="1:5">
      <c r="A99" s="141" t="s">
        <v>167</v>
      </c>
      <c r="B99" s="182">
        <v>5.2999999999999999E-2</v>
      </c>
      <c r="C99" s="159" t="s">
        <v>120</v>
      </c>
      <c r="D99" s="166">
        <f>SUM(E10)</f>
        <v>320</v>
      </c>
      <c r="E99" s="145">
        <f>B99*D99</f>
        <v>16.96</v>
      </c>
    </row>
    <row r="100" spans="1:5">
      <c r="A100" s="141" t="s">
        <v>162</v>
      </c>
      <c r="B100" s="142">
        <v>1</v>
      </c>
      <c r="C100" s="159" t="s">
        <v>11</v>
      </c>
      <c r="D100" s="166">
        <v>110.26</v>
      </c>
      <c r="E100" s="145">
        <f>B100*D100</f>
        <v>110.26</v>
      </c>
    </row>
    <row r="101" spans="1:5" ht="13.5" thickBot="1">
      <c r="A101" s="152"/>
      <c r="B101" s="161"/>
      <c r="C101" s="4769" t="s">
        <v>157</v>
      </c>
      <c r="D101" s="4769"/>
      <c r="E101" s="154">
        <f>SUM(E96:E100)</f>
        <v>272.45</v>
      </c>
    </row>
    <row r="102" spans="1:5" ht="13.5" thickTop="1">
      <c r="A102" s="149"/>
      <c r="B102" s="134"/>
      <c r="C102" s="135"/>
      <c r="D102" s="162"/>
      <c r="E102" s="163"/>
    </row>
    <row r="103" spans="1:5" ht="13.5" thickBot="1">
      <c r="A103" s="156" t="s">
        <v>168</v>
      </c>
      <c r="B103" s="134"/>
      <c r="C103" s="135"/>
      <c r="D103" s="135"/>
      <c r="E103" s="135"/>
    </row>
    <row r="104" spans="1:5" ht="13.5" thickTop="1">
      <c r="A104" s="136" t="s">
        <v>166</v>
      </c>
      <c r="B104" s="180">
        <v>2.5999999999999999E-2</v>
      </c>
      <c r="C104" s="157" t="s">
        <v>2</v>
      </c>
      <c r="D104" s="165">
        <f>SUM(E71)</f>
        <v>5335.97</v>
      </c>
      <c r="E104" s="140">
        <f t="shared" ref="E104:E109" si="1">B104*D104</f>
        <v>138.74</v>
      </c>
    </row>
    <row r="105" spans="1:5">
      <c r="A105" s="141" t="s">
        <v>154</v>
      </c>
      <c r="B105" s="181">
        <v>3.3000000000000002E-2</v>
      </c>
      <c r="C105" s="159" t="s">
        <v>155</v>
      </c>
      <c r="D105" s="166">
        <f>+D83</f>
        <v>45</v>
      </c>
      <c r="E105" s="145">
        <f t="shared" si="1"/>
        <v>1.49</v>
      </c>
    </row>
    <row r="106" spans="1:5">
      <c r="A106" s="141" t="s">
        <v>156</v>
      </c>
      <c r="B106" s="142">
        <v>1</v>
      </c>
      <c r="C106" s="159" t="s">
        <v>42</v>
      </c>
      <c r="D106" s="168">
        <v>5</v>
      </c>
      <c r="E106" s="145">
        <f t="shared" si="1"/>
        <v>5</v>
      </c>
    </row>
    <row r="107" spans="1:5">
      <c r="A107" s="141" t="s">
        <v>167</v>
      </c>
      <c r="B107" s="182">
        <v>5.2999999999999999E-2</v>
      </c>
      <c r="C107" s="159" t="s">
        <v>120</v>
      </c>
      <c r="D107" s="166">
        <f>SUM(E10)</f>
        <v>320</v>
      </c>
      <c r="E107" s="145">
        <f t="shared" si="1"/>
        <v>16.96</v>
      </c>
    </row>
    <row r="108" spans="1:5">
      <c r="A108" s="141" t="s">
        <v>169</v>
      </c>
      <c r="B108" s="182">
        <v>1.4999999999999999E-2</v>
      </c>
      <c r="C108" s="159" t="s">
        <v>138</v>
      </c>
      <c r="D108" s="166">
        <v>220</v>
      </c>
      <c r="E108" s="145">
        <f t="shared" si="1"/>
        <v>3.3</v>
      </c>
    </row>
    <row r="109" spans="1:5">
      <c r="A109" s="141" t="s">
        <v>162</v>
      </c>
      <c r="B109" s="142">
        <v>1</v>
      </c>
      <c r="C109" s="159" t="s">
        <v>11</v>
      </c>
      <c r="D109" s="166">
        <v>110.26</v>
      </c>
      <c r="E109" s="145">
        <f t="shared" si="1"/>
        <v>110.26</v>
      </c>
    </row>
    <row r="110" spans="1:5" ht="13.5" thickBot="1">
      <c r="A110" s="152"/>
      <c r="B110" s="161"/>
      <c r="C110" s="4769" t="s">
        <v>157</v>
      </c>
      <c r="D110" s="4769"/>
      <c r="E110" s="154">
        <f>SUM(E104:E109)</f>
        <v>275.75</v>
      </c>
    </row>
    <row r="111" spans="1:5" ht="13.5" thickTop="1">
      <c r="A111" s="149"/>
      <c r="B111" s="134"/>
      <c r="C111" s="135"/>
      <c r="D111" s="162"/>
      <c r="E111" s="163"/>
    </row>
    <row r="112" spans="1:5" ht="13.5" thickBot="1">
      <c r="A112" s="156" t="s">
        <v>170</v>
      </c>
      <c r="B112" s="134"/>
      <c r="C112" s="135"/>
      <c r="D112" s="135"/>
      <c r="E112" s="135"/>
    </row>
    <row r="113" spans="1:5" ht="13.5" thickTop="1">
      <c r="A113" s="136" t="s">
        <v>171</v>
      </c>
      <c r="B113" s="180">
        <v>6.3E-2</v>
      </c>
      <c r="C113" s="157" t="s">
        <v>2</v>
      </c>
      <c r="D113" s="183">
        <f>SUM(E79)</f>
        <v>5523.31</v>
      </c>
      <c r="E113" s="140">
        <f>B113*D113</f>
        <v>347.97</v>
      </c>
    </row>
    <row r="114" spans="1:5">
      <c r="A114" s="141" t="s">
        <v>154</v>
      </c>
      <c r="B114" s="142">
        <v>0.33</v>
      </c>
      <c r="C114" s="159" t="s">
        <v>155</v>
      </c>
      <c r="D114" s="168">
        <f>+D105</f>
        <v>45</v>
      </c>
      <c r="E114" s="145">
        <f>B114*D114</f>
        <v>14.85</v>
      </c>
    </row>
    <row r="115" spans="1:5">
      <c r="A115" s="141" t="s">
        <v>156</v>
      </c>
      <c r="B115" s="142">
        <v>1</v>
      </c>
      <c r="C115" s="159" t="s">
        <v>42</v>
      </c>
      <c r="D115" s="168">
        <v>6</v>
      </c>
      <c r="E115" s="145">
        <f>B115*D115</f>
        <v>6</v>
      </c>
    </row>
    <row r="116" spans="1:5">
      <c r="A116" s="141" t="s">
        <v>172</v>
      </c>
      <c r="B116" s="142">
        <v>1</v>
      </c>
      <c r="C116" s="159" t="s">
        <v>42</v>
      </c>
      <c r="D116" s="168">
        <v>5</v>
      </c>
      <c r="E116" s="145">
        <f>B116*D116</f>
        <v>5</v>
      </c>
    </row>
    <row r="117" spans="1:5">
      <c r="A117" s="141" t="s">
        <v>41</v>
      </c>
      <c r="B117" s="142">
        <v>1</v>
      </c>
      <c r="C117" s="159" t="s">
        <v>11</v>
      </c>
      <c r="D117" s="168">
        <v>115.23</v>
      </c>
      <c r="E117" s="145">
        <f>B117*D117</f>
        <v>115.23</v>
      </c>
    </row>
    <row r="118" spans="1:5" ht="13.5" thickBot="1">
      <c r="A118" s="152"/>
      <c r="B118" s="161"/>
      <c r="C118" s="4769" t="s">
        <v>157</v>
      </c>
      <c r="D118" s="4769"/>
      <c r="E118" s="154">
        <f>SUM(E113:E117)</f>
        <v>489.05</v>
      </c>
    </row>
    <row r="119" spans="1:5" ht="13.5" thickTop="1">
      <c r="A119" s="149"/>
      <c r="B119" s="134"/>
      <c r="C119" s="135"/>
      <c r="D119" s="162"/>
      <c r="E119" s="163"/>
    </row>
    <row r="120" spans="1:5" ht="13.5" thickBot="1">
      <c r="A120" s="156" t="s">
        <v>173</v>
      </c>
      <c r="B120" s="134"/>
      <c r="C120" s="135"/>
      <c r="D120" s="135"/>
      <c r="E120" s="135"/>
    </row>
    <row r="121" spans="1:5" ht="13.5" thickTop="1">
      <c r="A121" s="136" t="s">
        <v>171</v>
      </c>
      <c r="B121" s="180">
        <v>6.3E-2</v>
      </c>
      <c r="C121" s="157" t="s">
        <v>2</v>
      </c>
      <c r="D121" s="183">
        <f>SUM(E79)</f>
        <v>5523.31</v>
      </c>
      <c r="E121" s="140">
        <f t="shared" ref="E121:E126" si="2">B121*D121</f>
        <v>347.97</v>
      </c>
    </row>
    <row r="122" spans="1:5">
      <c r="A122" s="141" t="s">
        <v>154</v>
      </c>
      <c r="B122" s="142">
        <v>0.33</v>
      </c>
      <c r="C122" s="159" t="s">
        <v>155</v>
      </c>
      <c r="D122" s="168">
        <f>+D114</f>
        <v>45</v>
      </c>
      <c r="E122" s="145">
        <f t="shared" si="2"/>
        <v>14.85</v>
      </c>
    </row>
    <row r="123" spans="1:5">
      <c r="A123" s="141" t="s">
        <v>156</v>
      </c>
      <c r="B123" s="142">
        <v>1</v>
      </c>
      <c r="C123" s="159" t="s">
        <v>42</v>
      </c>
      <c r="D123" s="168">
        <v>6</v>
      </c>
      <c r="E123" s="145">
        <f t="shared" si="2"/>
        <v>6</v>
      </c>
    </row>
    <row r="124" spans="1:5">
      <c r="A124" s="141" t="s">
        <v>172</v>
      </c>
      <c r="B124" s="142">
        <v>1</v>
      </c>
      <c r="C124" s="159" t="s">
        <v>42</v>
      </c>
      <c r="D124" s="168">
        <v>5</v>
      </c>
      <c r="E124" s="145">
        <f t="shared" si="2"/>
        <v>5</v>
      </c>
    </row>
    <row r="125" spans="1:5">
      <c r="A125" s="141" t="s">
        <v>169</v>
      </c>
      <c r="B125" s="182">
        <v>4.4999999999999998E-2</v>
      </c>
      <c r="C125" s="159" t="s">
        <v>138</v>
      </c>
      <c r="D125" s="168">
        <v>220</v>
      </c>
      <c r="E125" s="145">
        <f t="shared" si="2"/>
        <v>9.9</v>
      </c>
    </row>
    <row r="126" spans="1:5">
      <c r="A126" s="141" t="s">
        <v>41</v>
      </c>
      <c r="B126" s="142">
        <v>1</v>
      </c>
      <c r="C126" s="159" t="s">
        <v>11</v>
      </c>
      <c r="D126" s="168">
        <v>115.23</v>
      </c>
      <c r="E126" s="145">
        <f t="shared" si="2"/>
        <v>115.23</v>
      </c>
    </row>
    <row r="127" spans="1:5" ht="13.5" thickBot="1">
      <c r="A127" s="152"/>
      <c r="B127" s="161"/>
      <c r="C127" s="4769" t="s">
        <v>157</v>
      </c>
      <c r="D127" s="4769"/>
      <c r="E127" s="154">
        <f>SUM(E121:E126)</f>
        <v>498.95</v>
      </c>
    </row>
    <row r="128" spans="1:5" ht="13.5" thickTop="1">
      <c r="A128" s="149"/>
      <c r="B128" s="134"/>
      <c r="C128" s="135"/>
      <c r="D128" s="162"/>
      <c r="E128" s="163"/>
    </row>
    <row r="129" spans="1:5" ht="13.5" thickBot="1">
      <c r="A129" s="156" t="s">
        <v>174</v>
      </c>
      <c r="B129" s="134"/>
      <c r="C129" s="135"/>
      <c r="D129" s="135"/>
      <c r="E129" s="135"/>
    </row>
    <row r="130" spans="1:5" ht="13.5" thickTop="1">
      <c r="A130" s="136" t="s">
        <v>175</v>
      </c>
      <c r="B130" s="137">
        <v>0.06</v>
      </c>
      <c r="C130" s="157" t="s">
        <v>2</v>
      </c>
      <c r="D130" s="158">
        <f>SUM(E79)</f>
        <v>5523.31</v>
      </c>
      <c r="E130" s="140">
        <f>B130*D130</f>
        <v>331.4</v>
      </c>
    </row>
    <row r="131" spans="1:5">
      <c r="A131" s="141" t="s">
        <v>154</v>
      </c>
      <c r="B131" s="142">
        <v>0.33</v>
      </c>
      <c r="C131" s="159" t="s">
        <v>155</v>
      </c>
      <c r="D131" s="144">
        <f>+D122</f>
        <v>45</v>
      </c>
      <c r="E131" s="145">
        <f>B131*D131</f>
        <v>14.85</v>
      </c>
    </row>
    <row r="132" spans="1:5">
      <c r="A132" s="141" t="s">
        <v>176</v>
      </c>
      <c r="B132" s="142">
        <v>1</v>
      </c>
      <c r="C132" s="159" t="s">
        <v>42</v>
      </c>
      <c r="D132" s="159">
        <v>6</v>
      </c>
      <c r="E132" s="145">
        <f>B132*D132</f>
        <v>6</v>
      </c>
    </row>
    <row r="133" spans="1:5">
      <c r="A133" s="141" t="s">
        <v>41</v>
      </c>
      <c r="B133" s="142">
        <v>1</v>
      </c>
      <c r="C133" s="159" t="s">
        <v>11</v>
      </c>
      <c r="D133" s="144">
        <v>118.69</v>
      </c>
      <c r="E133" s="145">
        <f>B133*D133</f>
        <v>118.69</v>
      </c>
    </row>
    <row r="134" spans="1:5" ht="13.5" thickBot="1">
      <c r="A134" s="152"/>
      <c r="B134" s="161"/>
      <c r="C134" s="4769" t="s">
        <v>157</v>
      </c>
      <c r="D134" s="4769"/>
      <c r="E134" s="154">
        <f>SUM(E130:E133)</f>
        <v>470.94</v>
      </c>
    </row>
    <row r="135" spans="1:5" ht="13.5" thickTop="1">
      <c r="A135" s="45"/>
      <c r="B135" s="130"/>
      <c r="C135" s="131"/>
      <c r="D135" s="155"/>
      <c r="E135" s="155"/>
    </row>
    <row r="136" spans="1:5" ht="13.5" thickBot="1">
      <c r="A136" s="156" t="s">
        <v>177</v>
      </c>
      <c r="B136" s="134"/>
      <c r="C136" s="135"/>
      <c r="D136" s="135"/>
      <c r="E136" s="135"/>
    </row>
    <row r="137" spans="1:5" ht="13.5" thickTop="1">
      <c r="A137" s="136" t="s">
        <v>178</v>
      </c>
      <c r="B137" s="180">
        <v>4.0000000000000001E-3</v>
      </c>
      <c r="C137" s="157" t="s">
        <v>2</v>
      </c>
      <c r="D137" s="158">
        <f>SUM(E71)</f>
        <v>5335.97</v>
      </c>
      <c r="E137" s="140">
        <f>B137*D137</f>
        <v>21.34</v>
      </c>
    </row>
    <row r="138" spans="1:5">
      <c r="A138" s="141" t="s">
        <v>154</v>
      </c>
      <c r="B138" s="184">
        <v>0.11</v>
      </c>
      <c r="C138" s="159" t="s">
        <v>155</v>
      </c>
      <c r="D138" s="144">
        <f>+D131</f>
        <v>45</v>
      </c>
      <c r="E138" s="145">
        <f>B138*D138</f>
        <v>4.95</v>
      </c>
    </row>
    <row r="139" spans="1:5">
      <c r="A139" s="141" t="s">
        <v>41</v>
      </c>
      <c r="B139" s="142">
        <v>1</v>
      </c>
      <c r="C139" s="159" t="s">
        <v>13</v>
      </c>
      <c r="D139" s="144">
        <v>35</v>
      </c>
      <c r="E139" s="145">
        <f>B139*D139</f>
        <v>35</v>
      </c>
    </row>
    <row r="140" spans="1:5" ht="13.5" thickBot="1">
      <c r="A140" s="152"/>
      <c r="B140" s="161"/>
      <c r="C140" s="4769" t="s">
        <v>179</v>
      </c>
      <c r="D140" s="4769"/>
      <c r="E140" s="154">
        <f>SUM(E137:E139)</f>
        <v>61.29</v>
      </c>
    </row>
    <row r="141" spans="1:5" ht="13.5" thickTop="1">
      <c r="A141" s="45"/>
      <c r="B141" s="130"/>
      <c r="C141" s="131"/>
      <c r="D141" s="155"/>
      <c r="E141" s="155"/>
    </row>
    <row r="142" spans="1:5" ht="13.5" thickBot="1">
      <c r="A142" s="185" t="s">
        <v>180</v>
      </c>
      <c r="B142" s="130"/>
      <c r="C142" s="131"/>
      <c r="D142" s="155"/>
      <c r="E142" s="155"/>
    </row>
    <row r="143" spans="1:5" ht="13.5" thickTop="1">
      <c r="A143" s="136" t="s">
        <v>181</v>
      </c>
      <c r="B143" s="137">
        <v>1</v>
      </c>
      <c r="C143" s="157" t="s">
        <v>126</v>
      </c>
      <c r="D143" s="158">
        <f>+E15</f>
        <v>2300</v>
      </c>
      <c r="E143" s="140">
        <f>B143*D143</f>
        <v>2300</v>
      </c>
    </row>
    <row r="144" spans="1:5">
      <c r="A144" s="186" t="s">
        <v>41</v>
      </c>
      <c r="B144" s="142">
        <v>1</v>
      </c>
      <c r="C144" s="159" t="s">
        <v>126</v>
      </c>
      <c r="D144" s="144">
        <v>246.86</v>
      </c>
      <c r="E144" s="145">
        <f>B144*D144</f>
        <v>246.86</v>
      </c>
    </row>
    <row r="145" spans="1:5">
      <c r="A145" s="141" t="s">
        <v>182</v>
      </c>
      <c r="B145" s="142">
        <v>2</v>
      </c>
      <c r="C145" s="159" t="s">
        <v>183</v>
      </c>
      <c r="D145" s="144">
        <v>35</v>
      </c>
      <c r="E145" s="145">
        <f>B145*D145</f>
        <v>70</v>
      </c>
    </row>
    <row r="146" spans="1:5" ht="13.5" thickBot="1">
      <c r="A146" s="152"/>
      <c r="B146" s="161"/>
      <c r="C146" s="4769" t="s">
        <v>184</v>
      </c>
      <c r="D146" s="4769"/>
      <c r="E146" s="154">
        <f>SUM(E143:E145)</f>
        <v>2616.86</v>
      </c>
    </row>
    <row r="147" spans="1:5" ht="13.5" thickTop="1">
      <c r="A147" s="45"/>
      <c r="B147" s="130"/>
      <c r="C147" s="131"/>
      <c r="D147" s="155"/>
      <c r="E147" s="155"/>
    </row>
    <row r="148" spans="1:5" ht="13.5" thickBot="1">
      <c r="A148" s="185" t="s">
        <v>185</v>
      </c>
      <c r="B148" s="130"/>
      <c r="C148" s="131"/>
      <c r="D148" s="155"/>
      <c r="E148" s="155"/>
    </row>
    <row r="149" spans="1:5" ht="13.5" thickTop="1">
      <c r="A149" s="136" t="s">
        <v>181</v>
      </c>
      <c r="B149" s="137">
        <v>1</v>
      </c>
      <c r="C149" s="157" t="s">
        <v>126</v>
      </c>
      <c r="D149" s="158">
        <f>+D143</f>
        <v>2300</v>
      </c>
      <c r="E149" s="140">
        <f>B149*D149</f>
        <v>2300</v>
      </c>
    </row>
    <row r="150" spans="1:5">
      <c r="A150" s="186" t="s">
        <v>41</v>
      </c>
      <c r="B150" s="142">
        <v>1</v>
      </c>
      <c r="C150" s="159" t="s">
        <v>126</v>
      </c>
      <c r="D150" s="144">
        <v>82.28</v>
      </c>
      <c r="E150" s="145">
        <f>B150*D150</f>
        <v>82.28</v>
      </c>
    </row>
    <row r="151" spans="1:5">
      <c r="A151" s="141" t="s">
        <v>182</v>
      </c>
      <c r="B151" s="142">
        <v>2</v>
      </c>
      <c r="C151" s="159" t="s">
        <v>183</v>
      </c>
      <c r="D151" s="144">
        <v>35</v>
      </c>
      <c r="E151" s="145">
        <f>B151*D151</f>
        <v>70</v>
      </c>
    </row>
    <row r="152" spans="1:5" ht="13.5" thickBot="1">
      <c r="A152" s="152"/>
      <c r="B152" s="161"/>
      <c r="C152" s="4769" t="s">
        <v>184</v>
      </c>
      <c r="D152" s="4769"/>
      <c r="E152" s="154">
        <f>SUM(E149:E151)</f>
        <v>2452.2800000000002</v>
      </c>
    </row>
    <row r="153" spans="1:5" ht="13.5" thickTop="1">
      <c r="A153" s="45"/>
      <c r="B153" s="130"/>
      <c r="C153" s="131"/>
      <c r="D153" s="155"/>
      <c r="E153" s="155"/>
    </row>
    <row r="154" spans="1:5">
      <c r="A154" s="187" t="s">
        <v>186</v>
      </c>
      <c r="B154" s="188"/>
      <c r="C154" s="189"/>
      <c r="D154" s="189"/>
      <c r="E154" s="189"/>
    </row>
    <row r="155" spans="1:5" ht="13.5" thickBot="1">
      <c r="A155" s="133" t="s">
        <v>187</v>
      </c>
      <c r="B155" s="134"/>
      <c r="C155" s="135"/>
      <c r="D155" s="135"/>
      <c r="E155" s="135"/>
    </row>
    <row r="156" spans="1:5" ht="13.5" thickTop="1">
      <c r="A156" s="136" t="s">
        <v>122</v>
      </c>
      <c r="B156" s="167">
        <v>0.52</v>
      </c>
      <c r="C156" s="157" t="s">
        <v>2</v>
      </c>
      <c r="D156" s="165">
        <f>E29</f>
        <v>1218.7</v>
      </c>
      <c r="E156" s="140">
        <f>B156*D156</f>
        <v>633.72</v>
      </c>
    </row>
    <row r="157" spans="1:5">
      <c r="A157" s="141" t="s">
        <v>124</v>
      </c>
      <c r="B157" s="160">
        <v>0.85</v>
      </c>
      <c r="C157" s="159" t="s">
        <v>2</v>
      </c>
      <c r="D157" s="166">
        <f>E23</f>
        <v>1018.7</v>
      </c>
      <c r="E157" s="145">
        <f>B157*D157</f>
        <v>865.9</v>
      </c>
    </row>
    <row r="158" spans="1:5">
      <c r="A158" s="141" t="s">
        <v>117</v>
      </c>
      <c r="B158" s="166">
        <v>60</v>
      </c>
      <c r="C158" s="159" t="s">
        <v>138</v>
      </c>
      <c r="D158" s="166">
        <f>E9</f>
        <v>5</v>
      </c>
      <c r="E158" s="145">
        <f>B158*D158</f>
        <v>300</v>
      </c>
    </row>
    <row r="159" spans="1:5">
      <c r="A159" s="141" t="s">
        <v>188</v>
      </c>
      <c r="B159" s="160">
        <v>6.4</v>
      </c>
      <c r="C159" s="190" t="s">
        <v>144</v>
      </c>
      <c r="D159" s="166">
        <f>E10</f>
        <v>320</v>
      </c>
      <c r="E159" s="145">
        <f>B159*D159</f>
        <v>2048</v>
      </c>
    </row>
    <row r="160" spans="1:5">
      <c r="A160" s="141" t="s">
        <v>189</v>
      </c>
      <c r="B160" s="160">
        <v>0.5</v>
      </c>
      <c r="C160" s="159" t="s">
        <v>148</v>
      </c>
      <c r="D160" s="166">
        <v>650</v>
      </c>
      <c r="E160" s="145">
        <f>B160*D160</f>
        <v>325</v>
      </c>
    </row>
    <row r="161" spans="1:5">
      <c r="A161" s="186" t="s">
        <v>190</v>
      </c>
      <c r="B161" s="160"/>
      <c r="C161" s="144"/>
      <c r="D161" s="144"/>
      <c r="E161" s="145">
        <f>SUM(E158+E159)*0.03</f>
        <v>70.44</v>
      </c>
    </row>
    <row r="162" spans="1:5" ht="13.5" thickBot="1">
      <c r="A162" s="152"/>
      <c r="B162" s="161"/>
      <c r="C162" s="4769" t="s">
        <v>132</v>
      </c>
      <c r="D162" s="4769"/>
      <c r="E162" s="154">
        <f>SUM(E156:E161)</f>
        <v>4243.0600000000004</v>
      </c>
    </row>
    <row r="163" spans="1:5" ht="13.5" thickTop="1">
      <c r="A163" s="45"/>
      <c r="B163" s="130"/>
      <c r="C163" s="131"/>
      <c r="D163" s="155"/>
      <c r="E163" s="155"/>
    </row>
    <row r="164" spans="1:5" ht="13.5" thickBot="1">
      <c r="A164" s="156" t="s">
        <v>191</v>
      </c>
      <c r="B164" s="134"/>
      <c r="C164" s="135"/>
      <c r="D164" s="135"/>
      <c r="E164" s="135"/>
    </row>
    <row r="165" spans="1:5" ht="13.5" thickTop="1">
      <c r="A165" s="136" t="s">
        <v>192</v>
      </c>
      <c r="B165" s="165">
        <v>13</v>
      </c>
      <c r="C165" s="157" t="s">
        <v>3</v>
      </c>
      <c r="D165" s="165">
        <v>25.93</v>
      </c>
      <c r="E165" s="140">
        <f t="shared" ref="E165:E172" si="3">B165*D165</f>
        <v>337.09</v>
      </c>
    </row>
    <row r="166" spans="1:5">
      <c r="A166" s="141" t="s">
        <v>193</v>
      </c>
      <c r="B166" s="166">
        <v>13</v>
      </c>
      <c r="C166" s="159" t="s">
        <v>3</v>
      </c>
      <c r="D166" s="166">
        <v>17.02</v>
      </c>
      <c r="E166" s="145">
        <f t="shared" si="3"/>
        <v>221.26</v>
      </c>
    </row>
    <row r="167" spans="1:5">
      <c r="A167" s="186" t="s">
        <v>194</v>
      </c>
      <c r="B167" s="181">
        <v>3.1E-2</v>
      </c>
      <c r="C167" s="159" t="s">
        <v>2</v>
      </c>
      <c r="D167" s="166">
        <f>E79</f>
        <v>5523.31</v>
      </c>
      <c r="E167" s="145">
        <f t="shared" si="3"/>
        <v>171.22</v>
      </c>
    </row>
    <row r="168" spans="1:5">
      <c r="A168" s="141" t="s">
        <v>195</v>
      </c>
      <c r="B168" s="181">
        <v>0.01</v>
      </c>
      <c r="C168" s="159" t="s">
        <v>2</v>
      </c>
      <c r="D168" s="166">
        <f>SUM(E162)</f>
        <v>4243.0600000000004</v>
      </c>
      <c r="E168" s="145">
        <f t="shared" si="3"/>
        <v>42.43</v>
      </c>
    </row>
    <row r="169" spans="1:5">
      <c r="A169" s="141" t="s">
        <v>196</v>
      </c>
      <c r="B169" s="181">
        <v>0.03</v>
      </c>
      <c r="C169" s="159" t="s">
        <v>126</v>
      </c>
      <c r="D169" s="166">
        <f>E152</f>
        <v>2452.2800000000002</v>
      </c>
      <c r="E169" s="145">
        <f t="shared" si="3"/>
        <v>73.569999999999993</v>
      </c>
    </row>
    <row r="170" spans="1:5">
      <c r="A170" s="141" t="s">
        <v>197</v>
      </c>
      <c r="B170" s="181">
        <v>0.24199999999999999</v>
      </c>
      <c r="C170" s="159" t="s">
        <v>155</v>
      </c>
      <c r="D170" s="166">
        <v>24</v>
      </c>
      <c r="E170" s="145">
        <f t="shared" si="3"/>
        <v>5.81</v>
      </c>
    </row>
    <row r="171" spans="1:5">
      <c r="A171" s="141" t="s">
        <v>198</v>
      </c>
      <c r="B171" s="181">
        <v>2.3E-2</v>
      </c>
      <c r="C171" s="159" t="s">
        <v>148</v>
      </c>
      <c r="D171" s="166">
        <v>200</v>
      </c>
      <c r="E171" s="145">
        <f t="shared" si="3"/>
        <v>4.5999999999999996</v>
      </c>
    </row>
    <row r="172" spans="1:5">
      <c r="A172" s="141" t="s">
        <v>199</v>
      </c>
      <c r="B172" s="181">
        <v>0.01</v>
      </c>
      <c r="C172" s="159" t="s">
        <v>2</v>
      </c>
      <c r="D172" s="166">
        <v>650</v>
      </c>
      <c r="E172" s="145">
        <f t="shared" si="3"/>
        <v>6.5</v>
      </c>
    </row>
    <row r="173" spans="1:5" ht="13.5" thickBot="1">
      <c r="A173" s="152"/>
      <c r="B173" s="161"/>
      <c r="C173" s="4769" t="s">
        <v>157</v>
      </c>
      <c r="D173" s="4769"/>
      <c r="E173" s="154">
        <f>SUM(E165:E172)</f>
        <v>862.48</v>
      </c>
    </row>
    <row r="174" spans="1:5" ht="13.5" thickTop="1">
      <c r="A174" s="149"/>
      <c r="B174" s="134"/>
      <c r="C174" s="135"/>
      <c r="D174" s="155" t="s">
        <v>200</v>
      </c>
      <c r="E174" s="191">
        <f>E173-(E170+E171)</f>
        <v>852.07</v>
      </c>
    </row>
    <row r="175" spans="1:5" ht="13.5" thickBot="1">
      <c r="A175" s="192" t="s">
        <v>201</v>
      </c>
      <c r="B175" s="193"/>
      <c r="C175" s="194"/>
      <c r="D175" s="193"/>
      <c r="E175" s="193"/>
    </row>
    <row r="176" spans="1:5" ht="13.5" thickTop="1">
      <c r="A176" s="195" t="s">
        <v>202</v>
      </c>
      <c r="B176" s="196">
        <v>0.08</v>
      </c>
      <c r="C176" s="197" t="s">
        <v>118</v>
      </c>
      <c r="D176" s="198">
        <v>730</v>
      </c>
      <c r="E176" s="199">
        <f>ROUND(B176*D176,2)</f>
        <v>58.4</v>
      </c>
    </row>
    <row r="177" spans="1:5">
      <c r="A177" s="200" t="s">
        <v>203</v>
      </c>
      <c r="B177" s="201">
        <v>1</v>
      </c>
      <c r="C177" s="202" t="s">
        <v>11</v>
      </c>
      <c r="D177" s="203">
        <v>54.26</v>
      </c>
      <c r="E177" s="204">
        <f>ROUND(B177*D177,2)</f>
        <v>54.26</v>
      </c>
    </row>
    <row r="178" spans="1:5">
      <c r="A178" s="200" t="s">
        <v>204</v>
      </c>
      <c r="B178" s="201">
        <v>15</v>
      </c>
      <c r="C178" s="205" t="s">
        <v>46</v>
      </c>
      <c r="D178" s="203">
        <f>E176</f>
        <v>58.4</v>
      </c>
      <c r="E178" s="204">
        <f>ROUND(B178*D178,2)/100</f>
        <v>8.76</v>
      </c>
    </row>
    <row r="179" spans="1:5" ht="13.5" thickBot="1">
      <c r="A179" s="206"/>
      <c r="B179" s="207"/>
      <c r="C179" s="208"/>
      <c r="D179" s="209" t="s">
        <v>11</v>
      </c>
      <c r="E179" s="210">
        <f>SUM(E176:E178)</f>
        <v>121.42</v>
      </c>
    </row>
    <row r="180" spans="1:5" ht="13.5" thickTop="1">
      <c r="A180" s="45"/>
      <c r="B180" s="130"/>
      <c r="C180" s="131"/>
      <c r="D180" s="155"/>
      <c r="E180" s="155"/>
    </row>
    <row r="181" spans="1:5" ht="13.5" thickBot="1">
      <c r="A181" s="192" t="s">
        <v>205</v>
      </c>
      <c r="B181" s="211"/>
      <c r="C181" s="212"/>
      <c r="D181" s="211"/>
      <c r="E181" s="211"/>
    </row>
    <row r="182" spans="1:5" ht="13.5" thickTop="1">
      <c r="A182" s="195" t="s">
        <v>202</v>
      </c>
      <c r="B182" s="196">
        <v>0.08</v>
      </c>
      <c r="C182" s="197" t="s">
        <v>118</v>
      </c>
      <c r="D182" s="198">
        <v>850</v>
      </c>
      <c r="E182" s="199">
        <f>ROUND(B182*D182,2)</f>
        <v>68</v>
      </c>
    </row>
    <row r="183" spans="1:5">
      <c r="A183" s="213" t="s">
        <v>206</v>
      </c>
      <c r="B183" s="214">
        <v>0.02</v>
      </c>
      <c r="C183" s="215" t="s">
        <v>118</v>
      </c>
      <c r="D183" s="216">
        <v>350</v>
      </c>
      <c r="E183" s="204">
        <f>ROUND(B183*D183,2)</f>
        <v>7</v>
      </c>
    </row>
    <row r="184" spans="1:5">
      <c r="A184" s="200" t="s">
        <v>203</v>
      </c>
      <c r="B184" s="201">
        <v>1</v>
      </c>
      <c r="C184" s="202" t="s">
        <v>207</v>
      </c>
      <c r="D184" s="203">
        <v>67.180000000000007</v>
      </c>
      <c r="E184" s="204">
        <f>ROUND(B184*D184,2)</f>
        <v>67.180000000000007</v>
      </c>
    </row>
    <row r="185" spans="1:5">
      <c r="A185" s="200" t="s">
        <v>208</v>
      </c>
      <c r="B185" s="201">
        <v>15</v>
      </c>
      <c r="C185" s="205" t="s">
        <v>46</v>
      </c>
      <c r="D185" s="203">
        <f>E182+E183</f>
        <v>75</v>
      </c>
      <c r="E185" s="204">
        <f>ROUND(B185*D185,2)/100</f>
        <v>11.25</v>
      </c>
    </row>
    <row r="186" spans="1:5" ht="13.5" thickBot="1">
      <c r="A186" s="206"/>
      <c r="B186" s="207"/>
      <c r="C186" s="208"/>
      <c r="D186" s="209" t="s">
        <v>11</v>
      </c>
      <c r="E186" s="210">
        <f>SUM(E182:E185)</f>
        <v>153.43</v>
      </c>
    </row>
    <row r="187" spans="1:5" ht="13.5" thickTop="1">
      <c r="A187" s="45"/>
      <c r="B187" s="130"/>
      <c r="C187" s="131"/>
      <c r="D187" s="155"/>
      <c r="E187" s="155"/>
    </row>
    <row r="188" spans="1:5" ht="13.5" thickBot="1">
      <c r="A188" s="192" t="s">
        <v>209</v>
      </c>
      <c r="B188" s="211"/>
      <c r="C188" s="212"/>
      <c r="D188" s="211"/>
      <c r="E188" s="211"/>
    </row>
    <row r="189" spans="1:5" ht="13.5" thickTop="1">
      <c r="A189" s="195" t="s">
        <v>202</v>
      </c>
      <c r="B189" s="196">
        <v>0.08</v>
      </c>
      <c r="C189" s="197" t="s">
        <v>118</v>
      </c>
      <c r="D189" s="198">
        <v>725</v>
      </c>
      <c r="E189" s="199">
        <f>ROUND(B189*D189,2)</f>
        <v>58</v>
      </c>
    </row>
    <row r="190" spans="1:5">
      <c r="A190" s="200" t="s">
        <v>203</v>
      </c>
      <c r="B190" s="201">
        <v>1</v>
      </c>
      <c r="C190" s="202" t="s">
        <v>207</v>
      </c>
      <c r="D190" s="203">
        <v>45.6</v>
      </c>
      <c r="E190" s="204">
        <f>ROUND(B190*D190,2)</f>
        <v>45.6</v>
      </c>
    </row>
    <row r="191" spans="1:5">
      <c r="A191" s="200" t="s">
        <v>208</v>
      </c>
      <c r="B191" s="201">
        <v>15</v>
      </c>
      <c r="C191" s="205" t="s">
        <v>46</v>
      </c>
      <c r="D191" s="203">
        <f>E189</f>
        <v>58</v>
      </c>
      <c r="E191" s="204">
        <f>ROUND(B191*D191,2)/100</f>
        <v>8.6999999999999993</v>
      </c>
    </row>
    <row r="192" spans="1:5" ht="13.5" thickBot="1">
      <c r="A192" s="206"/>
      <c r="B192" s="207"/>
      <c r="C192" s="208"/>
      <c r="D192" s="209" t="s">
        <v>11</v>
      </c>
      <c r="E192" s="210">
        <f>SUM(E189:E191)</f>
        <v>112.3</v>
      </c>
    </row>
    <row r="193" spans="1:5" ht="13.5" thickTop="1">
      <c r="A193" s="217"/>
      <c r="B193" s="218"/>
      <c r="C193" s="219"/>
      <c r="D193" s="220"/>
      <c r="E193" s="221"/>
    </row>
    <row r="194" spans="1:5" ht="13.5" thickBot="1">
      <c r="A194" s="185" t="s">
        <v>210</v>
      </c>
      <c r="B194" s="130"/>
      <c r="C194" s="131"/>
      <c r="D194" s="155"/>
      <c r="E194" s="155"/>
    </row>
    <row r="195" spans="1:5" ht="13.5" thickTop="1">
      <c r="A195" s="136" t="s">
        <v>211</v>
      </c>
      <c r="B195" s="165">
        <v>1</v>
      </c>
      <c r="C195" s="157" t="s">
        <v>3</v>
      </c>
      <c r="D195" s="222">
        <v>8500</v>
      </c>
      <c r="E195" s="199">
        <f>ROUND(B195*D195,2)</f>
        <v>8500</v>
      </c>
    </row>
    <row r="196" spans="1:5">
      <c r="A196" s="141" t="s">
        <v>212</v>
      </c>
      <c r="B196" s="166">
        <v>1</v>
      </c>
      <c r="C196" s="159" t="s">
        <v>3</v>
      </c>
      <c r="D196" s="223">
        <v>400</v>
      </c>
      <c r="E196" s="204">
        <f>ROUND(B196*D196,2)</f>
        <v>400</v>
      </c>
    </row>
    <row r="197" spans="1:5" ht="13.5" thickBot="1">
      <c r="A197" s="152"/>
      <c r="B197" s="161"/>
      <c r="C197" s="224"/>
      <c r="D197" s="225"/>
      <c r="E197" s="154">
        <f>SUM(E195:E196)</f>
        <v>8900</v>
      </c>
    </row>
    <row r="198" spans="1:5" ht="13.5" thickTop="1">
      <c r="A198" s="45"/>
      <c r="B198" s="130"/>
      <c r="C198" s="131"/>
      <c r="D198" s="155"/>
      <c r="E198" s="155"/>
    </row>
    <row r="199" spans="1:5">
      <c r="A199" s="4769" t="s">
        <v>213</v>
      </c>
      <c r="B199" s="4769"/>
      <c r="C199" s="4769"/>
      <c r="D199" s="4769"/>
      <c r="E199" s="4769"/>
    </row>
    <row r="200" spans="1:5">
      <c r="A200" s="226"/>
      <c r="B200" s="226"/>
      <c r="C200" s="226"/>
      <c r="D200" s="226"/>
      <c r="E200" s="226"/>
    </row>
    <row r="201" spans="1:5">
      <c r="A201" s="227" t="s">
        <v>214</v>
      </c>
      <c r="B201" s="228">
        <v>1</v>
      </c>
      <c r="C201" s="229" t="s">
        <v>215</v>
      </c>
      <c r="D201" s="230">
        <v>2000</v>
      </c>
      <c r="E201" s="230">
        <f>B201*D201</f>
        <v>2000</v>
      </c>
    </row>
    <row r="202" spans="1:5">
      <c r="A202" s="231" t="s">
        <v>216</v>
      </c>
      <c r="B202" s="228">
        <v>1</v>
      </c>
      <c r="C202" s="229" t="s">
        <v>215</v>
      </c>
      <c r="D202" s="230">
        <v>1100</v>
      </c>
      <c r="E202" s="230">
        <f>B202*D202</f>
        <v>1100</v>
      </c>
    </row>
    <row r="203" spans="1:5">
      <c r="A203" s="231" t="s">
        <v>217</v>
      </c>
      <c r="B203" s="228">
        <v>1</v>
      </c>
      <c r="C203" s="229" t="s">
        <v>215</v>
      </c>
      <c r="D203" s="230">
        <f>2*650</f>
        <v>1300</v>
      </c>
      <c r="E203" s="230">
        <f>B203*D203</f>
        <v>1300</v>
      </c>
    </row>
    <row r="204" spans="1:5">
      <c r="A204" s="231" t="s">
        <v>218</v>
      </c>
      <c r="B204" s="228">
        <v>3</v>
      </c>
      <c r="C204" s="232" t="s">
        <v>118</v>
      </c>
      <c r="D204" s="230">
        <v>160.5</v>
      </c>
      <c r="E204" s="230">
        <f>B204*D204</f>
        <v>481.5</v>
      </c>
    </row>
    <row r="205" spans="1:5">
      <c r="A205" s="231" t="s">
        <v>219</v>
      </c>
      <c r="B205" s="228">
        <v>1</v>
      </c>
      <c r="C205" s="229" t="s">
        <v>3</v>
      </c>
      <c r="D205" s="230">
        <f>0.2*E204</f>
        <v>96.3</v>
      </c>
      <c r="E205" s="233">
        <f>D205*B205</f>
        <v>96.3</v>
      </c>
    </row>
    <row r="206" spans="1:5">
      <c r="A206" s="231" t="s">
        <v>220</v>
      </c>
      <c r="B206" s="228">
        <v>0.2</v>
      </c>
      <c r="C206" s="232" t="s">
        <v>46</v>
      </c>
      <c r="D206" s="230">
        <f>+SUM(E201:E205)</f>
        <v>4977.8</v>
      </c>
      <c r="E206" s="233">
        <f>D206*B206</f>
        <v>995.56</v>
      </c>
    </row>
    <row r="207" spans="1:5">
      <c r="A207" s="231"/>
      <c r="B207" s="231"/>
      <c r="C207" s="231"/>
      <c r="D207" s="234" t="s">
        <v>221</v>
      </c>
      <c r="E207" s="235">
        <f>SUM(E201:E206)</f>
        <v>5973.36</v>
      </c>
    </row>
    <row r="208" spans="1:5">
      <c r="A208" s="236"/>
      <c r="B208" s="236"/>
      <c r="C208" s="236"/>
      <c r="D208" s="234" t="s">
        <v>222</v>
      </c>
      <c r="E208" s="235">
        <f>+E207/8</f>
        <v>746.67</v>
      </c>
    </row>
    <row r="209" spans="1:5">
      <c r="A209" s="45"/>
      <c r="B209" s="130"/>
      <c r="C209" s="131"/>
      <c r="D209" s="155"/>
      <c r="E209" s="155"/>
    </row>
    <row r="210" spans="1:5">
      <c r="A210" s="4769" t="s">
        <v>223</v>
      </c>
      <c r="B210" s="4769"/>
      <c r="C210" s="4769"/>
      <c r="D210" s="4769"/>
      <c r="E210" s="4769"/>
    </row>
    <row r="211" spans="1:5">
      <c r="A211" s="226"/>
      <c r="B211" s="226"/>
      <c r="C211" s="226"/>
      <c r="D211" s="226"/>
      <c r="E211" s="226"/>
    </row>
    <row r="212" spans="1:5">
      <c r="A212" s="236" t="s">
        <v>224</v>
      </c>
      <c r="B212" s="237">
        <v>1</v>
      </c>
      <c r="C212" s="238" t="s">
        <v>148</v>
      </c>
      <c r="D212" s="239">
        <v>900</v>
      </c>
      <c r="E212" s="240">
        <f>SUM(D212*B212)</f>
        <v>900</v>
      </c>
    </row>
    <row r="213" spans="1:5">
      <c r="A213" s="236" t="s">
        <v>225</v>
      </c>
      <c r="B213" s="237">
        <v>2</v>
      </c>
      <c r="C213" s="238" t="s">
        <v>226</v>
      </c>
      <c r="D213" s="239">
        <v>620</v>
      </c>
      <c r="E213" s="240">
        <f>SUM(D213*B213)</f>
        <v>1240</v>
      </c>
    </row>
    <row r="214" spans="1:5">
      <c r="A214" s="236" t="s">
        <v>227</v>
      </c>
      <c r="B214" s="237">
        <v>1</v>
      </c>
      <c r="C214" s="238" t="s">
        <v>226</v>
      </c>
      <c r="D214" s="239">
        <v>1350</v>
      </c>
      <c r="E214" s="240">
        <f>SUM(D214*B214)</f>
        <v>1350</v>
      </c>
    </row>
    <row r="215" spans="1:5">
      <c r="A215" s="236" t="s">
        <v>228</v>
      </c>
      <c r="B215" s="237">
        <v>1</v>
      </c>
      <c r="C215" s="238" t="s">
        <v>148</v>
      </c>
      <c r="D215" s="239">
        <v>1100</v>
      </c>
      <c r="E215" s="240">
        <f>SUM(D215*B215)</f>
        <v>1100</v>
      </c>
    </row>
    <row r="216" spans="1:5">
      <c r="A216" s="236" t="s">
        <v>229</v>
      </c>
      <c r="B216" s="237">
        <v>1</v>
      </c>
      <c r="C216" s="238" t="s">
        <v>148</v>
      </c>
      <c r="D216" s="239">
        <v>1300</v>
      </c>
      <c r="E216" s="240">
        <f>SUM(D216*B216)</f>
        <v>1300</v>
      </c>
    </row>
    <row r="217" spans="1:5">
      <c r="A217" s="236"/>
      <c r="B217" s="237"/>
      <c r="C217" s="238"/>
      <c r="D217" s="241" t="s">
        <v>221</v>
      </c>
      <c r="E217" s="242">
        <f>SUM(E212:E216)</f>
        <v>5890</v>
      </c>
    </row>
    <row r="218" spans="1:5">
      <c r="A218" s="243"/>
      <c r="B218" s="243"/>
      <c r="C218" s="243"/>
      <c r="D218" s="241" t="s">
        <v>222</v>
      </c>
      <c r="E218" s="244">
        <f>+E217/8</f>
        <v>736.25</v>
      </c>
    </row>
    <row r="219" spans="1:5">
      <c r="A219" s="45"/>
      <c r="B219" s="130"/>
      <c r="C219" s="131"/>
      <c r="D219" s="155"/>
      <c r="E219" s="155"/>
    </row>
    <row r="220" spans="1:5">
      <c r="A220" s="123" t="s">
        <v>230</v>
      </c>
      <c r="B220" s="245">
        <v>1.85</v>
      </c>
      <c r="C220" s="246" t="s">
        <v>1</v>
      </c>
      <c r="D220" s="122"/>
      <c r="E220" s="122"/>
    </row>
    <row r="221" spans="1:5">
      <c r="A221" s="247" t="s">
        <v>231</v>
      </c>
      <c r="B221" s="248">
        <v>6.1</v>
      </c>
      <c r="C221" s="249" t="s">
        <v>1</v>
      </c>
      <c r="D221" s="248">
        <v>111.25</v>
      </c>
      <c r="E221" s="240">
        <f>SUM(D221*B221)</f>
        <v>678.63</v>
      </c>
    </row>
    <row r="222" spans="1:5">
      <c r="A222" s="247" t="s">
        <v>232</v>
      </c>
      <c r="B222" s="248">
        <v>0.5</v>
      </c>
      <c r="C222" s="249" t="s">
        <v>148</v>
      </c>
      <c r="D222" s="248">
        <f>E217</f>
        <v>5890</v>
      </c>
      <c r="E222" s="240">
        <f>SUM(D222*B222)</f>
        <v>2945</v>
      </c>
    </row>
    <row r="223" spans="1:5">
      <c r="A223" s="247" t="s">
        <v>233</v>
      </c>
      <c r="B223" s="248">
        <v>0.5</v>
      </c>
      <c r="C223" s="249" t="s">
        <v>148</v>
      </c>
      <c r="D223" s="248">
        <v>5820</v>
      </c>
      <c r="E223" s="240">
        <f>SUM(D223*B223)</f>
        <v>2910</v>
      </c>
    </row>
    <row r="224" spans="1:5">
      <c r="A224" s="247" t="s">
        <v>234</v>
      </c>
      <c r="B224" s="248">
        <v>0.37</v>
      </c>
      <c r="C224" s="249" t="s">
        <v>11</v>
      </c>
      <c r="D224" s="248">
        <f>E192</f>
        <v>112.3</v>
      </c>
      <c r="E224" s="240">
        <f>SUM(D224*B224)</f>
        <v>41.55</v>
      </c>
    </row>
    <row r="225" spans="1:5">
      <c r="A225" s="247" t="s">
        <v>235</v>
      </c>
      <c r="B225" s="248">
        <v>0.37</v>
      </c>
      <c r="C225" s="249" t="s">
        <v>11</v>
      </c>
      <c r="D225" s="248">
        <f>E186</f>
        <v>153.43</v>
      </c>
      <c r="E225" s="240">
        <f>SUM(D225*B225)</f>
        <v>56.77</v>
      </c>
    </row>
    <row r="226" spans="1:5">
      <c r="A226" s="247"/>
      <c r="B226" s="248"/>
      <c r="C226" s="4769" t="s">
        <v>236</v>
      </c>
      <c r="D226" s="4769"/>
      <c r="E226" s="250">
        <f>SUM(E221:E225)</f>
        <v>6631.95</v>
      </c>
    </row>
    <row r="227" spans="1:5">
      <c r="A227" s="247"/>
      <c r="B227" s="248"/>
      <c r="C227" s="4769" t="s">
        <v>237</v>
      </c>
      <c r="D227" s="4769"/>
      <c r="E227" s="250">
        <f>(E226/B220)</f>
        <v>3584.84</v>
      </c>
    </row>
    <row r="228" spans="1:5">
      <c r="A228" s="45"/>
      <c r="B228" s="130"/>
      <c r="C228" s="131"/>
      <c r="D228" s="155"/>
      <c r="E228" s="155"/>
    </row>
    <row r="229" spans="1:5">
      <c r="A229" s="45"/>
      <c r="B229" s="130"/>
      <c r="C229" s="131"/>
      <c r="D229" s="155"/>
      <c r="E229" s="155"/>
    </row>
    <row r="230" spans="1:5">
      <c r="A230" s="4769" t="s">
        <v>238</v>
      </c>
      <c r="B230" s="4769"/>
      <c r="C230" s="4769"/>
      <c r="D230" s="4769"/>
      <c r="E230" s="4769"/>
    </row>
    <row r="231" spans="1:5" ht="13.5" thickBot="1">
      <c r="A231" s="251" t="s">
        <v>239</v>
      </c>
      <c r="B231" s="252"/>
      <c r="C231" s="7"/>
      <c r="D231" s="7"/>
      <c r="E231" s="7"/>
    </row>
    <row r="232" spans="1:5" ht="13.5" thickTop="1">
      <c r="A232" s="253" t="s">
        <v>240</v>
      </c>
      <c r="B232" s="254">
        <v>1.05</v>
      </c>
      <c r="C232" s="255" t="s">
        <v>160</v>
      </c>
      <c r="D232" s="256">
        <f>E56</f>
        <v>5230.0200000000004</v>
      </c>
      <c r="E232" s="257">
        <f>B232*D232</f>
        <v>5491.52</v>
      </c>
    </row>
    <row r="233" spans="1:5">
      <c r="A233" s="258" t="s">
        <v>241</v>
      </c>
      <c r="B233" s="259">
        <v>1.87</v>
      </c>
      <c r="C233" s="260" t="s">
        <v>242</v>
      </c>
      <c r="D233" s="261">
        <f>E152</f>
        <v>2452.2800000000002</v>
      </c>
      <c r="E233" s="262">
        <f>B233*D233</f>
        <v>4585.76</v>
      </c>
    </row>
    <row r="234" spans="1:5" ht="13.5" thickBot="1">
      <c r="A234" s="263"/>
      <c r="B234" s="264"/>
      <c r="C234" s="4769" t="s">
        <v>243</v>
      </c>
      <c r="D234" s="4769"/>
      <c r="E234" s="265">
        <f>SUM(E232:E233)</f>
        <v>10077.280000000001</v>
      </c>
    </row>
    <row r="235" spans="1:5" ht="13.5" thickTop="1">
      <c r="A235" s="7"/>
      <c r="B235" s="252"/>
      <c r="C235" s="7"/>
      <c r="D235" s="7"/>
      <c r="E235" s="7"/>
    </row>
    <row r="236" spans="1:5" ht="13.5" thickBot="1">
      <c r="A236" s="170" t="s">
        <v>244</v>
      </c>
      <c r="B236" s="171"/>
      <c r="C236" s="172"/>
      <c r="D236" s="171"/>
      <c r="E236" s="171"/>
    </row>
    <row r="237" spans="1:5" ht="13.5" thickTop="1">
      <c r="A237" s="253" t="s">
        <v>240</v>
      </c>
      <c r="B237" s="254">
        <v>1.05</v>
      </c>
      <c r="C237" s="255" t="s">
        <v>160</v>
      </c>
      <c r="D237" s="256">
        <f>E56</f>
        <v>5230.0200000000004</v>
      </c>
      <c r="E237" s="257">
        <f>B237*D237</f>
        <v>5491.52</v>
      </c>
    </row>
    <row r="238" spans="1:5">
      <c r="A238" s="258" t="s">
        <v>241</v>
      </c>
      <c r="B238" s="259">
        <v>1.67</v>
      </c>
      <c r="C238" s="260" t="s">
        <v>242</v>
      </c>
      <c r="D238" s="261">
        <f>E152</f>
        <v>2452.2800000000002</v>
      </c>
      <c r="E238" s="262">
        <f>B238*D238</f>
        <v>4095.31</v>
      </c>
    </row>
    <row r="239" spans="1:5">
      <c r="A239" s="258" t="s">
        <v>245</v>
      </c>
      <c r="B239" s="259">
        <f>1/0.12</f>
        <v>8.33</v>
      </c>
      <c r="C239" s="260" t="s">
        <v>163</v>
      </c>
      <c r="D239" s="266">
        <v>185</v>
      </c>
      <c r="E239" s="262">
        <f>B239*D239</f>
        <v>1541.05</v>
      </c>
    </row>
    <row r="240" spans="1:5" ht="13.5" thickBot="1">
      <c r="A240" s="263"/>
      <c r="B240" s="264"/>
      <c r="C240" s="4769" t="s">
        <v>243</v>
      </c>
      <c r="D240" s="4769"/>
      <c r="E240" s="265">
        <f>SUM(E237:E239)</f>
        <v>11127.88</v>
      </c>
    </row>
    <row r="241" spans="1:5" ht="13.5" thickTop="1">
      <c r="A241" s="267"/>
      <c r="B241" s="267"/>
      <c r="C241" s="268"/>
      <c r="D241" s="268"/>
      <c r="E241" s="269"/>
    </row>
    <row r="242" spans="1:5" ht="13.5" thickBot="1">
      <c r="A242" s="251" t="s">
        <v>246</v>
      </c>
      <c r="B242" s="252"/>
      <c r="C242" s="7"/>
      <c r="D242" s="7"/>
      <c r="E242" s="7"/>
    </row>
    <row r="243" spans="1:5" ht="14.25" thickTop="1" thickBot="1">
      <c r="A243" s="253" t="s">
        <v>247</v>
      </c>
      <c r="B243" s="270">
        <v>1</v>
      </c>
      <c r="C243" s="255" t="s">
        <v>3</v>
      </c>
      <c r="D243" s="256">
        <v>3245</v>
      </c>
      <c r="E243" s="257">
        <f>B243*D243</f>
        <v>3245</v>
      </c>
    </row>
    <row r="244" spans="1:5" ht="14.25" thickTop="1" thickBot="1">
      <c r="A244" s="271" t="s">
        <v>248</v>
      </c>
      <c r="B244" s="272">
        <v>0.12</v>
      </c>
      <c r="C244" s="273" t="s">
        <v>2</v>
      </c>
      <c r="D244" s="274">
        <f>+E234</f>
        <v>10077.280000000001</v>
      </c>
      <c r="E244" s="257">
        <f>B244*D244</f>
        <v>1209.27</v>
      </c>
    </row>
    <row r="245" spans="1:5" ht="14.25" thickTop="1" thickBot="1">
      <c r="A245" s="170" t="s">
        <v>244</v>
      </c>
      <c r="B245" s="272">
        <v>0.08</v>
      </c>
      <c r="C245" s="273" t="s">
        <v>2</v>
      </c>
      <c r="D245" s="274">
        <f>+E240</f>
        <v>11127.88</v>
      </c>
      <c r="E245" s="257">
        <f>B245*D245</f>
        <v>890.23</v>
      </c>
    </row>
    <row r="246" spans="1:5" ht="14.25" thickTop="1" thickBot="1">
      <c r="A246" s="271" t="s">
        <v>249</v>
      </c>
      <c r="B246" s="272">
        <v>1</v>
      </c>
      <c r="C246" s="273" t="s">
        <v>3</v>
      </c>
      <c r="D246" s="274">
        <v>9500</v>
      </c>
      <c r="E246" s="257">
        <f>B246*D246</f>
        <v>9500</v>
      </c>
    </row>
    <row r="247" spans="1:5" ht="13.5" thickTop="1">
      <c r="A247" s="258" t="s">
        <v>63</v>
      </c>
      <c r="B247" s="259">
        <v>1</v>
      </c>
      <c r="C247" s="260" t="s">
        <v>3</v>
      </c>
      <c r="D247" s="261">
        <v>1200</v>
      </c>
      <c r="E247" s="257">
        <f>B247*D247</f>
        <v>1200</v>
      </c>
    </row>
    <row r="248" spans="1:5" ht="13.5" thickBot="1">
      <c r="A248" s="263"/>
      <c r="B248" s="264"/>
      <c r="C248" s="4769" t="s">
        <v>243</v>
      </c>
      <c r="D248" s="4769"/>
      <c r="E248" s="265">
        <f>SUM(E243:E247)</f>
        <v>16044.5</v>
      </c>
    </row>
    <row r="249" spans="1:5" ht="13.5" thickTop="1">
      <c r="A249" s="267"/>
      <c r="B249" s="267"/>
      <c r="C249" s="268"/>
      <c r="D249" s="268"/>
      <c r="E249" s="269"/>
    </row>
    <row r="250" spans="1:5">
      <c r="A250" s="275" t="s">
        <v>250</v>
      </c>
      <c r="B250" s="252"/>
      <c r="C250" s="7"/>
      <c r="D250" s="7"/>
      <c r="E250" s="7"/>
    </row>
    <row r="251" spans="1:5" ht="13.5" thickBot="1">
      <c r="A251" s="276" t="s">
        <v>251</v>
      </c>
      <c r="B251" s="252"/>
      <c r="C251" s="7"/>
      <c r="D251" s="7"/>
      <c r="E251" s="7"/>
    </row>
    <row r="252" spans="1:5" ht="13.5" thickTop="1">
      <c r="A252" s="277" t="s">
        <v>37</v>
      </c>
      <c r="B252" s="278">
        <v>1</v>
      </c>
      <c r="C252" s="279" t="s">
        <v>61</v>
      </c>
      <c r="D252" s="280">
        <v>200</v>
      </c>
      <c r="E252" s="140">
        <f t="shared" ref="E252:E270" si="4">ROUND(B252*D252,2)</f>
        <v>200</v>
      </c>
    </row>
    <row r="253" spans="1:5" s="538" customFormat="1">
      <c r="A253" s="534" t="s">
        <v>252</v>
      </c>
      <c r="B253" s="535">
        <v>9.19</v>
      </c>
      <c r="C253" s="281" t="s">
        <v>2</v>
      </c>
      <c r="D253" s="536">
        <f>+E426</f>
        <v>1756.83</v>
      </c>
      <c r="E253" s="537">
        <f t="shared" si="4"/>
        <v>16145.27</v>
      </c>
    </row>
    <row r="254" spans="1:5">
      <c r="A254" s="282" t="s">
        <v>253</v>
      </c>
      <c r="B254" s="283">
        <v>6.05</v>
      </c>
      <c r="C254" s="284" t="s">
        <v>2</v>
      </c>
      <c r="D254" s="285">
        <v>52.6</v>
      </c>
      <c r="E254" s="145">
        <f t="shared" si="4"/>
        <v>318.23</v>
      </c>
    </row>
    <row r="255" spans="1:5">
      <c r="A255" s="282" t="s">
        <v>254</v>
      </c>
      <c r="B255" s="283">
        <v>3.77</v>
      </c>
      <c r="C255" s="284" t="s">
        <v>2</v>
      </c>
      <c r="D255" s="285">
        <v>55</v>
      </c>
      <c r="E255" s="145">
        <f t="shared" si="4"/>
        <v>207.35</v>
      </c>
    </row>
    <row r="256" spans="1:5">
      <c r="A256" s="286" t="s">
        <v>255</v>
      </c>
      <c r="B256" s="287"/>
      <c r="C256" s="288"/>
      <c r="D256" s="285"/>
      <c r="E256" s="145"/>
    </row>
    <row r="257" spans="1:5">
      <c r="A257" s="282" t="s">
        <v>256</v>
      </c>
      <c r="B257" s="283">
        <v>0.25</v>
      </c>
      <c r="C257" s="284" t="s">
        <v>2</v>
      </c>
      <c r="D257" s="289">
        <f>+E234</f>
        <v>10077.280000000001</v>
      </c>
      <c r="E257" s="145">
        <f t="shared" si="4"/>
        <v>2519.3200000000002</v>
      </c>
    </row>
    <row r="258" spans="1:5">
      <c r="A258" s="282" t="s">
        <v>257</v>
      </c>
      <c r="B258" s="283">
        <v>0.2</v>
      </c>
      <c r="C258" s="284" t="s">
        <v>2</v>
      </c>
      <c r="D258" s="285">
        <f>+E240</f>
        <v>11127.88</v>
      </c>
      <c r="E258" s="145">
        <f t="shared" si="4"/>
        <v>2225.58</v>
      </c>
    </row>
    <row r="259" spans="1:5">
      <c r="A259" s="282"/>
      <c r="B259" s="283"/>
      <c r="C259" s="284"/>
      <c r="D259" s="285"/>
      <c r="E259" s="145"/>
    </row>
    <row r="260" spans="1:5">
      <c r="A260" s="282" t="s">
        <v>258</v>
      </c>
      <c r="B260" s="283">
        <v>6.44</v>
      </c>
      <c r="C260" s="284" t="s">
        <v>11</v>
      </c>
      <c r="D260" s="285">
        <f>+E174</f>
        <v>852.07</v>
      </c>
      <c r="E260" s="145">
        <f t="shared" si="4"/>
        <v>5487.33</v>
      </c>
    </row>
    <row r="261" spans="1:5">
      <c r="A261" s="282"/>
      <c r="B261" s="283"/>
      <c r="C261" s="284"/>
      <c r="D261" s="285"/>
      <c r="E261" s="145"/>
    </row>
    <row r="262" spans="1:5">
      <c r="A262" s="282" t="s">
        <v>259</v>
      </c>
      <c r="B262" s="283">
        <v>1.04</v>
      </c>
      <c r="C262" s="284" t="s">
        <v>11</v>
      </c>
      <c r="D262" s="285">
        <f>+E101</f>
        <v>272.45</v>
      </c>
      <c r="E262" s="145">
        <f t="shared" si="4"/>
        <v>283.35000000000002</v>
      </c>
    </row>
    <row r="263" spans="1:5">
      <c r="A263" s="282" t="s">
        <v>260</v>
      </c>
      <c r="B263" s="283">
        <v>1</v>
      </c>
      <c r="C263" s="284" t="s">
        <v>11</v>
      </c>
      <c r="D263" s="285">
        <f>+E127</f>
        <v>498.95</v>
      </c>
      <c r="E263" s="145">
        <f t="shared" si="4"/>
        <v>498.95</v>
      </c>
    </row>
    <row r="264" spans="1:5">
      <c r="A264" s="282" t="s">
        <v>177</v>
      </c>
      <c r="B264" s="283">
        <v>8.91</v>
      </c>
      <c r="C264" s="284" t="s">
        <v>1</v>
      </c>
      <c r="D264" s="285">
        <f>+E140</f>
        <v>61.29</v>
      </c>
      <c r="E264" s="145">
        <f t="shared" si="4"/>
        <v>546.09</v>
      </c>
    </row>
    <row r="265" spans="1:5">
      <c r="A265" s="282" t="s">
        <v>261</v>
      </c>
      <c r="B265" s="283">
        <v>1.01</v>
      </c>
      <c r="C265" s="284" t="s">
        <v>11</v>
      </c>
      <c r="D265" s="285">
        <v>107.16</v>
      </c>
      <c r="E265" s="145">
        <f t="shared" si="4"/>
        <v>108.23</v>
      </c>
    </row>
    <row r="266" spans="1:5">
      <c r="A266" s="282"/>
      <c r="B266" s="283"/>
      <c r="C266" s="284"/>
      <c r="D266" s="285"/>
      <c r="E266" s="145"/>
    </row>
    <row r="267" spans="1:5">
      <c r="A267" s="290" t="s">
        <v>262</v>
      </c>
      <c r="B267" s="291">
        <v>1</v>
      </c>
      <c r="C267" s="292" t="s">
        <v>3</v>
      </c>
      <c r="D267" s="293"/>
      <c r="E267" s="294">
        <f t="shared" si="4"/>
        <v>0</v>
      </c>
    </row>
    <row r="268" spans="1:5">
      <c r="A268" s="282" t="s">
        <v>263</v>
      </c>
      <c r="B268" s="283">
        <v>1</v>
      </c>
      <c r="C268" s="284" t="s">
        <v>3</v>
      </c>
      <c r="D268" s="285">
        <v>3500</v>
      </c>
      <c r="E268" s="145">
        <f t="shared" si="4"/>
        <v>3500</v>
      </c>
    </row>
    <row r="269" spans="1:5">
      <c r="A269" s="295" t="s">
        <v>264</v>
      </c>
      <c r="B269" s="296">
        <v>1</v>
      </c>
      <c r="C269" s="297" t="s">
        <v>61</v>
      </c>
      <c r="D269" s="298">
        <v>100</v>
      </c>
      <c r="E269" s="299">
        <f t="shared" si="4"/>
        <v>100</v>
      </c>
    </row>
    <row r="270" spans="1:5">
      <c r="A270" s="295" t="s">
        <v>265</v>
      </c>
      <c r="B270" s="296">
        <v>1</v>
      </c>
      <c r="C270" s="297" t="s">
        <v>61</v>
      </c>
      <c r="D270" s="298">
        <v>100</v>
      </c>
      <c r="E270" s="299">
        <f t="shared" si="4"/>
        <v>100</v>
      </c>
    </row>
    <row r="271" spans="1:5" ht="13.5" thickBot="1">
      <c r="A271" s="300"/>
      <c r="B271" s="301"/>
      <c r="C271" s="4769" t="s">
        <v>266</v>
      </c>
      <c r="D271" s="4769"/>
      <c r="E271" s="302">
        <f>SUM(E252:E270)</f>
        <v>32239.7</v>
      </c>
    </row>
    <row r="272" spans="1:5" ht="13.5" thickTop="1">
      <c r="A272" s="267"/>
      <c r="B272" s="267"/>
      <c r="C272" s="268"/>
      <c r="D272" s="268"/>
      <c r="E272" s="269"/>
    </row>
    <row r="273" spans="1:5">
      <c r="A273" s="4769" t="s">
        <v>267</v>
      </c>
      <c r="B273" s="4769"/>
      <c r="C273" s="4769"/>
      <c r="D273" s="4769"/>
      <c r="E273" s="4769"/>
    </row>
    <row r="274" spans="1:5" ht="20.25">
      <c r="A274" s="303"/>
      <c r="B274" s="303"/>
      <c r="C274" s="303"/>
      <c r="D274" s="303"/>
      <c r="E274" s="303"/>
    </row>
    <row r="275" spans="1:5">
      <c r="A275" s="304" t="s">
        <v>268</v>
      </c>
      <c r="B275" s="305">
        <v>2.13</v>
      </c>
      <c r="C275" s="306" t="s">
        <v>269</v>
      </c>
      <c r="D275" s="307"/>
      <c r="E275" s="307"/>
    </row>
    <row r="276" spans="1:5" ht="13.5" thickBot="1">
      <c r="A276" s="308" t="s">
        <v>270</v>
      </c>
      <c r="B276" s="305"/>
      <c r="C276" s="306"/>
      <c r="D276" s="307"/>
      <c r="E276" s="307"/>
    </row>
    <row r="277" spans="1:5" ht="13.5" thickTop="1">
      <c r="A277" s="309" t="s">
        <v>271</v>
      </c>
      <c r="B277" s="310">
        <v>1.05</v>
      </c>
      <c r="C277" s="311" t="s">
        <v>2</v>
      </c>
      <c r="D277" s="312">
        <f>+E47</f>
        <v>5479.96</v>
      </c>
      <c r="E277" s="313">
        <f>B277*D277</f>
        <v>5753.96</v>
      </c>
    </row>
    <row r="278" spans="1:5">
      <c r="A278" s="314" t="s">
        <v>272</v>
      </c>
      <c r="B278" s="315">
        <v>2.13</v>
      </c>
      <c r="C278" s="316" t="s">
        <v>126</v>
      </c>
      <c r="D278" s="317">
        <f>+E146</f>
        <v>2616.86</v>
      </c>
      <c r="E278" s="318">
        <f>B278*D278</f>
        <v>5573.91</v>
      </c>
    </row>
    <row r="279" spans="1:5">
      <c r="A279" s="319" t="s">
        <v>273</v>
      </c>
      <c r="B279" s="320">
        <v>1.41</v>
      </c>
      <c r="C279" s="321" t="s">
        <v>118</v>
      </c>
      <c r="D279" s="322">
        <v>420</v>
      </c>
      <c r="E279" s="318">
        <f>B279*D279</f>
        <v>592.20000000000005</v>
      </c>
    </row>
    <row r="280" spans="1:5" ht="13.5" thickBot="1">
      <c r="A280" s="323"/>
      <c r="B280" s="324"/>
      <c r="C280" s="324"/>
      <c r="D280" s="325" t="s">
        <v>274</v>
      </c>
      <c r="E280" s="326">
        <f>SUM(E277:E278)</f>
        <v>11327.87</v>
      </c>
    </row>
    <row r="281" spans="1:5" ht="14.25" thickTop="1" thickBot="1">
      <c r="A281" s="327"/>
      <c r="B281" s="328">
        <v>0.6</v>
      </c>
      <c r="C281" s="327"/>
      <c r="D281" s="329" t="s">
        <v>275</v>
      </c>
      <c r="E281" s="330">
        <f>E280*B281</f>
        <v>6796.72</v>
      </c>
    </row>
    <row r="282" spans="1:5" ht="14.25" thickTop="1" thickBot="1">
      <c r="A282" s="308" t="s">
        <v>276</v>
      </c>
      <c r="B282" s="305"/>
      <c r="C282" s="306"/>
      <c r="D282" s="307"/>
      <c r="E282" s="307"/>
    </row>
    <row r="283" spans="1:5" ht="13.5" thickTop="1">
      <c r="A283" s="309" t="s">
        <v>277</v>
      </c>
      <c r="B283" s="331">
        <v>1</v>
      </c>
      <c r="C283" s="311" t="s">
        <v>3</v>
      </c>
      <c r="D283" s="332">
        <v>1442</v>
      </c>
      <c r="E283" s="313">
        <f>B283*D283</f>
        <v>1442</v>
      </c>
    </row>
    <row r="284" spans="1:5">
      <c r="A284" s="333" t="s">
        <v>278</v>
      </c>
      <c r="B284" s="334">
        <v>5</v>
      </c>
      <c r="C284" s="335" t="s">
        <v>279</v>
      </c>
      <c r="D284" s="336">
        <v>45</v>
      </c>
      <c r="E284" s="318">
        <f>B284*D284</f>
        <v>225</v>
      </c>
    </row>
    <row r="285" spans="1:5">
      <c r="A285" s="333" t="s">
        <v>280</v>
      </c>
      <c r="B285" s="334">
        <v>2</v>
      </c>
      <c r="C285" s="335" t="s">
        <v>183</v>
      </c>
      <c r="D285" s="337">
        <v>32</v>
      </c>
      <c r="E285" s="318">
        <f>B285*D285</f>
        <v>64</v>
      </c>
    </row>
    <row r="286" spans="1:5" ht="13.5" thickBot="1">
      <c r="A286" s="319" t="s">
        <v>63</v>
      </c>
      <c r="B286" s="338">
        <v>30</v>
      </c>
      <c r="C286" s="339" t="s">
        <v>46</v>
      </c>
      <c r="D286" s="340">
        <f>+SUM(E283:E285)</f>
        <v>1731</v>
      </c>
      <c r="E286" s="341">
        <f>+(B286/100)*D286</f>
        <v>519.29999999999995</v>
      </c>
    </row>
    <row r="287" spans="1:5" ht="14.25" thickTop="1" thickBot="1">
      <c r="A287" s="342"/>
      <c r="B287" s="342"/>
      <c r="C287" s="343"/>
      <c r="D287" s="329" t="s">
        <v>275</v>
      </c>
      <c r="E287" s="330">
        <f>SUM(E283:E286)</f>
        <v>2250.3000000000002</v>
      </c>
    </row>
    <row r="288" spans="1:5" ht="14.25" thickTop="1" thickBot="1">
      <c r="A288" s="327"/>
      <c r="B288" s="344"/>
      <c r="C288" s="344"/>
      <c r="D288" s="345"/>
      <c r="E288" s="346"/>
    </row>
    <row r="289" spans="1:5" ht="14.25" thickTop="1" thickBot="1">
      <c r="A289" s="327"/>
      <c r="B289" s="4769" t="s">
        <v>281</v>
      </c>
      <c r="C289" s="4769"/>
      <c r="D289" s="4769"/>
      <c r="E289" s="347">
        <f>+E281+E287</f>
        <v>9047.02</v>
      </c>
    </row>
    <row r="290" spans="1:5" ht="13.5" thickTop="1">
      <c r="A290" s="348"/>
      <c r="B290" s="348"/>
      <c r="C290" s="348"/>
      <c r="D290" s="348"/>
      <c r="E290" s="348"/>
    </row>
    <row r="291" spans="1:5" ht="13.5" thickBot="1">
      <c r="A291" s="349" t="s">
        <v>38</v>
      </c>
      <c r="B291" s="350"/>
      <c r="C291" s="351"/>
      <c r="D291" s="352"/>
      <c r="E291" s="353"/>
    </row>
    <row r="292" spans="1:5" ht="13.5" thickTop="1">
      <c r="A292" s="354" t="s">
        <v>282</v>
      </c>
      <c r="B292" s="355">
        <v>0.64</v>
      </c>
      <c r="C292" s="356" t="s">
        <v>2</v>
      </c>
      <c r="D292" s="355">
        <v>240.23</v>
      </c>
      <c r="E292" s="357">
        <f>B292*D292</f>
        <v>153.75</v>
      </c>
    </row>
    <row r="293" spans="1:5" ht="13.5" thickBot="1">
      <c r="A293" s="358"/>
      <c r="B293" s="359"/>
      <c r="C293" s="359"/>
      <c r="D293" s="359"/>
      <c r="E293" s="360">
        <f>E292</f>
        <v>153.75</v>
      </c>
    </row>
    <row r="294" spans="1:5" ht="13.5" thickTop="1">
      <c r="A294" s="361"/>
      <c r="B294" s="361"/>
      <c r="C294" s="361"/>
      <c r="D294" s="361"/>
      <c r="E294" s="361"/>
    </row>
    <row r="295" spans="1:5" ht="13.5" thickBot="1">
      <c r="A295" s="361"/>
      <c r="B295" s="361"/>
      <c r="C295" s="361"/>
      <c r="D295" s="361"/>
      <c r="E295" s="361"/>
    </row>
    <row r="296" spans="1:5" ht="14.25" thickTop="1" thickBot="1">
      <c r="A296" s="361"/>
      <c r="B296" s="361"/>
      <c r="C296" s="362"/>
      <c r="D296" s="363" t="s">
        <v>283</v>
      </c>
      <c r="E296" s="364">
        <f>E293+E289</f>
        <v>9200.77</v>
      </c>
    </row>
    <row r="297" spans="1:5" ht="13.5" thickTop="1">
      <c r="A297" s="361"/>
      <c r="B297" s="361"/>
      <c r="C297" s="361"/>
      <c r="D297" s="361"/>
      <c r="E297" s="361"/>
    </row>
    <row r="298" spans="1:5">
      <c r="A298" s="365"/>
      <c r="B298" s="365"/>
      <c r="C298" s="365"/>
      <c r="D298" s="365"/>
      <c r="E298" s="365"/>
    </row>
    <row r="299" spans="1:5">
      <c r="A299" s="539" t="s">
        <v>284</v>
      </c>
      <c r="B299" s="540"/>
      <c r="C299" s="540"/>
      <c r="D299" s="540"/>
      <c r="E299" s="540"/>
    </row>
    <row r="300" spans="1:5">
      <c r="A300" s="541" t="s">
        <v>285</v>
      </c>
      <c r="B300" s="542" t="s">
        <v>286</v>
      </c>
      <c r="C300" s="542" t="s">
        <v>287</v>
      </c>
      <c r="D300" s="542" t="s">
        <v>288</v>
      </c>
      <c r="E300" s="542" t="s">
        <v>289</v>
      </c>
    </row>
    <row r="301" spans="1:5">
      <c r="A301" s="543" t="s">
        <v>290</v>
      </c>
      <c r="B301" s="544">
        <v>1</v>
      </c>
      <c r="C301" s="545" t="s">
        <v>12</v>
      </c>
      <c r="D301" s="610">
        <v>1250.8</v>
      </c>
      <c r="E301" s="544">
        <f>+D301*B301</f>
        <v>1250.8</v>
      </c>
    </row>
    <row r="302" spans="1:5">
      <c r="A302" s="543" t="s">
        <v>291</v>
      </c>
      <c r="B302" s="544">
        <v>3.2</v>
      </c>
      <c r="C302" s="545" t="s">
        <v>292</v>
      </c>
      <c r="D302" s="544">
        <v>185.76</v>
      </c>
      <c r="E302" s="544">
        <f>+D302*B302</f>
        <v>594.42999999999995</v>
      </c>
    </row>
    <row r="303" spans="1:5">
      <c r="A303" s="543" t="s">
        <v>293</v>
      </c>
      <c r="B303" s="544">
        <v>1</v>
      </c>
      <c r="C303" s="545" t="s">
        <v>294</v>
      </c>
      <c r="D303" s="544">
        <f>+E302*0.2</f>
        <v>118.89</v>
      </c>
      <c r="E303" s="544">
        <f>+D303*B303</f>
        <v>118.89</v>
      </c>
    </row>
    <row r="304" spans="1:5">
      <c r="A304" s="543" t="s">
        <v>295</v>
      </c>
      <c r="B304" s="544">
        <v>1</v>
      </c>
      <c r="C304" s="545" t="s">
        <v>12</v>
      </c>
      <c r="D304" s="544">
        <v>150</v>
      </c>
      <c r="E304" s="544">
        <f>+D304*B304</f>
        <v>150</v>
      </c>
    </row>
    <row r="305" spans="1:5">
      <c r="A305" s="546"/>
      <c r="B305" s="547"/>
      <c r="C305" s="548"/>
      <c r="D305" s="549" t="s">
        <v>296</v>
      </c>
      <c r="E305" s="549">
        <f>SUM(E301:E304)</f>
        <v>2114.12</v>
      </c>
    </row>
    <row r="306" spans="1:5">
      <c r="A306" s="613"/>
      <c r="B306" s="614" t="s">
        <v>297</v>
      </c>
      <c r="C306" s="615">
        <v>14.15</v>
      </c>
      <c r="D306" s="613"/>
      <c r="E306" s="613"/>
    </row>
    <row r="307" spans="1:5">
      <c r="A307" s="613"/>
      <c r="B307" s="613"/>
      <c r="C307" s="615"/>
      <c r="D307" s="616" t="s">
        <v>298</v>
      </c>
      <c r="E307" s="617">
        <f>+E305/C306</f>
        <v>149.41</v>
      </c>
    </row>
    <row r="308" spans="1:5">
      <c r="A308" s="377"/>
      <c r="B308" s="377"/>
      <c r="C308" s="379"/>
      <c r="D308" s="611"/>
      <c r="E308" s="612"/>
    </row>
    <row r="309" spans="1:5">
      <c r="A309" s="366" t="s">
        <v>299</v>
      </c>
      <c r="B309" s="367"/>
      <c r="C309" s="367"/>
      <c r="D309" s="367"/>
      <c r="E309" s="367"/>
    </row>
    <row r="310" spans="1:5">
      <c r="A310" s="368" t="s">
        <v>285</v>
      </c>
      <c r="B310" s="369" t="s">
        <v>286</v>
      </c>
      <c r="C310" s="369" t="s">
        <v>287</v>
      </c>
      <c r="D310" s="369" t="s">
        <v>288</v>
      </c>
      <c r="E310" s="369" t="s">
        <v>289</v>
      </c>
    </row>
    <row r="311" spans="1:5">
      <c r="A311" s="370" t="s">
        <v>290</v>
      </c>
      <c r="B311" s="371">
        <v>1</v>
      </c>
      <c r="C311" s="372" t="s">
        <v>12</v>
      </c>
      <c r="D311" s="371">
        <v>1229.5999999999999</v>
      </c>
      <c r="E311" s="371">
        <v>1229.5999999999999</v>
      </c>
    </row>
    <row r="312" spans="1:5">
      <c r="A312" s="370" t="s">
        <v>291</v>
      </c>
      <c r="B312" s="371">
        <v>3.2</v>
      </c>
      <c r="C312" s="372" t="s">
        <v>292</v>
      </c>
      <c r="D312" s="371">
        <v>210</v>
      </c>
      <c r="E312" s="371">
        <v>672</v>
      </c>
    </row>
    <row r="313" spans="1:5">
      <c r="A313" s="370" t="s">
        <v>293</v>
      </c>
      <c r="B313" s="371">
        <v>1</v>
      </c>
      <c r="C313" s="372" t="s">
        <v>294</v>
      </c>
      <c r="D313" s="371">
        <v>134.4</v>
      </c>
      <c r="E313" s="371">
        <v>134.4</v>
      </c>
    </row>
    <row r="314" spans="1:5">
      <c r="A314" s="370" t="s">
        <v>295</v>
      </c>
      <c r="B314" s="371">
        <v>1</v>
      </c>
      <c r="C314" s="372" t="s">
        <v>12</v>
      </c>
      <c r="D314" s="371">
        <v>150</v>
      </c>
      <c r="E314" s="371">
        <v>150</v>
      </c>
    </row>
    <row r="315" spans="1:5">
      <c r="A315" s="373"/>
      <c r="B315" s="374"/>
      <c r="C315" s="375"/>
      <c r="D315" s="376" t="s">
        <v>296</v>
      </c>
      <c r="E315" s="376">
        <v>2186</v>
      </c>
    </row>
    <row r="316" spans="1:5" ht="13.5" thickBot="1">
      <c r="A316" s="377"/>
      <c r="B316" s="378" t="s">
        <v>297</v>
      </c>
      <c r="C316" s="379">
        <v>11.7</v>
      </c>
      <c r="D316" s="377"/>
      <c r="E316" s="377"/>
    </row>
    <row r="317" spans="1:5" ht="13.5" thickBot="1">
      <c r="A317" s="377"/>
      <c r="B317" s="377"/>
      <c r="C317" s="379"/>
      <c r="D317" s="380" t="s">
        <v>298</v>
      </c>
      <c r="E317" s="381">
        <f>+E315/C316</f>
        <v>186.84</v>
      </c>
    </row>
    <row r="318" spans="1:5">
      <c r="A318" s="382"/>
      <c r="B318" s="383"/>
      <c r="C318" s="382"/>
      <c r="D318" s="383"/>
      <c r="E318" s="383"/>
    </row>
    <row r="319" spans="1:5" ht="13.5" thickBot="1">
      <c r="A319" s="384" t="s">
        <v>300</v>
      </c>
      <c r="B319" s="385"/>
      <c r="C319" s="385"/>
      <c r="D319" s="385"/>
      <c r="E319" s="385"/>
    </row>
    <row r="320" spans="1:5" ht="13.5" thickTop="1">
      <c r="A320" s="386"/>
      <c r="B320" s="387" t="s">
        <v>286</v>
      </c>
      <c r="C320" s="387" t="s">
        <v>287</v>
      </c>
      <c r="D320" s="387" t="s">
        <v>288</v>
      </c>
      <c r="E320" s="388" t="s">
        <v>289</v>
      </c>
    </row>
    <row r="321" spans="1:5">
      <c r="A321" s="389" t="s">
        <v>301</v>
      </c>
      <c r="B321" s="390">
        <v>1</v>
      </c>
      <c r="C321" s="391" t="s">
        <v>302</v>
      </c>
      <c r="D321" s="392">
        <v>2200</v>
      </c>
      <c r="E321" s="393">
        <f>+D321*B321</f>
        <v>2200</v>
      </c>
    </row>
    <row r="322" spans="1:5">
      <c r="A322" s="394" t="s">
        <v>303</v>
      </c>
      <c r="B322" s="395">
        <v>4</v>
      </c>
      <c r="C322" s="391" t="s">
        <v>302</v>
      </c>
      <c r="D322" s="392">
        <v>650</v>
      </c>
      <c r="E322" s="393">
        <f>+D322*B322</f>
        <v>2600</v>
      </c>
    </row>
    <row r="323" spans="1:5">
      <c r="A323" s="394" t="s">
        <v>304</v>
      </c>
      <c r="B323" s="395">
        <v>3</v>
      </c>
      <c r="C323" s="391" t="s">
        <v>302</v>
      </c>
      <c r="D323" s="392">
        <v>650</v>
      </c>
      <c r="E323" s="393">
        <f>+D323*B323</f>
        <v>1950</v>
      </c>
    </row>
    <row r="324" spans="1:5">
      <c r="A324" s="394" t="s">
        <v>305</v>
      </c>
      <c r="B324" s="395">
        <v>1</v>
      </c>
      <c r="C324" s="391" t="s">
        <v>302</v>
      </c>
      <c r="D324" s="392">
        <v>96</v>
      </c>
      <c r="E324" s="393">
        <f>+D324*B324</f>
        <v>96</v>
      </c>
    </row>
    <row r="325" spans="1:5">
      <c r="A325" s="396"/>
      <c r="B325" s="397"/>
      <c r="C325" s="391"/>
      <c r="D325" s="398" t="s">
        <v>306</v>
      </c>
      <c r="E325" s="399">
        <f>SUM(E321:E324)</f>
        <v>6846</v>
      </c>
    </row>
    <row r="326" spans="1:5" ht="13.5" thickBot="1">
      <c r="A326" s="400" t="s">
        <v>297</v>
      </c>
      <c r="B326" s="401">
        <v>55.99</v>
      </c>
      <c r="C326" s="402" t="s">
        <v>302</v>
      </c>
      <c r="D326" s="401"/>
      <c r="E326" s="403"/>
    </row>
    <row r="327" spans="1:5" ht="13.5" thickTop="1">
      <c r="A327" s="404"/>
      <c r="B327" s="405"/>
      <c r="C327" s="405"/>
      <c r="D327" s="406" t="s">
        <v>307</v>
      </c>
      <c r="E327" s="407">
        <f>+ROUND(E325/B326,2)</f>
        <v>122.27</v>
      </c>
    </row>
    <row r="328" spans="1:5">
      <c r="A328" s="408"/>
      <c r="B328" s="408"/>
      <c r="C328" s="408"/>
      <c r="D328" s="408"/>
      <c r="E328" s="408"/>
    </row>
    <row r="329" spans="1:5">
      <c r="A329" s="555" t="s">
        <v>308</v>
      </c>
      <c r="B329" s="556"/>
      <c r="C329" s="556"/>
      <c r="D329" s="556"/>
      <c r="E329" s="556"/>
    </row>
    <row r="330" spans="1:5">
      <c r="A330" s="555" t="s">
        <v>309</v>
      </c>
      <c r="B330" s="550"/>
      <c r="C330" s="551"/>
      <c r="D330" s="550"/>
      <c r="E330" s="550"/>
    </row>
    <row r="331" spans="1:5">
      <c r="A331" s="557" t="s">
        <v>408</v>
      </c>
      <c r="B331" s="550">
        <v>1</v>
      </c>
      <c r="C331" s="551" t="s">
        <v>148</v>
      </c>
      <c r="D331" s="550">
        <f>659*3</f>
        <v>1977</v>
      </c>
      <c r="E331" s="558">
        <f>B331*D331</f>
        <v>1977</v>
      </c>
    </row>
    <row r="332" spans="1:5">
      <c r="A332" s="557" t="s">
        <v>310</v>
      </c>
      <c r="B332" s="550">
        <v>3</v>
      </c>
      <c r="C332" s="551" t="s">
        <v>46</v>
      </c>
      <c r="D332" s="550">
        <f>E331</f>
        <v>1977</v>
      </c>
      <c r="E332" s="558">
        <f>(B332*D332)/100</f>
        <v>59.31</v>
      </c>
    </row>
    <row r="333" spans="1:5">
      <c r="A333" s="557" t="s">
        <v>311</v>
      </c>
      <c r="B333" s="550">
        <v>21</v>
      </c>
      <c r="C333" s="551" t="s">
        <v>312</v>
      </c>
      <c r="D333" s="559"/>
      <c r="E333" s="560">
        <f>SUM(E331:E332)</f>
        <v>2036.31</v>
      </c>
    </row>
    <row r="334" spans="1:5">
      <c r="A334" s="557"/>
      <c r="B334" s="550"/>
      <c r="C334" s="561" t="s">
        <v>313</v>
      </c>
      <c r="D334" s="561"/>
      <c r="E334" s="560">
        <f>E333/B333</f>
        <v>96.97</v>
      </c>
    </row>
    <row r="335" spans="1:5">
      <c r="A335" s="417"/>
      <c r="B335" s="418"/>
      <c r="C335" s="417"/>
      <c r="D335" s="417"/>
      <c r="E335" s="562"/>
    </row>
    <row r="336" spans="1:5">
      <c r="A336" s="555" t="s">
        <v>308</v>
      </c>
      <c r="B336" s="550"/>
      <c r="C336" s="563"/>
      <c r="D336" s="550"/>
      <c r="E336" s="550"/>
    </row>
    <row r="337" spans="1:7">
      <c r="A337" s="564" t="s">
        <v>314</v>
      </c>
      <c r="B337" s="550">
        <v>1</v>
      </c>
      <c r="C337" s="565" t="s">
        <v>2</v>
      </c>
      <c r="D337" s="550">
        <v>1000</v>
      </c>
      <c r="E337" s="550">
        <f>B337*D337</f>
        <v>1000</v>
      </c>
    </row>
    <row r="338" spans="1:7">
      <c r="A338" s="566"/>
      <c r="B338" s="567" t="s">
        <v>315</v>
      </c>
      <c r="C338" s="565"/>
      <c r="D338" s="550"/>
      <c r="E338" s="568">
        <f>SUM(E337:E337)</f>
        <v>1000</v>
      </c>
    </row>
    <row r="339" spans="1:7">
      <c r="A339" s="569" t="s">
        <v>316</v>
      </c>
      <c r="B339" s="552">
        <v>1</v>
      </c>
      <c r="C339" s="553" t="s">
        <v>2</v>
      </c>
      <c r="D339" s="554">
        <f>+E334</f>
        <v>96.97</v>
      </c>
      <c r="E339" s="570">
        <f>B339*D339</f>
        <v>96.97</v>
      </c>
    </row>
    <row r="340" spans="1:7">
      <c r="A340" s="571"/>
      <c r="B340" s="571"/>
      <c r="C340" s="571"/>
      <c r="D340" s="572" t="s">
        <v>317</v>
      </c>
      <c r="E340" s="573">
        <f>E339+E338</f>
        <v>1096.97</v>
      </c>
    </row>
    <row r="341" spans="1:7">
      <c r="A341" s="578"/>
      <c r="B341" s="578"/>
      <c r="C341" s="578"/>
      <c r="D341" s="579"/>
      <c r="E341" s="580"/>
    </row>
    <row r="342" spans="1:7">
      <c r="A342" s="422"/>
      <c r="B342" s="422"/>
      <c r="C342" s="421"/>
      <c r="D342" s="423"/>
      <c r="E342" s="424"/>
    </row>
    <row r="343" spans="1:7">
      <c r="A343" s="2026" t="s">
        <v>300</v>
      </c>
      <c r="B343" s="2027"/>
      <c r="C343" s="2027"/>
      <c r="D343" s="2027"/>
      <c r="E343" s="2027"/>
      <c r="F343" s="2028"/>
      <c r="G343" s="2028"/>
    </row>
    <row r="344" spans="1:7">
      <c r="A344" s="581"/>
      <c r="B344" s="582" t="s">
        <v>286</v>
      </c>
      <c r="C344" s="582" t="s">
        <v>287</v>
      </c>
      <c r="D344" s="582" t="s">
        <v>288</v>
      </c>
      <c r="E344" s="582" t="s">
        <v>289</v>
      </c>
    </row>
    <row r="345" spans="1:7">
      <c r="A345" s="583" t="s">
        <v>301</v>
      </c>
      <c r="B345" s="584">
        <v>1</v>
      </c>
      <c r="C345" s="585" t="s">
        <v>302</v>
      </c>
      <c r="D345" s="586">
        <v>2200</v>
      </c>
      <c r="E345" s="586">
        <f>+D345*B345</f>
        <v>2200</v>
      </c>
    </row>
    <row r="346" spans="1:7">
      <c r="A346" s="587" t="s">
        <v>303</v>
      </c>
      <c r="B346" s="588">
        <v>4</v>
      </c>
      <c r="C346" s="585" t="s">
        <v>302</v>
      </c>
      <c r="D346" s="586">
        <v>659</v>
      </c>
      <c r="E346" s="586">
        <f>+D346*B346</f>
        <v>2636</v>
      </c>
    </row>
    <row r="347" spans="1:7">
      <c r="A347" s="587" t="s">
        <v>304</v>
      </c>
      <c r="B347" s="588">
        <v>3</v>
      </c>
      <c r="C347" s="585" t="s">
        <v>302</v>
      </c>
      <c r="D347" s="586">
        <v>659</v>
      </c>
      <c r="E347" s="586">
        <f>+D347*B347</f>
        <v>1977</v>
      </c>
    </row>
    <row r="348" spans="1:7">
      <c r="A348" s="587" t="s">
        <v>305</v>
      </c>
      <c r="B348" s="588">
        <v>1</v>
      </c>
      <c r="C348" s="585" t="s">
        <v>302</v>
      </c>
      <c r="D348" s="586">
        <f>SUM(E345:E347)*0.03</f>
        <v>204.39</v>
      </c>
      <c r="E348" s="586">
        <f>+D348*B348</f>
        <v>204.39</v>
      </c>
    </row>
    <row r="349" spans="1:7">
      <c r="A349" s="581"/>
      <c r="B349" s="581"/>
      <c r="C349" s="585"/>
      <c r="D349" s="589" t="s">
        <v>306</v>
      </c>
      <c r="E349" s="590">
        <f>SUM(E345:E348)</f>
        <v>7017.39</v>
      </c>
    </row>
    <row r="350" spans="1:7">
      <c r="A350" s="591" t="s">
        <v>297</v>
      </c>
      <c r="B350" s="592">
        <v>38.299999999999997</v>
      </c>
      <c r="C350" s="593" t="s">
        <v>302</v>
      </c>
      <c r="D350" s="592"/>
      <c r="E350" s="592"/>
    </row>
    <row r="351" spans="1:7">
      <c r="A351" s="591"/>
      <c r="B351" s="592"/>
      <c r="C351" s="592"/>
      <c r="D351" s="589" t="s">
        <v>307</v>
      </c>
      <c r="E351" s="594">
        <f>+ROUND(E349/B350,2)</f>
        <v>183.22</v>
      </c>
    </row>
    <row r="352" spans="1:7">
      <c r="A352" s="574"/>
      <c r="B352" s="575"/>
      <c r="C352" s="575"/>
      <c r="D352" s="576"/>
      <c r="E352" s="577"/>
    </row>
    <row r="353" spans="1:5" ht="13.5" thickBot="1">
      <c r="A353" s="425" t="s">
        <v>318</v>
      </c>
      <c r="B353" s="426"/>
      <c r="C353" s="410"/>
      <c r="D353" s="409"/>
      <c r="E353" s="409"/>
    </row>
    <row r="354" spans="1:5" ht="14.25" thickTop="1" thickBot="1">
      <c r="A354" s="411" t="s">
        <v>319</v>
      </c>
      <c r="B354" s="412">
        <v>1</v>
      </c>
      <c r="C354" s="413" t="s">
        <v>148</v>
      </c>
      <c r="D354" s="414">
        <v>3900</v>
      </c>
      <c r="E354" s="415">
        <f>B354*D354</f>
        <v>3900</v>
      </c>
    </row>
    <row r="355" spans="1:5" ht="14.25" thickTop="1" thickBot="1">
      <c r="A355" s="427" t="s">
        <v>320</v>
      </c>
      <c r="B355" s="428">
        <v>6</v>
      </c>
      <c r="C355" s="429" t="s">
        <v>3</v>
      </c>
      <c r="D355" s="430">
        <v>90</v>
      </c>
      <c r="E355" s="415">
        <f t="shared" ref="E355:E361" si="5">B355*D355</f>
        <v>540</v>
      </c>
    </row>
    <row r="356" spans="1:5" ht="14.25" thickTop="1" thickBot="1">
      <c r="A356" s="427" t="s">
        <v>321</v>
      </c>
      <c r="B356" s="428">
        <v>1</v>
      </c>
      <c r="C356" s="429" t="s">
        <v>42</v>
      </c>
      <c r="D356" s="430">
        <v>1500</v>
      </c>
      <c r="E356" s="415">
        <f t="shared" si="5"/>
        <v>1500</v>
      </c>
    </row>
    <row r="357" spans="1:5" ht="14.25" thickTop="1" thickBot="1">
      <c r="A357" s="427" t="s">
        <v>322</v>
      </c>
      <c r="B357" s="428">
        <v>1</v>
      </c>
      <c r="C357" s="429" t="s">
        <v>42</v>
      </c>
      <c r="D357" s="430">
        <v>1300</v>
      </c>
      <c r="E357" s="415">
        <f t="shared" si="5"/>
        <v>1300</v>
      </c>
    </row>
    <row r="358" spans="1:5" ht="14.25" thickTop="1" thickBot="1">
      <c r="A358" s="427"/>
      <c r="B358" s="428"/>
      <c r="C358" s="429"/>
      <c r="D358" s="430"/>
      <c r="E358" s="415">
        <f t="shared" si="5"/>
        <v>0</v>
      </c>
    </row>
    <row r="359" spans="1:5" ht="14.25" thickTop="1" thickBot="1">
      <c r="A359" s="431" t="s">
        <v>323</v>
      </c>
      <c r="B359" s="428"/>
      <c r="C359" s="429"/>
      <c r="D359" s="430"/>
      <c r="E359" s="415">
        <f t="shared" si="5"/>
        <v>0</v>
      </c>
    </row>
    <row r="360" spans="1:5" ht="14.25" thickTop="1" thickBot="1">
      <c r="A360" s="427" t="s">
        <v>324</v>
      </c>
      <c r="B360" s="428">
        <v>5</v>
      </c>
      <c r="C360" s="429" t="s">
        <v>3</v>
      </c>
      <c r="D360" s="430">
        <v>350</v>
      </c>
      <c r="E360" s="415">
        <f t="shared" si="5"/>
        <v>1750</v>
      </c>
    </row>
    <row r="361" spans="1:5" ht="13.5" thickTop="1">
      <c r="A361" s="416" t="s">
        <v>325</v>
      </c>
      <c r="B361" s="417">
        <v>3</v>
      </c>
      <c r="C361" s="419" t="s">
        <v>312</v>
      </c>
      <c r="D361" s="420">
        <v>1400</v>
      </c>
      <c r="E361" s="415">
        <f t="shared" si="5"/>
        <v>4200</v>
      </c>
    </row>
    <row r="362" spans="1:5">
      <c r="A362" s="432"/>
      <c r="B362" s="433"/>
      <c r="C362" s="434"/>
      <c r="D362" s="435"/>
      <c r="E362" s="436">
        <f>SUM(E354:E361)</f>
        <v>13190</v>
      </c>
    </row>
    <row r="363" spans="1:5" ht="13.5" thickBot="1">
      <c r="A363" s="437"/>
      <c r="B363" s="438"/>
      <c r="C363" s="439" t="s">
        <v>313</v>
      </c>
      <c r="D363" s="440"/>
      <c r="E363" s="441"/>
    </row>
    <row r="364" spans="1:5" ht="13.5" thickTop="1">
      <c r="A364" s="442"/>
      <c r="B364" s="443">
        <v>300</v>
      </c>
      <c r="C364" s="442"/>
      <c r="D364" s="442"/>
      <c r="E364" s="444">
        <f>+E362/B364</f>
        <v>43.97</v>
      </c>
    </row>
    <row r="365" spans="1:5" ht="15">
      <c r="A365" s="445"/>
      <c r="B365" s="445"/>
      <c r="C365" s="445"/>
      <c r="D365" s="445"/>
      <c r="E365" s="445"/>
    </row>
    <row r="366" spans="1:5" ht="21.75" thickBot="1">
      <c r="A366" s="446" t="s">
        <v>326</v>
      </c>
      <c r="B366" s="446"/>
      <c r="C366" s="446"/>
      <c r="D366" s="446"/>
      <c r="E366" s="446"/>
    </row>
    <row r="367" spans="1:5" ht="13.5" thickTop="1">
      <c r="A367" s="447" t="s">
        <v>327</v>
      </c>
      <c r="B367" s="448"/>
      <c r="C367" s="449"/>
      <c r="D367" s="450"/>
      <c r="E367" s="451"/>
    </row>
    <row r="368" spans="1:5">
      <c r="A368" s="452" t="s">
        <v>328</v>
      </c>
      <c r="B368" s="453" t="s">
        <v>47</v>
      </c>
      <c r="C368" s="454">
        <v>1</v>
      </c>
      <c r="D368" s="455">
        <v>3500</v>
      </c>
      <c r="E368" s="456">
        <f>+C368*D368</f>
        <v>3500</v>
      </c>
    </row>
    <row r="369" spans="1:5">
      <c r="A369" s="452" t="s">
        <v>329</v>
      </c>
      <c r="B369" s="453" t="s">
        <v>47</v>
      </c>
      <c r="C369" s="454">
        <v>1</v>
      </c>
      <c r="D369" s="455">
        <v>168</v>
      </c>
      <c r="E369" s="456">
        <f t="shared" ref="E369:E375" si="6">+C369*D369</f>
        <v>168</v>
      </c>
    </row>
    <row r="370" spans="1:5">
      <c r="A370" s="452" t="s">
        <v>330</v>
      </c>
      <c r="B370" s="453" t="s">
        <v>47</v>
      </c>
      <c r="C370" s="454">
        <v>1</v>
      </c>
      <c r="D370" s="455">
        <v>81.25</v>
      </c>
      <c r="E370" s="456">
        <f t="shared" si="6"/>
        <v>81.25</v>
      </c>
    </row>
    <row r="371" spans="1:5">
      <c r="A371" s="452" t="s">
        <v>331</v>
      </c>
      <c r="B371" s="453" t="s">
        <v>118</v>
      </c>
      <c r="C371" s="454">
        <v>8</v>
      </c>
      <c r="D371" s="457">
        <v>195</v>
      </c>
      <c r="E371" s="456">
        <f t="shared" si="6"/>
        <v>1560</v>
      </c>
    </row>
    <row r="372" spans="1:5">
      <c r="A372" s="452" t="s">
        <v>332</v>
      </c>
      <c r="B372" s="453" t="s">
        <v>47</v>
      </c>
      <c r="C372" s="454">
        <v>1</v>
      </c>
      <c r="D372" s="457">
        <v>250</v>
      </c>
      <c r="E372" s="456">
        <f t="shared" si="6"/>
        <v>250</v>
      </c>
    </row>
    <row r="373" spans="1:5">
      <c r="A373" s="452" t="s">
        <v>333</v>
      </c>
      <c r="B373" s="453" t="s">
        <v>3</v>
      </c>
      <c r="C373" s="454">
        <v>0.2</v>
      </c>
      <c r="D373" s="457">
        <f>+E371</f>
        <v>1560</v>
      </c>
      <c r="E373" s="456">
        <f t="shared" si="6"/>
        <v>312</v>
      </c>
    </row>
    <row r="374" spans="1:5">
      <c r="A374" s="452" t="s">
        <v>334</v>
      </c>
      <c r="B374" s="453" t="s">
        <v>183</v>
      </c>
      <c r="C374" s="454">
        <v>0.25</v>
      </c>
      <c r="D374" s="457">
        <v>325</v>
      </c>
      <c r="E374" s="456">
        <f t="shared" si="6"/>
        <v>81.25</v>
      </c>
    </row>
    <row r="375" spans="1:5" ht="13.5" thickBot="1">
      <c r="A375" s="458" t="s">
        <v>335</v>
      </c>
      <c r="B375" s="459" t="s">
        <v>47</v>
      </c>
      <c r="C375" s="460">
        <v>1</v>
      </c>
      <c r="D375" s="461">
        <v>45</v>
      </c>
      <c r="E375" s="456">
        <f t="shared" si="6"/>
        <v>45</v>
      </c>
    </row>
    <row r="376" spans="1:5" ht="13.5" thickTop="1">
      <c r="A376" s="462"/>
      <c r="B376" s="463"/>
      <c r="C376" s="464"/>
      <c r="D376" s="465" t="s">
        <v>336</v>
      </c>
      <c r="E376" s="466">
        <f>SUM(E368:E375)</f>
        <v>5997.5</v>
      </c>
    </row>
    <row r="377" spans="1:5">
      <c r="A377" s="462"/>
      <c r="B377" s="463"/>
      <c r="C377" s="464"/>
      <c r="D377" s="467"/>
      <c r="E377" s="467"/>
    </row>
    <row r="378" spans="1:5">
      <c r="A378" s="468" t="s">
        <v>297</v>
      </c>
      <c r="B378" s="463" t="s">
        <v>47</v>
      </c>
      <c r="C378" s="464">
        <v>5</v>
      </c>
      <c r="D378" s="463" t="s">
        <v>337</v>
      </c>
      <c r="E378" s="463"/>
    </row>
    <row r="379" spans="1:5">
      <c r="A379" s="469"/>
      <c r="B379" s="469"/>
      <c r="C379" s="470"/>
      <c r="D379" s="467" t="s">
        <v>338</v>
      </c>
      <c r="E379" s="471">
        <f>E376/C378</f>
        <v>1199.5</v>
      </c>
    </row>
    <row r="380" spans="1:5" ht="15">
      <c r="A380" s="445"/>
      <c r="B380" s="445"/>
      <c r="C380" s="445"/>
      <c r="D380" s="445"/>
      <c r="E380" s="445"/>
    </row>
    <row r="381" spans="1:5" ht="15">
      <c r="A381" s="472" t="s">
        <v>339</v>
      </c>
      <c r="B381" s="445" t="s">
        <v>340</v>
      </c>
      <c r="C381" s="445" t="s">
        <v>286</v>
      </c>
      <c r="D381" s="473" t="s">
        <v>288</v>
      </c>
      <c r="E381" s="473" t="s">
        <v>289</v>
      </c>
    </row>
    <row r="382" spans="1:5" ht="15">
      <c r="A382" s="445" t="s">
        <v>341</v>
      </c>
      <c r="B382" s="474" t="s">
        <v>3</v>
      </c>
      <c r="C382" s="473">
        <v>1</v>
      </c>
      <c r="D382" s="445">
        <v>31.75</v>
      </c>
      <c r="E382" s="445">
        <f t="shared" ref="E382:E388" si="7">+D382*C382</f>
        <v>31.75</v>
      </c>
    </row>
    <row r="383" spans="1:5" ht="15">
      <c r="A383" s="445" t="s">
        <v>342</v>
      </c>
      <c r="B383" s="474" t="s">
        <v>3</v>
      </c>
      <c r="C383" s="473">
        <v>1</v>
      </c>
      <c r="D383" s="445">
        <v>270</v>
      </c>
      <c r="E383" s="445">
        <f t="shared" si="7"/>
        <v>270</v>
      </c>
    </row>
    <row r="384" spans="1:5" ht="15">
      <c r="A384" s="445" t="s">
        <v>343</v>
      </c>
      <c r="B384" s="474" t="s">
        <v>3</v>
      </c>
      <c r="C384" s="473">
        <v>1</v>
      </c>
      <c r="D384" s="445">
        <v>30.68</v>
      </c>
      <c r="E384" s="445">
        <f t="shared" si="7"/>
        <v>30.68</v>
      </c>
    </row>
    <row r="385" spans="1:5" ht="15">
      <c r="A385" s="445" t="s">
        <v>344</v>
      </c>
      <c r="B385" s="474" t="s">
        <v>3</v>
      </c>
      <c r="C385" s="473">
        <v>1</v>
      </c>
      <c r="D385" s="445">
        <v>501.62</v>
      </c>
      <c r="E385" s="445">
        <f t="shared" si="7"/>
        <v>501.62</v>
      </c>
    </row>
    <row r="386" spans="1:5" ht="15">
      <c r="A386" s="445" t="s">
        <v>345</v>
      </c>
      <c r="B386" s="474" t="s">
        <v>3</v>
      </c>
      <c r="C386" s="473">
        <v>1</v>
      </c>
      <c r="D386" s="445">
        <v>65</v>
      </c>
      <c r="E386" s="445">
        <f t="shared" si="7"/>
        <v>65</v>
      </c>
    </row>
    <row r="387" spans="1:5" ht="15">
      <c r="A387" s="445" t="s">
        <v>346</v>
      </c>
      <c r="B387" s="474" t="s">
        <v>3</v>
      </c>
      <c r="C387" s="473">
        <v>1</v>
      </c>
      <c r="D387" s="445">
        <v>950</v>
      </c>
      <c r="E387" s="445">
        <f t="shared" si="7"/>
        <v>950</v>
      </c>
    </row>
    <row r="388" spans="1:5" ht="15">
      <c r="A388" s="445"/>
      <c r="C388" s="445"/>
      <c r="D388" s="445"/>
      <c r="E388" s="445">
        <f t="shared" si="7"/>
        <v>0</v>
      </c>
    </row>
    <row r="389" spans="1:5" ht="15">
      <c r="A389" s="445"/>
      <c r="C389" s="445"/>
      <c r="D389" s="445"/>
      <c r="E389" s="445">
        <f>SUM(E382:E388)</f>
        <v>1849.05</v>
      </c>
    </row>
    <row r="390" spans="1:5" ht="15">
      <c r="A390" s="445" t="s">
        <v>347</v>
      </c>
      <c r="C390" s="445"/>
      <c r="D390" s="445"/>
      <c r="E390" s="445">
        <v>600</v>
      </c>
    </row>
    <row r="391" spans="1:5" ht="15">
      <c r="A391" s="445"/>
      <c r="C391" s="445"/>
      <c r="D391" s="445"/>
      <c r="E391" s="472">
        <f>SUM(E389:E390)</f>
        <v>2449.0500000000002</v>
      </c>
    </row>
    <row r="392" spans="1:5" ht="15">
      <c r="A392" s="445"/>
      <c r="B392" s="445"/>
      <c r="C392" s="445"/>
      <c r="D392" s="445"/>
      <c r="E392" s="445"/>
    </row>
    <row r="393" spans="1:5" ht="15">
      <c r="A393" s="445" t="s">
        <v>348</v>
      </c>
      <c r="B393" s="445"/>
      <c r="C393" s="445"/>
      <c r="D393" s="445"/>
      <c r="E393" s="445"/>
    </row>
    <row r="394" spans="1:5" ht="13.5" thickBot="1">
      <c r="A394" s="475" t="s">
        <v>349</v>
      </c>
      <c r="B394" s="476"/>
      <c r="C394" s="477"/>
      <c r="D394" s="477"/>
      <c r="E394" s="477"/>
    </row>
    <row r="395" spans="1:5" ht="13.5" thickTop="1">
      <c r="A395" s="478" t="s">
        <v>240</v>
      </c>
      <c r="B395" s="479">
        <v>1.05</v>
      </c>
      <c r="C395" s="480" t="s">
        <v>160</v>
      </c>
      <c r="D395" s="481">
        <f>+E56</f>
        <v>5230.0200000000004</v>
      </c>
      <c r="E395" s="482">
        <f>B395*D395</f>
        <v>5491.52</v>
      </c>
    </row>
    <row r="396" spans="1:5">
      <c r="A396" s="483"/>
      <c r="B396" s="484"/>
      <c r="C396" s="485"/>
      <c r="D396" s="486"/>
      <c r="E396" s="487"/>
    </row>
    <row r="397" spans="1:5" ht="13.5" thickBot="1">
      <c r="A397" s="488"/>
      <c r="B397" s="489"/>
      <c r="C397" s="4769" t="s">
        <v>243</v>
      </c>
      <c r="D397" s="4769"/>
      <c r="E397" s="490">
        <f>SUM(E395:E396)</f>
        <v>5491.52</v>
      </c>
    </row>
    <row r="398" spans="1:5" ht="13.5" thickTop="1">
      <c r="A398" s="483" t="s">
        <v>297</v>
      </c>
      <c r="B398" s="476">
        <v>5</v>
      </c>
      <c r="C398" s="477"/>
      <c r="D398" s="477"/>
      <c r="E398" s="491">
        <f>+E397/B398</f>
        <v>1098.3</v>
      </c>
    </row>
    <row r="399" spans="1:5" ht="15">
      <c r="A399" s="445"/>
      <c r="B399" s="445"/>
      <c r="C399" s="445"/>
      <c r="D399" s="445"/>
      <c r="E399" s="445"/>
    </row>
    <row r="400" spans="1:5">
      <c r="A400" s="4769" t="s">
        <v>350</v>
      </c>
      <c r="B400" s="4769"/>
      <c r="C400" s="4769"/>
      <c r="D400" s="4769"/>
      <c r="E400" s="4769"/>
    </row>
    <row r="401" spans="1:5" ht="15">
      <c r="A401" s="492"/>
      <c r="B401" s="445"/>
      <c r="C401" s="445"/>
      <c r="D401" s="445"/>
      <c r="E401" s="445"/>
    </row>
    <row r="402" spans="1:5" ht="15">
      <c r="A402" s="492"/>
      <c r="B402" s="445"/>
      <c r="C402" s="445"/>
      <c r="D402" s="445"/>
      <c r="E402" s="445"/>
    </row>
    <row r="403" spans="1:5" ht="15">
      <c r="A403" s="493" t="s">
        <v>351</v>
      </c>
      <c r="B403" s="445"/>
      <c r="C403" s="445"/>
      <c r="D403" s="445"/>
      <c r="E403" s="445"/>
    </row>
    <row r="404" spans="1:5" ht="15">
      <c r="A404" s="493" t="s">
        <v>352</v>
      </c>
      <c r="B404" s="445"/>
      <c r="C404" s="445"/>
      <c r="D404" s="445"/>
      <c r="E404" s="445"/>
    </row>
    <row r="405" spans="1:5" ht="15">
      <c r="A405" s="493" t="s">
        <v>353</v>
      </c>
      <c r="B405" s="445"/>
      <c r="C405" s="445"/>
      <c r="D405" s="445"/>
      <c r="E405" s="445"/>
    </row>
    <row r="406" spans="1:5" ht="15">
      <c r="A406" s="494"/>
      <c r="B406" s="445"/>
      <c r="C406" s="445"/>
      <c r="D406" s="445"/>
      <c r="E406" s="445"/>
    </row>
    <row r="407" spans="1:5" ht="26.25">
      <c r="A407" s="494"/>
      <c r="B407" s="495" t="s">
        <v>354</v>
      </c>
      <c r="C407" s="496" t="s">
        <v>355</v>
      </c>
      <c r="D407" s="445"/>
      <c r="E407" s="445"/>
    </row>
    <row r="408" spans="1:5" ht="15">
      <c r="A408" s="497" t="s">
        <v>356</v>
      </c>
      <c r="B408" s="498">
        <v>3400</v>
      </c>
      <c r="C408" s="495">
        <v>187</v>
      </c>
      <c r="D408" s="445"/>
      <c r="E408" s="445"/>
    </row>
    <row r="409" spans="1:5" ht="15">
      <c r="A409" s="494"/>
      <c r="B409" s="445"/>
      <c r="C409" s="499"/>
      <c r="D409" s="445"/>
      <c r="E409" s="445"/>
    </row>
    <row r="410" spans="1:5" ht="15">
      <c r="A410" s="494" t="s">
        <v>357</v>
      </c>
      <c r="B410" s="445"/>
      <c r="C410" s="445"/>
      <c r="D410" s="445"/>
      <c r="E410" s="445"/>
    </row>
    <row r="411" spans="1:5" ht="15">
      <c r="A411" s="500" t="s">
        <v>358</v>
      </c>
      <c r="B411" s="501">
        <v>1</v>
      </c>
      <c r="C411" s="502" t="s">
        <v>148</v>
      </c>
      <c r="D411" s="503">
        <f>B408</f>
        <v>3400</v>
      </c>
      <c r="E411" s="501">
        <f>B411*D411</f>
        <v>3400</v>
      </c>
    </row>
    <row r="412" spans="1:5">
      <c r="A412" s="504" t="s">
        <v>359</v>
      </c>
      <c r="B412" s="505">
        <v>12</v>
      </c>
      <c r="C412" s="506" t="s">
        <v>138</v>
      </c>
      <c r="D412" s="507">
        <v>195</v>
      </c>
      <c r="E412" s="505">
        <f>B412*D412</f>
        <v>2340</v>
      </c>
    </row>
    <row r="413" spans="1:5">
      <c r="A413" s="504" t="s">
        <v>360</v>
      </c>
      <c r="B413" s="505">
        <v>0.15</v>
      </c>
      <c r="C413" s="506" t="s">
        <v>46</v>
      </c>
      <c r="D413" s="507">
        <f>+E412</f>
        <v>2340</v>
      </c>
      <c r="E413" s="505">
        <f>B413*D413</f>
        <v>351</v>
      </c>
    </row>
    <row r="414" spans="1:5">
      <c r="A414" s="504"/>
      <c r="B414" s="504"/>
      <c r="C414" s="504"/>
      <c r="D414" s="508" t="s">
        <v>361</v>
      </c>
      <c r="E414" s="509">
        <f>SUM(E411:E413)</f>
        <v>6091</v>
      </c>
    </row>
    <row r="415" spans="1:5">
      <c r="A415" s="504"/>
      <c r="B415" s="504"/>
      <c r="C415" s="504"/>
      <c r="D415" s="508" t="s">
        <v>362</v>
      </c>
      <c r="E415" s="509">
        <f>E414/8</f>
        <v>761.38</v>
      </c>
    </row>
    <row r="416" spans="1:5">
      <c r="A416" s="510"/>
      <c r="B416" s="510"/>
      <c r="C416" s="510"/>
      <c r="D416" s="511"/>
      <c r="E416" s="512"/>
    </row>
    <row r="417" spans="1:5">
      <c r="A417" s="513" t="s">
        <v>363</v>
      </c>
    </row>
    <row r="418" spans="1:5">
      <c r="A418" s="514" t="s">
        <v>364</v>
      </c>
      <c r="B418" s="505">
        <v>1</v>
      </c>
      <c r="C418" s="506" t="s">
        <v>148</v>
      </c>
      <c r="D418" s="507">
        <f>1100*2</f>
        <v>2200</v>
      </c>
      <c r="E418" s="505">
        <f>B418*D418</f>
        <v>2200</v>
      </c>
    </row>
    <row r="419" spans="1:5">
      <c r="A419" s="514" t="s">
        <v>365</v>
      </c>
      <c r="B419" s="505">
        <v>1</v>
      </c>
      <c r="C419" s="506" t="s">
        <v>148</v>
      </c>
      <c r="D419" s="507">
        <f>750*3</f>
        <v>2250</v>
      </c>
      <c r="E419" s="505">
        <f>B419*D419</f>
        <v>2250</v>
      </c>
    </row>
    <row r="420" spans="1:5">
      <c r="A420" s="504"/>
      <c r="B420" s="504"/>
      <c r="C420" s="504"/>
      <c r="D420" s="508" t="s">
        <v>366</v>
      </c>
      <c r="E420" s="509">
        <f>SUM(E418:E419)</f>
        <v>4450</v>
      </c>
    </row>
    <row r="421" spans="1:5">
      <c r="A421" s="504"/>
      <c r="B421" s="504"/>
      <c r="C421" s="504"/>
      <c r="D421" s="508" t="s">
        <v>367</v>
      </c>
      <c r="E421" s="509">
        <f>E420/8</f>
        <v>556.25</v>
      </c>
    </row>
    <row r="422" spans="1:5">
      <c r="E422" s="515"/>
    </row>
    <row r="423" spans="1:5">
      <c r="E423" s="515"/>
    </row>
    <row r="424" spans="1:5">
      <c r="A424" s="4769" t="s">
        <v>368</v>
      </c>
      <c r="B424" s="4769"/>
      <c r="C424" s="4769"/>
      <c r="D424" s="516" t="s">
        <v>369</v>
      </c>
      <c r="E424" s="509">
        <f>E415+E421</f>
        <v>1317.63</v>
      </c>
    </row>
    <row r="425" spans="1:5">
      <c r="A425" s="4769" t="s">
        <v>368</v>
      </c>
      <c r="B425" s="4769"/>
      <c r="C425" s="4769"/>
      <c r="D425" s="516" t="s">
        <v>370</v>
      </c>
      <c r="E425" s="509">
        <f>E420+E414</f>
        <v>10541</v>
      </c>
    </row>
    <row r="426" spans="1:5">
      <c r="A426" s="4769" t="s">
        <v>371</v>
      </c>
      <c r="B426" s="4769"/>
      <c r="C426" s="4769"/>
      <c r="D426" s="516" t="s">
        <v>372</v>
      </c>
      <c r="E426" s="509">
        <f>E425/6</f>
        <v>1756.83</v>
      </c>
    </row>
    <row r="429" spans="1:5">
      <c r="A429" s="7"/>
      <c r="B429" s="252"/>
      <c r="C429" s="7"/>
      <c r="D429" s="7"/>
      <c r="E429" s="7"/>
    </row>
    <row r="430" spans="1:5">
      <c r="A430" s="275" t="s">
        <v>373</v>
      </c>
      <c r="B430" s="252"/>
      <c r="C430" s="7"/>
      <c r="D430" s="7"/>
      <c r="E430" s="7"/>
    </row>
    <row r="431" spans="1:5" ht="13.5" thickBot="1">
      <c r="A431" s="276" t="s">
        <v>251</v>
      </c>
      <c r="B431" s="252"/>
      <c r="C431" s="7"/>
      <c r="D431" s="7"/>
      <c r="E431" s="7"/>
    </row>
    <row r="432" spans="1:5" ht="13.5" thickTop="1">
      <c r="A432" s="277" t="s">
        <v>37</v>
      </c>
      <c r="B432" s="298">
        <v>1</v>
      </c>
      <c r="C432" s="297" t="s">
        <v>61</v>
      </c>
      <c r="D432" s="298">
        <v>300</v>
      </c>
      <c r="E432" s="299">
        <f>ROUND(B432*D432,2)</f>
        <v>300</v>
      </c>
    </row>
    <row r="433" spans="1:5">
      <c r="A433" s="517" t="s">
        <v>374</v>
      </c>
      <c r="B433" s="518">
        <v>3.75</v>
      </c>
      <c r="C433" s="519" t="s">
        <v>2</v>
      </c>
      <c r="D433" s="520">
        <v>240.23</v>
      </c>
      <c r="E433" s="299">
        <f t="shared" ref="E433:E448" si="8">ROUND(B433*D433,2)</f>
        <v>900.86</v>
      </c>
    </row>
    <row r="434" spans="1:5">
      <c r="A434" s="282" t="s">
        <v>253</v>
      </c>
      <c r="B434" s="518">
        <v>3.52</v>
      </c>
      <c r="C434" s="519" t="s">
        <v>2</v>
      </c>
      <c r="D434" s="520">
        <v>122.27</v>
      </c>
      <c r="E434" s="299">
        <f t="shared" si="8"/>
        <v>430.39</v>
      </c>
    </row>
    <row r="435" spans="1:5">
      <c r="A435" s="282" t="s">
        <v>254</v>
      </c>
      <c r="B435" s="518">
        <v>1</v>
      </c>
      <c r="C435" s="519" t="s">
        <v>3</v>
      </c>
      <c r="D435" s="520">
        <v>300</v>
      </c>
      <c r="E435" s="299">
        <f t="shared" si="8"/>
        <v>300</v>
      </c>
    </row>
    <row r="436" spans="1:5">
      <c r="A436" s="282"/>
      <c r="B436" s="518"/>
      <c r="C436" s="519"/>
      <c r="D436" s="520"/>
      <c r="E436" s="299"/>
    </row>
    <row r="437" spans="1:5">
      <c r="A437" s="286" t="s">
        <v>255</v>
      </c>
      <c r="B437" s="521"/>
      <c r="C437" s="522"/>
      <c r="D437" s="520"/>
      <c r="E437" s="299">
        <f t="shared" si="8"/>
        <v>0</v>
      </c>
    </row>
    <row r="438" spans="1:5">
      <c r="A438" s="282" t="s">
        <v>375</v>
      </c>
      <c r="B438" s="518">
        <v>0.25</v>
      </c>
      <c r="C438" s="519" t="s">
        <v>2</v>
      </c>
      <c r="D438" s="520">
        <f>+E234</f>
        <v>10077.280000000001</v>
      </c>
      <c r="E438" s="299">
        <f t="shared" si="8"/>
        <v>2519.3200000000002</v>
      </c>
    </row>
    <row r="439" spans="1:5">
      <c r="A439" s="282" t="s">
        <v>376</v>
      </c>
      <c r="B439" s="518">
        <v>0.2</v>
      </c>
      <c r="C439" s="519" t="s">
        <v>2</v>
      </c>
      <c r="D439" s="520">
        <f>+E240</f>
        <v>11127.88</v>
      </c>
      <c r="E439" s="299">
        <f t="shared" si="8"/>
        <v>2225.58</v>
      </c>
    </row>
    <row r="440" spans="1:5">
      <c r="A440" s="282"/>
      <c r="B440" s="518"/>
      <c r="C440" s="519"/>
      <c r="D440" s="520"/>
      <c r="E440" s="299">
        <f t="shared" si="8"/>
        <v>0</v>
      </c>
    </row>
    <row r="441" spans="1:5">
      <c r="A441" s="282" t="s">
        <v>258</v>
      </c>
      <c r="B441" s="518">
        <v>6.16</v>
      </c>
      <c r="C441" s="519" t="s">
        <v>11</v>
      </c>
      <c r="D441" s="520">
        <f>+E174</f>
        <v>852.07</v>
      </c>
      <c r="E441" s="299">
        <f t="shared" si="8"/>
        <v>5248.75</v>
      </c>
    </row>
    <row r="442" spans="1:5">
      <c r="A442" s="282"/>
      <c r="B442" s="518"/>
      <c r="C442" s="519"/>
      <c r="D442" s="520"/>
      <c r="E442" s="299">
        <f t="shared" si="8"/>
        <v>0</v>
      </c>
    </row>
    <row r="443" spans="1:5">
      <c r="A443" s="282" t="s">
        <v>152</v>
      </c>
      <c r="B443" s="518">
        <v>3.12</v>
      </c>
      <c r="C443" s="519" t="s">
        <v>11</v>
      </c>
      <c r="D443" s="520">
        <f>+E86</f>
        <v>240.85</v>
      </c>
      <c r="E443" s="299">
        <f t="shared" si="8"/>
        <v>751.45</v>
      </c>
    </row>
    <row r="444" spans="1:5">
      <c r="A444" s="282" t="s">
        <v>377</v>
      </c>
      <c r="B444" s="518">
        <v>5.04</v>
      </c>
      <c r="C444" s="519" t="s">
        <v>11</v>
      </c>
      <c r="D444" s="520">
        <f>+E93</f>
        <v>255.49</v>
      </c>
      <c r="E444" s="299">
        <f t="shared" si="8"/>
        <v>1287.67</v>
      </c>
    </row>
    <row r="445" spans="1:5">
      <c r="A445" s="282" t="s">
        <v>260</v>
      </c>
      <c r="B445" s="518">
        <v>0.81</v>
      </c>
      <c r="C445" s="519" t="s">
        <v>11</v>
      </c>
      <c r="D445" s="520">
        <f>+E127</f>
        <v>498.95</v>
      </c>
      <c r="E445" s="299">
        <f t="shared" si="8"/>
        <v>404.15</v>
      </c>
    </row>
    <row r="446" spans="1:5">
      <c r="A446" s="282" t="s">
        <v>177</v>
      </c>
      <c r="B446" s="518">
        <v>8.4</v>
      </c>
      <c r="C446" s="519" t="s">
        <v>1</v>
      </c>
      <c r="D446" s="520">
        <f>+E140</f>
        <v>61.29</v>
      </c>
      <c r="E446" s="299">
        <f t="shared" si="8"/>
        <v>514.84</v>
      </c>
    </row>
    <row r="447" spans="1:5">
      <c r="A447" s="282" t="s">
        <v>261</v>
      </c>
      <c r="B447" s="518">
        <v>8.16</v>
      </c>
      <c r="C447" s="519" t="s">
        <v>11</v>
      </c>
      <c r="D447" s="520">
        <v>0</v>
      </c>
      <c r="E447" s="299">
        <f t="shared" si="8"/>
        <v>0</v>
      </c>
    </row>
    <row r="448" spans="1:5">
      <c r="A448" s="282"/>
      <c r="B448" s="518"/>
      <c r="C448" s="519"/>
      <c r="D448" s="520"/>
      <c r="E448" s="299">
        <f t="shared" si="8"/>
        <v>0</v>
      </c>
    </row>
    <row r="449" spans="1:5" ht="13.5" thickBot="1">
      <c r="A449" s="300"/>
      <c r="B449" s="523"/>
      <c r="C449" s="4769" t="s">
        <v>266</v>
      </c>
      <c r="D449" s="4769"/>
      <c r="E449" s="302">
        <f>SUM(E432:E448)</f>
        <v>14883.01</v>
      </c>
    </row>
    <row r="450" spans="1:5" ht="13.5" thickTop="1"/>
    <row r="451" spans="1:5">
      <c r="A451" s="44" t="s">
        <v>378</v>
      </c>
      <c r="B451" t="s">
        <v>379</v>
      </c>
      <c r="C451">
        <v>1</v>
      </c>
      <c r="D451" s="328">
        <v>9500</v>
      </c>
      <c r="E451" s="524">
        <f>+E449+D451</f>
        <v>24383.01</v>
      </c>
    </row>
    <row r="452" spans="1:5">
      <c r="A452" s="44" t="s">
        <v>380</v>
      </c>
      <c r="B452" t="s">
        <v>381</v>
      </c>
      <c r="D452" s="328">
        <v>3500</v>
      </c>
      <c r="E452" s="524">
        <f>+E449+D452</f>
        <v>18383.009999999998</v>
      </c>
    </row>
    <row r="455" spans="1:5" ht="15">
      <c r="A455" s="525" t="s">
        <v>382</v>
      </c>
      <c r="B455" s="526"/>
      <c r="C455" s="526"/>
      <c r="D455" s="526"/>
      <c r="E455" s="526"/>
    </row>
    <row r="456" spans="1:5" ht="15">
      <c r="A456" s="527"/>
      <c r="B456" s="527" t="s">
        <v>286</v>
      </c>
      <c r="C456" s="527" t="s">
        <v>287</v>
      </c>
      <c r="D456" s="527" t="s">
        <v>288</v>
      </c>
      <c r="E456" s="527" t="s">
        <v>289</v>
      </c>
    </row>
    <row r="457" spans="1:5" ht="15">
      <c r="A457" s="527" t="s">
        <v>383</v>
      </c>
      <c r="B457" s="528">
        <v>1</v>
      </c>
      <c r="C457" s="528" t="s">
        <v>12</v>
      </c>
      <c r="D457" s="528">
        <v>1899.6</v>
      </c>
      <c r="E457" s="528">
        <f>+B457*D457</f>
        <v>1899.6</v>
      </c>
    </row>
    <row r="458" spans="1:5" ht="15">
      <c r="A458" s="527" t="s">
        <v>384</v>
      </c>
      <c r="B458" s="528">
        <v>5.2</v>
      </c>
      <c r="C458" s="528" t="s">
        <v>292</v>
      </c>
      <c r="D458" s="528">
        <v>191</v>
      </c>
      <c r="E458" s="528">
        <f>+B458*D458</f>
        <v>993.2</v>
      </c>
    </row>
    <row r="459" spans="1:5" ht="15">
      <c r="A459" s="527" t="s">
        <v>293</v>
      </c>
      <c r="B459" s="528">
        <v>0.2</v>
      </c>
      <c r="C459" s="528" t="s">
        <v>46</v>
      </c>
      <c r="D459" s="528">
        <v>993.2</v>
      </c>
      <c r="E459" s="528">
        <f>+B459*D459</f>
        <v>198.64</v>
      </c>
    </row>
    <row r="460" spans="1:5" ht="15">
      <c r="A460" s="527" t="s">
        <v>385</v>
      </c>
      <c r="B460" s="528">
        <v>1</v>
      </c>
      <c r="C460" s="528" t="s">
        <v>12</v>
      </c>
      <c r="D460" s="528">
        <v>162.5</v>
      </c>
      <c r="E460" s="528">
        <f>+B460*D460</f>
        <v>162.5</v>
      </c>
    </row>
    <row r="461" spans="1:5" ht="45">
      <c r="A461" s="527"/>
      <c r="B461" s="528"/>
      <c r="C461" s="528"/>
      <c r="D461" s="529" t="s">
        <v>222</v>
      </c>
      <c r="E461" s="530">
        <f>SUM(E457:E460)</f>
        <v>3253.94</v>
      </c>
    </row>
    <row r="462" spans="1:5" ht="15">
      <c r="A462" s="527"/>
      <c r="B462" s="528"/>
      <c r="C462" s="528"/>
      <c r="D462" s="528"/>
      <c r="E462" s="528"/>
    </row>
    <row r="463" spans="1:5" ht="15">
      <c r="A463" s="531" t="s">
        <v>386</v>
      </c>
      <c r="B463" s="530">
        <v>124.77</v>
      </c>
      <c r="C463" s="530" t="s">
        <v>387</v>
      </c>
      <c r="D463" s="530"/>
      <c r="E463" s="530"/>
    </row>
    <row r="464" spans="1:5" ht="15">
      <c r="A464" s="531"/>
      <c r="B464" s="530"/>
      <c r="C464" s="530"/>
      <c r="D464" s="530"/>
      <c r="E464" s="530"/>
    </row>
    <row r="465" spans="1:5" ht="15">
      <c r="A465" s="531"/>
      <c r="B465" s="530"/>
      <c r="C465" s="530"/>
      <c r="D465" s="530" t="s">
        <v>388</v>
      </c>
      <c r="E465" s="530">
        <f>+E461/B463</f>
        <v>26.08</v>
      </c>
    </row>
    <row r="466" spans="1:5">
      <c r="A466" s="532"/>
      <c r="B466" s="533"/>
      <c r="C466" s="533"/>
      <c r="D466" s="533"/>
      <c r="E466" s="533"/>
    </row>
    <row r="467" spans="1:5" ht="15">
      <c r="A467" s="531" t="s">
        <v>389</v>
      </c>
      <c r="B467" s="531"/>
      <c r="C467" s="531"/>
      <c r="D467" s="531"/>
      <c r="E467" s="531"/>
    </row>
    <row r="468" spans="1:5" ht="15">
      <c r="A468" s="531"/>
      <c r="B468" s="531" t="s">
        <v>286</v>
      </c>
      <c r="C468" s="531" t="s">
        <v>287</v>
      </c>
      <c r="D468" s="531" t="s">
        <v>288</v>
      </c>
      <c r="E468" s="531" t="s">
        <v>289</v>
      </c>
    </row>
    <row r="469" spans="1:5" ht="15">
      <c r="A469" s="527" t="s">
        <v>390</v>
      </c>
      <c r="B469" s="528">
        <v>1</v>
      </c>
      <c r="C469" s="528" t="s">
        <v>302</v>
      </c>
      <c r="D469" s="528">
        <v>3895</v>
      </c>
      <c r="E469" s="528">
        <v>3895</v>
      </c>
    </row>
    <row r="470" spans="1:5" ht="15">
      <c r="A470" s="527" t="s">
        <v>391</v>
      </c>
      <c r="B470" s="528">
        <v>12</v>
      </c>
      <c r="C470" s="528" t="s">
        <v>392</v>
      </c>
      <c r="D470" s="528">
        <v>191</v>
      </c>
      <c r="E470" s="528">
        <v>2292</v>
      </c>
    </row>
    <row r="471" spans="1:5" ht="15">
      <c r="A471" s="527" t="s">
        <v>393</v>
      </c>
      <c r="B471" s="528">
        <v>1</v>
      </c>
      <c r="C471" s="528" t="s">
        <v>294</v>
      </c>
      <c r="D471" s="528">
        <v>2292</v>
      </c>
      <c r="E471" s="528">
        <v>2292</v>
      </c>
    </row>
    <row r="472" spans="1:5" ht="15">
      <c r="A472" s="527" t="s">
        <v>394</v>
      </c>
      <c r="B472" s="528">
        <v>1</v>
      </c>
      <c r="C472" s="528" t="s">
        <v>395</v>
      </c>
      <c r="D472" s="528">
        <v>162.5</v>
      </c>
      <c r="E472" s="528">
        <v>162.5</v>
      </c>
    </row>
    <row r="473" spans="1:5" ht="15">
      <c r="A473" s="527" t="s">
        <v>396</v>
      </c>
      <c r="B473" s="528"/>
      <c r="C473" s="528"/>
      <c r="D473" s="528"/>
      <c r="E473" s="530">
        <v>8641.5</v>
      </c>
    </row>
    <row r="474" spans="1:5" ht="15">
      <c r="A474" s="531" t="s">
        <v>297</v>
      </c>
      <c r="B474" s="530">
        <v>125</v>
      </c>
      <c r="C474" s="530" t="s">
        <v>397</v>
      </c>
      <c r="D474" s="530"/>
      <c r="E474" s="530"/>
    </row>
    <row r="475" spans="1:5" ht="15">
      <c r="A475" s="531" t="s">
        <v>398</v>
      </c>
      <c r="B475" s="530"/>
      <c r="C475" s="530"/>
      <c r="D475" s="530"/>
      <c r="E475" s="530">
        <f>+E473/B474</f>
        <v>69.13</v>
      </c>
    </row>
    <row r="476" spans="1:5">
      <c r="A476" s="532"/>
      <c r="B476" s="533"/>
      <c r="C476" s="533"/>
      <c r="D476" s="533"/>
      <c r="E476" s="533"/>
    </row>
    <row r="477" spans="1:5">
      <c r="A477" s="532"/>
      <c r="B477" s="533"/>
      <c r="C477" s="533"/>
      <c r="D477" s="533"/>
      <c r="E477" s="533"/>
    </row>
    <row r="478" spans="1:5" ht="45">
      <c r="A478" s="626" t="s">
        <v>399</v>
      </c>
      <c r="B478" s="627"/>
      <c r="C478" s="627"/>
      <c r="D478" s="627"/>
      <c r="E478" s="627"/>
    </row>
    <row r="479" spans="1:5" ht="15">
      <c r="A479" s="627"/>
      <c r="B479" s="627" t="s">
        <v>286</v>
      </c>
      <c r="C479" s="627" t="s">
        <v>287</v>
      </c>
      <c r="D479" s="627" t="s">
        <v>288</v>
      </c>
      <c r="E479" s="627" t="s">
        <v>289</v>
      </c>
    </row>
    <row r="480" spans="1:5" ht="15">
      <c r="A480" s="628" t="s">
        <v>400</v>
      </c>
      <c r="B480" s="629">
        <v>1</v>
      </c>
      <c r="C480" s="630" t="s">
        <v>401</v>
      </c>
      <c r="D480" s="629">
        <v>75</v>
      </c>
      <c r="E480" s="629">
        <f>+B480*D480</f>
        <v>75</v>
      </c>
    </row>
    <row r="481" spans="1:5" ht="15">
      <c r="A481" s="628" t="s">
        <v>402</v>
      </c>
      <c r="B481" s="629">
        <v>20</v>
      </c>
      <c r="C481" s="630" t="s">
        <v>403</v>
      </c>
      <c r="D481" s="629">
        <v>18.21</v>
      </c>
      <c r="E481" s="629">
        <f>+B481*D481</f>
        <v>364.2</v>
      </c>
    </row>
    <row r="482" spans="1:5" ht="15">
      <c r="A482" s="628" t="s">
        <v>404</v>
      </c>
      <c r="B482" s="629">
        <v>1</v>
      </c>
      <c r="C482" s="630" t="s">
        <v>401</v>
      </c>
      <c r="D482" s="629">
        <f>+E475</f>
        <v>69.13</v>
      </c>
      <c r="E482" s="629">
        <f>+B482*D482</f>
        <v>69.13</v>
      </c>
    </row>
    <row r="483" spans="1:5" ht="15">
      <c r="A483" s="628" t="s">
        <v>405</v>
      </c>
      <c r="B483" s="629">
        <v>1</v>
      </c>
      <c r="C483" s="630" t="s">
        <v>401</v>
      </c>
      <c r="D483" s="629">
        <v>12</v>
      </c>
      <c r="E483" s="629">
        <f>+B483*D483</f>
        <v>12</v>
      </c>
    </row>
    <row r="484" spans="1:5" ht="15">
      <c r="A484" s="628" t="s">
        <v>406</v>
      </c>
      <c r="B484" s="629">
        <v>1</v>
      </c>
      <c r="C484" s="630" t="s">
        <v>401</v>
      </c>
      <c r="D484" s="629">
        <v>26.08</v>
      </c>
      <c r="E484" s="629">
        <f>+B484*D484</f>
        <v>26.08</v>
      </c>
    </row>
    <row r="485" spans="1:5" ht="15">
      <c r="A485" s="623" t="s">
        <v>398</v>
      </c>
      <c r="B485" s="624"/>
      <c r="C485" s="624"/>
      <c r="D485" s="624"/>
      <c r="E485" s="625">
        <f>SUM(E480:E484)</f>
        <v>546.41</v>
      </c>
    </row>
    <row r="488" spans="1:5" ht="15">
      <c r="A488" s="595" t="s">
        <v>415</v>
      </c>
      <c r="B488" s="595"/>
      <c r="C488" s="596"/>
      <c r="D488" s="596"/>
      <c r="E488" s="596"/>
    </row>
    <row r="489" spans="1:5" ht="15">
      <c r="A489" s="595"/>
      <c r="B489" s="595"/>
      <c r="C489" s="596"/>
      <c r="D489" s="596"/>
      <c r="E489" s="596"/>
    </row>
    <row r="490" spans="1:5">
      <c r="A490" s="597" t="s">
        <v>416</v>
      </c>
      <c r="B490" s="597" t="s">
        <v>417</v>
      </c>
      <c r="C490" s="596"/>
      <c r="D490" s="596"/>
      <c r="E490" s="596"/>
    </row>
    <row r="491" spans="1:5" ht="25.5">
      <c r="A491" s="598" t="s">
        <v>418</v>
      </c>
      <c r="B491" s="599"/>
      <c r="C491" s="596"/>
      <c r="D491" s="596"/>
      <c r="E491" s="596"/>
    </row>
    <row r="492" spans="1:5" ht="25.5">
      <c r="A492" s="598" t="s">
        <v>419</v>
      </c>
      <c r="B492" s="599"/>
      <c r="C492" s="596"/>
      <c r="D492" s="596"/>
      <c r="E492" s="596"/>
    </row>
    <row r="493" spans="1:5">
      <c r="A493" s="598"/>
      <c r="B493" s="599"/>
      <c r="C493" s="596"/>
      <c r="D493" s="596"/>
      <c r="E493" s="596"/>
    </row>
    <row r="494" spans="1:5">
      <c r="A494" s="598" t="s">
        <v>420</v>
      </c>
      <c r="B494" s="600">
        <v>368.75</v>
      </c>
      <c r="C494" s="596"/>
      <c r="D494" s="596"/>
      <c r="E494" s="596"/>
    </row>
    <row r="495" spans="1:5">
      <c r="A495" s="598"/>
      <c r="B495" s="600"/>
      <c r="C495" s="596"/>
      <c r="D495" s="596"/>
      <c r="E495" s="596"/>
    </row>
    <row r="496" spans="1:5" ht="25.5">
      <c r="A496" s="598" t="s">
        <v>421</v>
      </c>
      <c r="B496" s="600">
        <v>117</v>
      </c>
      <c r="C496" s="596"/>
      <c r="D496" s="596"/>
      <c r="E496" s="596"/>
    </row>
    <row r="497" spans="1:5">
      <c r="A497" s="598"/>
      <c r="B497" s="600"/>
      <c r="C497" s="596"/>
      <c r="D497" s="596"/>
      <c r="E497" s="596"/>
    </row>
    <row r="498" spans="1:5">
      <c r="A498" s="598" t="s">
        <v>422</v>
      </c>
      <c r="B498" s="600">
        <f>0.2*B496</f>
        <v>23.4</v>
      </c>
      <c r="C498" s="596"/>
      <c r="D498" s="596"/>
      <c r="E498" s="596"/>
    </row>
    <row r="499" spans="1:5">
      <c r="A499" s="598"/>
      <c r="B499" s="600"/>
      <c r="C499" s="596"/>
      <c r="D499" s="596"/>
      <c r="E499" s="596"/>
    </row>
    <row r="500" spans="1:5">
      <c r="A500" s="598" t="s">
        <v>423</v>
      </c>
      <c r="B500" s="600">
        <v>118.75</v>
      </c>
      <c r="C500" s="596"/>
      <c r="D500" s="596"/>
      <c r="E500" s="596"/>
    </row>
    <row r="501" spans="1:5">
      <c r="A501" s="598"/>
      <c r="B501" s="600"/>
      <c r="C501" s="596"/>
      <c r="D501" s="596"/>
      <c r="E501" s="596"/>
    </row>
    <row r="502" spans="1:5">
      <c r="A502" s="598" t="s">
        <v>424</v>
      </c>
      <c r="B502" s="600">
        <v>27.02</v>
      </c>
      <c r="C502" s="596"/>
      <c r="D502" s="596"/>
      <c r="E502" s="596"/>
    </row>
    <row r="503" spans="1:5">
      <c r="A503" s="601"/>
      <c r="B503" s="599"/>
      <c r="C503" s="596"/>
      <c r="D503" s="596"/>
      <c r="E503" s="596"/>
    </row>
    <row r="504" spans="1:5">
      <c r="A504" s="601" t="s">
        <v>425</v>
      </c>
      <c r="B504" s="599">
        <f>SUM(B494:B503)</f>
        <v>654.91999999999996</v>
      </c>
      <c r="C504" s="596"/>
      <c r="D504" s="596"/>
      <c r="E504" s="596"/>
    </row>
    <row r="505" spans="1:5">
      <c r="A505" s="601" t="s">
        <v>426</v>
      </c>
      <c r="B505" s="602"/>
      <c r="C505" s="596"/>
      <c r="D505" s="596"/>
      <c r="E505" s="596"/>
    </row>
    <row r="506" spans="1:5" ht="15">
      <c r="A506" s="603" t="s">
        <v>427</v>
      </c>
      <c r="B506" s="603">
        <f>+B504/8.75</f>
        <v>74.849999999999994</v>
      </c>
      <c r="C506" s="596"/>
      <c r="D506" s="596"/>
      <c r="E506" s="596"/>
    </row>
    <row r="509" spans="1:5">
      <c r="A509" s="4769" t="s">
        <v>428</v>
      </c>
      <c r="B509" s="4769"/>
      <c r="C509" s="4769"/>
      <c r="D509" s="4769"/>
      <c r="E509" s="4769"/>
    </row>
    <row r="510" spans="1:5">
      <c r="A510" s="604"/>
      <c r="B510" s="605" t="s">
        <v>286</v>
      </c>
      <c r="C510" s="605" t="s">
        <v>287</v>
      </c>
      <c r="D510" s="605" t="s">
        <v>288</v>
      </c>
      <c r="E510" s="605" t="s">
        <v>289</v>
      </c>
    </row>
    <row r="511" spans="1:5">
      <c r="A511" s="604" t="s">
        <v>429</v>
      </c>
      <c r="B511" s="606">
        <v>1</v>
      </c>
      <c r="C511" s="607" t="s">
        <v>12</v>
      </c>
      <c r="D511" s="608">
        <v>1250.8</v>
      </c>
      <c r="E511" s="608">
        <f>+D511*B511</f>
        <v>1250.8</v>
      </c>
    </row>
    <row r="512" spans="1:5">
      <c r="A512" s="604" t="s">
        <v>430</v>
      </c>
      <c r="B512" s="606">
        <v>3.2</v>
      </c>
      <c r="C512" s="607" t="s">
        <v>292</v>
      </c>
      <c r="D512" s="608">
        <f>+D302</f>
        <v>185.76</v>
      </c>
      <c r="E512" s="608">
        <f>+D512*B512</f>
        <v>594.42999999999995</v>
      </c>
    </row>
    <row r="513" spans="1:5">
      <c r="A513" s="604" t="s">
        <v>293</v>
      </c>
      <c r="B513" s="606">
        <v>0.2</v>
      </c>
      <c r="C513" s="607" t="s">
        <v>46</v>
      </c>
      <c r="D513" s="608">
        <f>+E512</f>
        <v>594.42999999999995</v>
      </c>
      <c r="E513" s="608">
        <f>+D513*B513</f>
        <v>118.89</v>
      </c>
    </row>
    <row r="514" spans="1:5">
      <c r="A514" s="604" t="s">
        <v>431</v>
      </c>
      <c r="B514" s="606">
        <v>1</v>
      </c>
      <c r="C514" s="607" t="s">
        <v>12</v>
      </c>
      <c r="D514" s="608">
        <v>162.5</v>
      </c>
      <c r="E514" s="608">
        <f>+D514*B514</f>
        <v>162.5</v>
      </c>
    </row>
    <row r="515" spans="1:5">
      <c r="A515" s="604"/>
      <c r="B515" s="604"/>
      <c r="C515" s="618"/>
      <c r="D515" s="619" t="s">
        <v>222</v>
      </c>
      <c r="E515" s="609">
        <f>SUM(E511:E514)</f>
        <v>2126.62</v>
      </c>
    </row>
    <row r="516" spans="1:5">
      <c r="A516" s="604" t="s">
        <v>432</v>
      </c>
      <c r="B516" s="620">
        <v>55</v>
      </c>
      <c r="C516" s="604" t="s">
        <v>433</v>
      </c>
      <c r="D516" s="604"/>
      <c r="E516" s="604"/>
    </row>
    <row r="517" spans="1:5">
      <c r="A517" s="604"/>
      <c r="B517" s="604"/>
      <c r="C517" s="604"/>
      <c r="D517" s="621" t="s">
        <v>434</v>
      </c>
      <c r="E517" s="622">
        <f>E515/B516</f>
        <v>38.67</v>
      </c>
    </row>
    <row r="520" spans="1:5" ht="20.25">
      <c r="A520" s="631" t="s">
        <v>455</v>
      </c>
      <c r="B520" s="632"/>
      <c r="C520" s="633"/>
      <c r="D520" s="632"/>
      <c r="E520" s="632"/>
    </row>
    <row r="521" spans="1:5" ht="18.75">
      <c r="A521" s="634"/>
      <c r="B521" s="632"/>
      <c r="C521" s="633"/>
      <c r="D521" s="632"/>
      <c r="E521" s="632"/>
    </row>
    <row r="522" spans="1:5">
      <c r="A522" s="635" t="s">
        <v>435</v>
      </c>
      <c r="B522" s="632"/>
      <c r="C522" s="633"/>
      <c r="D522" s="632"/>
      <c r="E522" s="632"/>
    </row>
    <row r="523" spans="1:5">
      <c r="A523" s="635"/>
      <c r="B523" s="632"/>
      <c r="C523" s="633"/>
      <c r="D523" s="632"/>
      <c r="E523" s="632"/>
    </row>
    <row r="524" spans="1:5">
      <c r="A524" s="636" t="s">
        <v>436</v>
      </c>
      <c r="B524" s="637"/>
      <c r="C524" s="638"/>
      <c r="D524" s="637"/>
      <c r="E524" s="637"/>
    </row>
    <row r="525" spans="1:5">
      <c r="A525" s="639" t="s">
        <v>437</v>
      </c>
      <c r="B525" s="640">
        <v>1</v>
      </c>
      <c r="C525" s="633" t="s">
        <v>215</v>
      </c>
      <c r="D525" s="640">
        <v>1977</v>
      </c>
      <c r="E525" s="640">
        <f>+D525*B525</f>
        <v>1977</v>
      </c>
    </row>
    <row r="526" spans="1:5">
      <c r="A526" s="639" t="s">
        <v>330</v>
      </c>
      <c r="B526" s="640">
        <v>1</v>
      </c>
      <c r="C526" s="633" t="s">
        <v>215</v>
      </c>
      <c r="D526" s="640">
        <v>1100</v>
      </c>
      <c r="E526" s="640">
        <f>+D526*B526</f>
        <v>1100</v>
      </c>
    </row>
    <row r="527" spans="1:5">
      <c r="A527" s="639" t="s">
        <v>438</v>
      </c>
      <c r="B527" s="640">
        <v>1</v>
      </c>
      <c r="C527" s="633" t="s">
        <v>215</v>
      </c>
      <c r="D527" s="640">
        <f>3*659</f>
        <v>1977</v>
      </c>
      <c r="E527" s="640">
        <f>+D527*B527</f>
        <v>1977</v>
      </c>
    </row>
    <row r="528" spans="1:5">
      <c r="A528" s="639" t="s">
        <v>439</v>
      </c>
      <c r="B528" s="640">
        <v>1</v>
      </c>
      <c r="C528" s="633" t="s">
        <v>440</v>
      </c>
      <c r="D528" s="640">
        <v>1318</v>
      </c>
      <c r="E528" s="640">
        <f>+D528*B528</f>
        <v>1318</v>
      </c>
    </row>
    <row r="529" spans="1:5">
      <c r="A529" s="639" t="s">
        <v>441</v>
      </c>
      <c r="B529" s="640">
        <v>1</v>
      </c>
      <c r="C529" s="633" t="s">
        <v>215</v>
      </c>
      <c r="D529" s="640">
        <v>1318</v>
      </c>
      <c r="E529" s="640">
        <f>+D529*B529</f>
        <v>1318</v>
      </c>
    </row>
    <row r="530" spans="1:5">
      <c r="A530" s="639"/>
      <c r="B530" s="632"/>
      <c r="C530" s="633"/>
      <c r="D530" s="641" t="s">
        <v>442</v>
      </c>
      <c r="E530" s="637">
        <f>SUM(E525:E529)</f>
        <v>7690</v>
      </c>
    </row>
    <row r="531" spans="1:5">
      <c r="A531" s="635"/>
      <c r="B531" s="632"/>
      <c r="C531" s="633"/>
      <c r="D531" s="632"/>
      <c r="E531" s="632"/>
    </row>
    <row r="532" spans="1:5">
      <c r="A532" s="639" t="s">
        <v>386</v>
      </c>
      <c r="B532" s="632">
        <v>1800</v>
      </c>
      <c r="C532" s="633" t="s">
        <v>11</v>
      </c>
      <c r="D532" s="632"/>
      <c r="E532" s="632"/>
    </row>
    <row r="533" spans="1:5">
      <c r="A533" s="635"/>
      <c r="B533" s="632"/>
      <c r="C533" s="633"/>
      <c r="D533" s="632"/>
      <c r="E533" s="632"/>
    </row>
    <row r="534" spans="1:5" ht="15.75">
      <c r="A534" s="639" t="s">
        <v>417</v>
      </c>
      <c r="B534" s="632"/>
      <c r="C534" s="633"/>
      <c r="D534" s="632"/>
      <c r="E534" s="642">
        <f>E530/B532</f>
        <v>4.2699999999999996</v>
      </c>
    </row>
    <row r="535" spans="1:5" ht="15.75">
      <c r="A535" s="639"/>
      <c r="B535" s="632"/>
      <c r="C535" s="633"/>
      <c r="D535" s="632"/>
      <c r="E535" s="642"/>
    </row>
    <row r="536" spans="1:5">
      <c r="A536" s="635" t="s">
        <v>443</v>
      </c>
      <c r="B536" s="632"/>
      <c r="C536" s="633"/>
      <c r="D536" s="632"/>
      <c r="E536" s="632"/>
    </row>
    <row r="537" spans="1:5">
      <c r="A537" s="635"/>
      <c r="B537" s="632"/>
      <c r="C537" s="633"/>
      <c r="D537" s="632"/>
      <c r="E537" s="632"/>
    </row>
    <row r="538" spans="1:5">
      <c r="A538" s="635" t="s">
        <v>444</v>
      </c>
      <c r="B538" s="632"/>
      <c r="C538" s="633"/>
      <c r="D538" s="632"/>
      <c r="E538" s="632"/>
    </row>
    <row r="539" spans="1:5">
      <c r="A539" s="639" t="s">
        <v>445</v>
      </c>
      <c r="B539" s="640">
        <v>0.5</v>
      </c>
      <c r="C539" s="633" t="s">
        <v>118</v>
      </c>
      <c r="D539" s="640">
        <v>100</v>
      </c>
      <c r="E539" s="640">
        <f>+D539*B539</f>
        <v>50</v>
      </c>
    </row>
    <row r="540" spans="1:5">
      <c r="A540" s="639" t="s">
        <v>446</v>
      </c>
      <c r="B540" s="640">
        <v>0.5</v>
      </c>
      <c r="C540" s="633" t="s">
        <v>118</v>
      </c>
      <c r="D540" s="640">
        <v>22</v>
      </c>
      <c r="E540" s="640">
        <f>+D540*B540</f>
        <v>11</v>
      </c>
    </row>
    <row r="541" spans="1:5" ht="15.75">
      <c r="A541" s="635"/>
      <c r="B541" s="632"/>
      <c r="C541" s="633"/>
      <c r="D541" s="632"/>
      <c r="E541" s="642">
        <f>SUM(E539:E540)</f>
        <v>61</v>
      </c>
    </row>
    <row r="542" spans="1:5">
      <c r="A542" s="635"/>
      <c r="B542" s="632"/>
      <c r="C542" s="633"/>
      <c r="D542" s="632"/>
      <c r="E542" s="632"/>
    </row>
    <row r="543" spans="1:5">
      <c r="A543" s="639" t="s">
        <v>447</v>
      </c>
      <c r="B543" s="643">
        <v>9.7699999999999992E-3</v>
      </c>
      <c r="C543" s="633" t="s">
        <v>2</v>
      </c>
      <c r="D543" s="632">
        <v>900</v>
      </c>
      <c r="E543" s="640">
        <f>+D543*B543</f>
        <v>8.7899999999999991</v>
      </c>
    </row>
    <row r="544" spans="1:5" ht="15.75">
      <c r="A544" s="635"/>
      <c r="B544" s="632"/>
      <c r="C544" s="633"/>
      <c r="D544" s="632"/>
      <c r="E544" s="642">
        <f>SUM(E543:E543)</f>
        <v>8.7899999999999991</v>
      </c>
    </row>
    <row r="545" spans="1:5">
      <c r="A545" s="635" t="s">
        <v>448</v>
      </c>
      <c r="B545" s="632"/>
      <c r="C545" s="633"/>
      <c r="D545" s="632"/>
      <c r="E545" s="632"/>
    </row>
    <row r="546" spans="1:5">
      <c r="A546" s="635"/>
      <c r="B546" s="632"/>
      <c r="C546" s="633"/>
      <c r="D546" s="632"/>
      <c r="E546" s="632"/>
    </row>
    <row r="547" spans="1:5">
      <c r="A547" s="639" t="s">
        <v>449</v>
      </c>
      <c r="B547" s="632">
        <v>8</v>
      </c>
      <c r="C547" s="633" t="s">
        <v>47</v>
      </c>
      <c r="D547" s="632">
        <v>2687.5</v>
      </c>
      <c r="E547" s="640">
        <f>+D547*B547</f>
        <v>21500</v>
      </c>
    </row>
    <row r="548" spans="1:5">
      <c r="A548" s="639" t="s">
        <v>450</v>
      </c>
      <c r="B548" s="632">
        <v>8</v>
      </c>
      <c r="C548" s="633" t="s">
        <v>47</v>
      </c>
      <c r="D548" s="632">
        <v>400</v>
      </c>
      <c r="E548" s="640">
        <f>+D548*B548</f>
        <v>3200</v>
      </c>
    </row>
    <row r="549" spans="1:5">
      <c r="A549" s="644" t="s">
        <v>451</v>
      </c>
      <c r="B549" s="645">
        <v>8</v>
      </c>
      <c r="C549" s="646" t="s">
        <v>47</v>
      </c>
      <c r="D549" s="645">
        <v>2321.59</v>
      </c>
      <c r="E549" s="645">
        <f>D549*B549</f>
        <v>18572.72</v>
      </c>
    </row>
    <row r="550" spans="1:5">
      <c r="A550" s="639" t="s">
        <v>452</v>
      </c>
      <c r="B550" s="632">
        <v>8</v>
      </c>
      <c r="C550" s="633" t="s">
        <v>47</v>
      </c>
      <c r="D550" s="632">
        <v>3392.5</v>
      </c>
      <c r="E550" s="645">
        <f>D550*B550</f>
        <v>27140</v>
      </c>
    </row>
    <row r="551" spans="1:5">
      <c r="A551" s="639" t="s">
        <v>453</v>
      </c>
      <c r="B551" s="632">
        <v>8</v>
      </c>
      <c r="C551" s="633" t="s">
        <v>47</v>
      </c>
      <c r="D551" s="632">
        <v>812.5</v>
      </c>
      <c r="E551" s="645">
        <f>D551*B551</f>
        <v>6500</v>
      </c>
    </row>
    <row r="552" spans="1:5">
      <c r="A552" s="635"/>
      <c r="B552" s="632"/>
      <c r="C552" s="633"/>
      <c r="D552" s="632"/>
      <c r="E552" s="647">
        <f>SUM(E547:E551)</f>
        <v>76912.72</v>
      </c>
    </row>
    <row r="553" spans="1:5">
      <c r="A553" s="635" t="s">
        <v>297</v>
      </c>
      <c r="B553" s="632">
        <v>1800</v>
      </c>
      <c r="C553" s="633" t="s">
        <v>11</v>
      </c>
      <c r="D553" s="632"/>
      <c r="E553" s="632"/>
    </row>
    <row r="554" spans="1:5" ht="15.75">
      <c r="A554" s="635" t="s">
        <v>417</v>
      </c>
      <c r="B554" s="632"/>
      <c r="C554" s="633"/>
      <c r="D554" s="632"/>
      <c r="E554" s="642">
        <f>E552/B553</f>
        <v>42.73</v>
      </c>
    </row>
    <row r="555" spans="1:5">
      <c r="A555" s="635"/>
      <c r="B555" s="632"/>
      <c r="C555" s="633"/>
      <c r="D555" s="632"/>
      <c r="E555" s="632"/>
    </row>
    <row r="556" spans="1:5">
      <c r="A556" s="635"/>
      <c r="B556" s="632"/>
      <c r="C556" s="633"/>
      <c r="D556" s="632"/>
      <c r="E556" s="632"/>
    </row>
    <row r="557" spans="1:5" ht="18.75">
      <c r="A557" s="634" t="s">
        <v>454</v>
      </c>
      <c r="B557" s="632"/>
      <c r="C557" s="633"/>
      <c r="D557" s="632"/>
      <c r="E557" s="648">
        <f>E534+E554+E544+E541</f>
        <v>116.79</v>
      </c>
    </row>
    <row r="560" spans="1:5" ht="45">
      <c r="A560" s="626" t="s">
        <v>399</v>
      </c>
      <c r="B560" s="627"/>
      <c r="C560" s="627"/>
      <c r="D560" s="627"/>
      <c r="E560" s="627"/>
    </row>
    <row r="561" spans="1:5" ht="15">
      <c r="A561" s="627"/>
      <c r="B561" s="627" t="s">
        <v>286</v>
      </c>
      <c r="C561" s="627" t="s">
        <v>287</v>
      </c>
      <c r="D561" s="627" t="s">
        <v>288</v>
      </c>
      <c r="E561" s="627" t="s">
        <v>289</v>
      </c>
    </row>
    <row r="562" spans="1:5" ht="15">
      <c r="A562" s="628" t="s">
        <v>400</v>
      </c>
      <c r="B562" s="629">
        <v>1</v>
      </c>
      <c r="C562" s="630" t="s">
        <v>401</v>
      </c>
      <c r="D562" s="629">
        <v>75</v>
      </c>
      <c r="E562" s="629">
        <f>+B562*D562</f>
        <v>75</v>
      </c>
    </row>
    <row r="563" spans="1:5" ht="15">
      <c r="A563" s="628" t="s">
        <v>402</v>
      </c>
      <c r="B563" s="629">
        <v>20</v>
      </c>
      <c r="C563" s="630" t="s">
        <v>403</v>
      </c>
      <c r="D563" s="629">
        <v>19.22</v>
      </c>
      <c r="E563" s="629">
        <f>+B563*D563</f>
        <v>384.4</v>
      </c>
    </row>
    <row r="564" spans="1:5" ht="15">
      <c r="A564" s="628" t="s">
        <v>404</v>
      </c>
      <c r="B564" s="629">
        <v>1</v>
      </c>
      <c r="C564" s="630" t="s">
        <v>401</v>
      </c>
      <c r="D564" s="629">
        <f>+E557</f>
        <v>116.79</v>
      </c>
      <c r="E564" s="629">
        <f>+B564*D564</f>
        <v>116.79</v>
      </c>
    </row>
    <row r="565" spans="1:5" ht="15">
      <c r="A565" s="628" t="s">
        <v>405</v>
      </c>
      <c r="B565" s="629">
        <v>1</v>
      </c>
      <c r="C565" s="630" t="s">
        <v>401</v>
      </c>
      <c r="D565" s="629">
        <v>12</v>
      </c>
      <c r="E565" s="629">
        <f>+B565*D565</f>
        <v>12</v>
      </c>
    </row>
    <row r="566" spans="1:5" ht="15">
      <c r="A566" s="628" t="s">
        <v>406</v>
      </c>
      <c r="B566" s="629">
        <v>1</v>
      </c>
      <c r="C566" s="630" t="s">
        <v>401</v>
      </c>
      <c r="D566" s="629">
        <v>26.8</v>
      </c>
      <c r="E566" s="629">
        <f>+B566*D566</f>
        <v>26.8</v>
      </c>
    </row>
    <row r="567" spans="1:5" ht="15">
      <c r="A567" s="628" t="s">
        <v>398</v>
      </c>
      <c r="B567" s="629"/>
      <c r="C567" s="629"/>
      <c r="D567" s="629"/>
      <c r="E567" s="707">
        <f>SUM(E562:E566)</f>
        <v>614.99</v>
      </c>
    </row>
    <row r="570" spans="1:5" ht="13.5" thickBot="1">
      <c r="A570" s="751" t="s">
        <v>522</v>
      </c>
      <c r="B570" s="752"/>
      <c r="C570" s="753"/>
      <c r="D570" s="752"/>
      <c r="E570" s="752"/>
    </row>
    <row r="571" spans="1:5" ht="13.5" thickTop="1">
      <c r="A571" s="754" t="s">
        <v>121</v>
      </c>
      <c r="B571" s="755">
        <v>10</v>
      </c>
      <c r="C571" s="756" t="s">
        <v>120</v>
      </c>
      <c r="D571" s="755">
        <v>100</v>
      </c>
      <c r="E571" s="757">
        <f t="shared" ref="E571:E576" si="9">ROUND(B571*D571,2)</f>
        <v>1000</v>
      </c>
    </row>
    <row r="572" spans="1:5">
      <c r="A572" s="758" t="s">
        <v>523</v>
      </c>
      <c r="B572" s="759">
        <v>1</v>
      </c>
      <c r="C572" s="748" t="s">
        <v>148</v>
      </c>
      <c r="D572" s="759">
        <v>3500</v>
      </c>
      <c r="E572" s="760">
        <f t="shared" si="9"/>
        <v>3500</v>
      </c>
    </row>
    <row r="573" spans="1:5">
      <c r="A573" s="758" t="s">
        <v>524</v>
      </c>
      <c r="B573" s="759">
        <v>1</v>
      </c>
      <c r="C573" s="748" t="s">
        <v>148</v>
      </c>
      <c r="D573" s="759"/>
      <c r="E573" s="760">
        <f t="shared" si="9"/>
        <v>0</v>
      </c>
    </row>
    <row r="574" spans="1:5">
      <c r="A574" s="591" t="s">
        <v>525</v>
      </c>
      <c r="B574" s="759">
        <v>0.25</v>
      </c>
      <c r="C574" s="748" t="s">
        <v>148</v>
      </c>
      <c r="D574" s="759">
        <v>1977</v>
      </c>
      <c r="E574" s="760">
        <f t="shared" si="9"/>
        <v>494.25</v>
      </c>
    </row>
    <row r="575" spans="1:5">
      <c r="A575" s="591" t="s">
        <v>526</v>
      </c>
      <c r="B575" s="759">
        <v>1</v>
      </c>
      <c r="C575" s="748" t="s">
        <v>148</v>
      </c>
      <c r="D575" s="759">
        <f>659*4</f>
        <v>2636</v>
      </c>
      <c r="E575" s="760">
        <f t="shared" si="9"/>
        <v>2636</v>
      </c>
    </row>
    <row r="576" spans="1:5" ht="13.5" thickBot="1">
      <c r="A576" s="761" t="s">
        <v>527</v>
      </c>
      <c r="B576" s="762">
        <v>1</v>
      </c>
      <c r="C576" s="763" t="s">
        <v>148</v>
      </c>
      <c r="D576" s="762"/>
      <c r="E576" s="764">
        <f t="shared" si="9"/>
        <v>0</v>
      </c>
    </row>
    <row r="577" spans="1:5" ht="13.5" thickTop="1">
      <c r="A577" s="765" t="s">
        <v>297</v>
      </c>
      <c r="B577" s="766">
        <v>850</v>
      </c>
      <c r="C577" s="767" t="s">
        <v>528</v>
      </c>
      <c r="D577" s="768" t="s">
        <v>529</v>
      </c>
      <c r="E577" s="769">
        <f>SUM(E571:E576)</f>
        <v>7630.25</v>
      </c>
    </row>
    <row r="578" spans="1:5" ht="13.5" thickBot="1">
      <c r="A578" s="770"/>
      <c r="B578" s="771"/>
      <c r="C578" s="772"/>
      <c r="D578" s="773" t="s">
        <v>530</v>
      </c>
      <c r="E578" s="774">
        <f>E577/B577</f>
        <v>8.98</v>
      </c>
    </row>
    <row r="579" spans="1:5" ht="13.5" thickTop="1">
      <c r="A579" s="775"/>
      <c r="B579" s="775"/>
      <c r="C579" s="775"/>
      <c r="D579" s="775"/>
      <c r="E579" s="775"/>
    </row>
    <row r="580" spans="1:5">
      <c r="A580" s="776" t="s">
        <v>531</v>
      </c>
      <c r="B580" s="777"/>
      <c r="C580" s="748"/>
      <c r="D580" s="777"/>
      <c r="E580" s="777"/>
    </row>
    <row r="581" spans="1:5">
      <c r="A581" s="778" t="s">
        <v>532</v>
      </c>
      <c r="B581" s="778" t="s">
        <v>30</v>
      </c>
      <c r="C581" s="778" t="s">
        <v>533</v>
      </c>
      <c r="D581" s="778" t="s">
        <v>534</v>
      </c>
      <c r="E581" s="779" t="s">
        <v>535</v>
      </c>
    </row>
    <row r="582" spans="1:5">
      <c r="A582" s="758" t="s">
        <v>536</v>
      </c>
      <c r="B582" s="780">
        <v>4</v>
      </c>
      <c r="C582" s="748" t="s">
        <v>138</v>
      </c>
      <c r="D582" s="780">
        <v>253.67</v>
      </c>
      <c r="E582" s="781">
        <f>ROUND(B582*D582,2)</f>
        <v>1014.68</v>
      </c>
    </row>
    <row r="583" spans="1:5">
      <c r="A583" s="758" t="s">
        <v>537</v>
      </c>
      <c r="B583" s="780">
        <v>1</v>
      </c>
      <c r="C583" s="748" t="s">
        <v>148</v>
      </c>
      <c r="D583" s="780">
        <v>3500</v>
      </c>
      <c r="E583" s="781">
        <f>ROUND(B583*D583,2)</f>
        <v>3500</v>
      </c>
    </row>
    <row r="584" spans="1:5">
      <c r="A584" s="591" t="s">
        <v>538</v>
      </c>
      <c r="B584" s="780">
        <v>1</v>
      </c>
      <c r="C584" s="748" t="s">
        <v>148</v>
      </c>
      <c r="D584" s="780">
        <v>1977</v>
      </c>
      <c r="E584" s="781">
        <f>ROUND(B584*D584,2)</f>
        <v>1977</v>
      </c>
    </row>
    <row r="585" spans="1:5">
      <c r="A585" s="591" t="s">
        <v>526</v>
      </c>
      <c r="B585" s="780">
        <v>1</v>
      </c>
      <c r="C585" s="748" t="s">
        <v>148</v>
      </c>
      <c r="D585" s="780">
        <f>659*4</f>
        <v>2636</v>
      </c>
      <c r="E585" s="781">
        <f>ROUND(B585*D585,2)</f>
        <v>2636</v>
      </c>
    </row>
    <row r="586" spans="1:5" ht="25.5">
      <c r="A586" s="782" t="s">
        <v>539</v>
      </c>
      <c r="B586" s="780">
        <v>1</v>
      </c>
      <c r="C586" s="748" t="s">
        <v>148</v>
      </c>
      <c r="D586" s="780"/>
      <c r="E586" s="781">
        <f>ROUND(B586*D586,2)</f>
        <v>0</v>
      </c>
    </row>
    <row r="587" spans="1:5">
      <c r="A587" s="758" t="s">
        <v>297</v>
      </c>
      <c r="B587" s="780">
        <v>450</v>
      </c>
      <c r="C587" s="748" t="s">
        <v>528</v>
      </c>
      <c r="D587" s="749" t="s">
        <v>529</v>
      </c>
      <c r="E587" s="783">
        <f>SUM(E582:E586)</f>
        <v>9127.68</v>
      </c>
    </row>
    <row r="588" spans="1:5">
      <c r="A588" s="758"/>
      <c r="B588" s="777"/>
      <c r="C588" s="748"/>
      <c r="D588" s="749" t="s">
        <v>530</v>
      </c>
      <c r="E588" s="783">
        <f>E587/B587</f>
        <v>20.28</v>
      </c>
    </row>
    <row r="589" spans="1:5" ht="15">
      <c r="A589" s="596"/>
      <c r="B589" s="596"/>
      <c r="C589" s="748"/>
      <c r="D589" s="749" t="s">
        <v>530</v>
      </c>
      <c r="E589" s="750">
        <f>+(E578+E588)/2</f>
        <v>14.63</v>
      </c>
    </row>
  </sheetData>
  <customSheetViews>
    <customSheetView guid="{43BC9397-3E8C-478C-B548-E4A845A7F82B}">
      <pageMargins left="0.7" right="0.7" top="0.75" bottom="0.75" header="0.3" footer="0.3"/>
      <pageSetup paperSize="9" orientation="portrait" r:id="rId1"/>
    </customSheetView>
  </customSheetViews>
  <mergeCells count="39">
    <mergeCell ref="C56:D56"/>
    <mergeCell ref="A8:E8"/>
    <mergeCell ref="C23:D23"/>
    <mergeCell ref="C29:D29"/>
    <mergeCell ref="C38:D38"/>
    <mergeCell ref="C47:D47"/>
    <mergeCell ref="C146:D146"/>
    <mergeCell ref="C62:D62"/>
    <mergeCell ref="C71:D71"/>
    <mergeCell ref="C79:D79"/>
    <mergeCell ref="C86:D86"/>
    <mergeCell ref="C93:D93"/>
    <mergeCell ref="C101:D101"/>
    <mergeCell ref="C110:D110"/>
    <mergeCell ref="C118:D118"/>
    <mergeCell ref="C127:D127"/>
    <mergeCell ref="C134:D134"/>
    <mergeCell ref="C140:D140"/>
    <mergeCell ref="C271:D271"/>
    <mergeCell ref="C152:D152"/>
    <mergeCell ref="C162:D162"/>
    <mergeCell ref="C173:D173"/>
    <mergeCell ref="A199:E199"/>
    <mergeCell ref="A210:E210"/>
    <mergeCell ref="C226:D226"/>
    <mergeCell ref="C227:D227"/>
    <mergeCell ref="A230:E230"/>
    <mergeCell ref="C234:D234"/>
    <mergeCell ref="C240:D240"/>
    <mergeCell ref="C248:D248"/>
    <mergeCell ref="A426:C426"/>
    <mergeCell ref="C449:D449"/>
    <mergeCell ref="A509:E509"/>
    <mergeCell ref="A273:E273"/>
    <mergeCell ref="B289:D289"/>
    <mergeCell ref="C397:D397"/>
    <mergeCell ref="A400:E400"/>
    <mergeCell ref="A424:C424"/>
    <mergeCell ref="A425:C425"/>
  </mergeCell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
  <sheetViews>
    <sheetView workbookViewId="0"/>
  </sheetViews>
  <sheetFormatPr baseColWidth="10" defaultColWidth="11.42578125" defaultRowHeight="12.75"/>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4:D27"/>
  <sheetViews>
    <sheetView workbookViewId="0"/>
  </sheetViews>
  <sheetFormatPr baseColWidth="10" defaultColWidth="11.42578125" defaultRowHeight="12.75"/>
  <cols>
    <col min="3" max="3" width="26.85546875" bestFit="1" customWidth="1"/>
    <col min="4" max="4" width="11.28515625" bestFit="1" customWidth="1"/>
  </cols>
  <sheetData>
    <row r="4" spans="2:4" s="1043" customFormat="1" ht="20.100000000000001" customHeight="1">
      <c r="B4" s="1044" t="s">
        <v>984</v>
      </c>
      <c r="C4" s="1044" t="s">
        <v>985</v>
      </c>
      <c r="D4" s="1044" t="s">
        <v>986</v>
      </c>
    </row>
    <row r="5" spans="2:4">
      <c r="B5" s="1042" t="s">
        <v>0</v>
      </c>
      <c r="C5" s="1041" t="s">
        <v>988</v>
      </c>
      <c r="D5" s="504"/>
    </row>
    <row r="6" spans="2:4">
      <c r="B6" s="1042" t="s">
        <v>0</v>
      </c>
      <c r="C6" s="1041" t="s">
        <v>987</v>
      </c>
      <c r="D6" s="504"/>
    </row>
    <row r="7" spans="2:4">
      <c r="B7" s="1042" t="s">
        <v>0</v>
      </c>
      <c r="C7" s="1041" t="s">
        <v>989</v>
      </c>
      <c r="D7" s="504"/>
    </row>
    <row r="9" spans="2:4">
      <c r="B9" s="1042" t="s">
        <v>10</v>
      </c>
      <c r="C9" s="1041" t="s">
        <v>988</v>
      </c>
      <c r="D9" s="504"/>
    </row>
    <row r="10" spans="2:4">
      <c r="B10" s="219" t="s">
        <v>10</v>
      </c>
      <c r="C10" s="1041" t="s">
        <v>990</v>
      </c>
      <c r="D10" s="504"/>
    </row>
    <row r="11" spans="2:4">
      <c r="B11" s="1042" t="s">
        <v>10</v>
      </c>
      <c r="C11" s="1041" t="s">
        <v>987</v>
      </c>
      <c r="D11" s="504"/>
    </row>
    <row r="12" spans="2:4">
      <c r="B12" s="1042" t="s">
        <v>10</v>
      </c>
      <c r="C12" s="1041" t="s">
        <v>989</v>
      </c>
      <c r="D12" s="504"/>
    </row>
    <row r="13" spans="2:4">
      <c r="B13" s="205" t="s">
        <v>10</v>
      </c>
      <c r="C13" s="1041" t="s">
        <v>991</v>
      </c>
      <c r="D13" s="504"/>
    </row>
    <row r="15" spans="2:4">
      <c r="B15" s="205" t="s">
        <v>997</v>
      </c>
      <c r="C15" s="1041" t="s">
        <v>992</v>
      </c>
      <c r="D15" s="504">
        <v>26</v>
      </c>
    </row>
    <row r="16" spans="2:4">
      <c r="B16" s="205" t="s">
        <v>997</v>
      </c>
      <c r="C16" s="1041" t="s">
        <v>988</v>
      </c>
      <c r="D16" s="504"/>
    </row>
    <row r="17" spans="2:4">
      <c r="B17" s="205" t="s">
        <v>997</v>
      </c>
      <c r="C17" s="1041" t="s">
        <v>995</v>
      </c>
      <c r="D17" s="504"/>
    </row>
    <row r="18" spans="2:4">
      <c r="B18" s="205" t="s">
        <v>997</v>
      </c>
      <c r="C18" s="1041" t="s">
        <v>987</v>
      </c>
      <c r="D18" s="504"/>
    </row>
    <row r="19" spans="2:4">
      <c r="B19" s="205" t="s">
        <v>997</v>
      </c>
      <c r="C19" s="1041" t="s">
        <v>996</v>
      </c>
      <c r="D19" s="504"/>
    </row>
    <row r="20" spans="2:4">
      <c r="B20" s="205" t="s">
        <v>997</v>
      </c>
      <c r="C20" s="1041" t="s">
        <v>1002</v>
      </c>
      <c r="D20" s="504"/>
    </row>
    <row r="21" spans="2:4">
      <c r="B21" s="205" t="s">
        <v>546</v>
      </c>
      <c r="C21" s="1041" t="s">
        <v>992</v>
      </c>
      <c r="D21" s="504" t="s">
        <v>1006</v>
      </c>
    </row>
    <row r="22" spans="2:4">
      <c r="B22" s="205" t="s">
        <v>546</v>
      </c>
      <c r="C22" s="1041" t="s">
        <v>988</v>
      </c>
      <c r="D22" s="504"/>
    </row>
    <row r="23" spans="2:4">
      <c r="B23" s="205" t="s">
        <v>546</v>
      </c>
      <c r="C23" s="1041" t="s">
        <v>995</v>
      </c>
      <c r="D23" s="504"/>
    </row>
    <row r="24" spans="2:4">
      <c r="B24" s="205" t="s">
        <v>546</v>
      </c>
      <c r="C24" s="1041" t="s">
        <v>987</v>
      </c>
      <c r="D24" s="504" t="s">
        <v>1007</v>
      </c>
    </row>
    <row r="25" spans="2:4">
      <c r="B25" s="205" t="s">
        <v>546</v>
      </c>
      <c r="C25" s="1041" t="s">
        <v>996</v>
      </c>
      <c r="D25" s="504"/>
    </row>
    <row r="26" spans="2:4">
      <c r="B26" s="205" t="s">
        <v>546</v>
      </c>
      <c r="C26" s="1041" t="s">
        <v>989</v>
      </c>
      <c r="D26" s="504"/>
    </row>
    <row r="27" spans="2:4">
      <c r="B27" s="205" t="s">
        <v>546</v>
      </c>
      <c r="C27" s="1041" t="s">
        <v>991</v>
      </c>
      <c r="D27" s="504"/>
    </row>
  </sheetData>
  <customSheetViews>
    <customSheetView guid="{43BC9397-3E8C-478C-B548-E4A845A7F82B}" showPageBreaks="1" printArea="1" state="hidden">
      <pageMargins left="0.7" right="0.7" top="0.75" bottom="0.75" header="0.3" footer="0.3"/>
      <pageSetup orientation="portrait" r:id="rId1"/>
    </customSheetView>
  </customSheetView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Z167"/>
  <sheetViews>
    <sheetView topLeftCell="A117" workbookViewId="0">
      <selection activeCell="I137" sqref="I137"/>
    </sheetView>
  </sheetViews>
  <sheetFormatPr baseColWidth="10" defaultColWidth="11.42578125" defaultRowHeight="12.75"/>
  <cols>
    <col min="1" max="1" width="7.5703125" style="3581" customWidth="1"/>
    <col min="2" max="2" width="8" style="3581" customWidth="1"/>
    <col min="3" max="3" width="8.7109375" style="3581" customWidth="1"/>
    <col min="4" max="4" width="8.28515625" style="3581" customWidth="1"/>
    <col min="5" max="5" width="11" style="3581" customWidth="1"/>
    <col min="6" max="6" width="9.7109375" style="3581" customWidth="1"/>
    <col min="7" max="7" width="9.85546875" style="3581" customWidth="1"/>
    <col min="8" max="8" width="9.5703125" style="3581" customWidth="1"/>
    <col min="9" max="9" width="11.42578125" style="3581"/>
    <col min="10" max="10" width="8.140625" style="3581" customWidth="1"/>
    <col min="11" max="11" width="9.28515625" style="3581" customWidth="1"/>
    <col min="12" max="12" width="10.28515625" style="3581" customWidth="1"/>
    <col min="13" max="13" width="11.85546875" style="3581" bestFit="1" customWidth="1"/>
    <col min="14" max="14" width="9.5703125" style="3581" customWidth="1"/>
    <col min="15" max="18" width="11.5703125" style="3581" bestFit="1" customWidth="1"/>
    <col min="19" max="19" width="13.7109375" style="3581" customWidth="1"/>
    <col min="20" max="20" width="13.5703125" style="3581" customWidth="1"/>
    <col min="21" max="22" width="11.42578125" style="3581"/>
    <col min="23" max="23" width="9.42578125" style="3581" customWidth="1"/>
    <col min="24" max="24" width="10" style="3581" customWidth="1"/>
    <col min="25" max="256" width="11.42578125" style="3581"/>
    <col min="257" max="257" width="7.5703125" style="3581" customWidth="1"/>
    <col min="258" max="258" width="8" style="3581" customWidth="1"/>
    <col min="259" max="259" width="8.7109375" style="3581" customWidth="1"/>
    <col min="260" max="260" width="8.28515625" style="3581" customWidth="1"/>
    <col min="261" max="261" width="11" style="3581" customWidth="1"/>
    <col min="262" max="262" width="9.7109375" style="3581" customWidth="1"/>
    <col min="263" max="263" width="9.85546875" style="3581" customWidth="1"/>
    <col min="264" max="264" width="9.5703125" style="3581" customWidth="1"/>
    <col min="265" max="265" width="11.42578125" style="3581"/>
    <col min="266" max="266" width="8.140625" style="3581" customWidth="1"/>
    <col min="267" max="267" width="9.28515625" style="3581" customWidth="1"/>
    <col min="268" max="268" width="10.28515625" style="3581" customWidth="1"/>
    <col min="269" max="269" width="11.85546875" style="3581" bestFit="1" customWidth="1"/>
    <col min="270" max="270" width="9.5703125" style="3581" customWidth="1"/>
    <col min="271" max="274" width="11.5703125" style="3581" bestFit="1" customWidth="1"/>
    <col min="275" max="275" width="13.7109375" style="3581" customWidth="1"/>
    <col min="276" max="276" width="13.5703125" style="3581" customWidth="1"/>
    <col min="277" max="278" width="11.42578125" style="3581"/>
    <col min="279" max="279" width="9.42578125" style="3581" customWidth="1"/>
    <col min="280" max="280" width="10" style="3581" customWidth="1"/>
    <col min="281" max="512" width="11.42578125" style="3581"/>
    <col min="513" max="513" width="7.5703125" style="3581" customWidth="1"/>
    <col min="514" max="514" width="8" style="3581" customWidth="1"/>
    <col min="515" max="515" width="8.7109375" style="3581" customWidth="1"/>
    <col min="516" max="516" width="8.28515625" style="3581" customWidth="1"/>
    <col min="517" max="517" width="11" style="3581" customWidth="1"/>
    <col min="518" max="518" width="9.7109375" style="3581" customWidth="1"/>
    <col min="519" max="519" width="9.85546875" style="3581" customWidth="1"/>
    <col min="520" max="520" width="9.5703125" style="3581" customWidth="1"/>
    <col min="521" max="521" width="11.42578125" style="3581"/>
    <col min="522" max="522" width="8.140625" style="3581" customWidth="1"/>
    <col min="523" max="523" width="9.28515625" style="3581" customWidth="1"/>
    <col min="524" max="524" width="10.28515625" style="3581" customWidth="1"/>
    <col min="525" max="525" width="11.85546875" style="3581" bestFit="1" customWidth="1"/>
    <col min="526" max="526" width="9.5703125" style="3581" customWidth="1"/>
    <col min="527" max="530" width="11.5703125" style="3581" bestFit="1" customWidth="1"/>
    <col min="531" max="531" width="13.7109375" style="3581" customWidth="1"/>
    <col min="532" max="532" width="13.5703125" style="3581" customWidth="1"/>
    <col min="533" max="534" width="11.42578125" style="3581"/>
    <col min="535" max="535" width="9.42578125" style="3581" customWidth="1"/>
    <col min="536" max="536" width="10" style="3581" customWidth="1"/>
    <col min="537" max="768" width="11.42578125" style="3581"/>
    <col min="769" max="769" width="7.5703125" style="3581" customWidth="1"/>
    <col min="770" max="770" width="8" style="3581" customWidth="1"/>
    <col min="771" max="771" width="8.7109375" style="3581" customWidth="1"/>
    <col min="772" max="772" width="8.28515625" style="3581" customWidth="1"/>
    <col min="773" max="773" width="11" style="3581" customWidth="1"/>
    <col min="774" max="774" width="9.7109375" style="3581" customWidth="1"/>
    <col min="775" max="775" width="9.85546875" style="3581" customWidth="1"/>
    <col min="776" max="776" width="9.5703125" style="3581" customWidth="1"/>
    <col min="777" max="777" width="11.42578125" style="3581"/>
    <col min="778" max="778" width="8.140625" style="3581" customWidth="1"/>
    <col min="779" max="779" width="9.28515625" style="3581" customWidth="1"/>
    <col min="780" max="780" width="10.28515625" style="3581" customWidth="1"/>
    <col min="781" max="781" width="11.85546875" style="3581" bestFit="1" customWidth="1"/>
    <col min="782" max="782" width="9.5703125" style="3581" customWidth="1"/>
    <col min="783" max="786" width="11.5703125" style="3581" bestFit="1" customWidth="1"/>
    <col min="787" max="787" width="13.7109375" style="3581" customWidth="1"/>
    <col min="788" max="788" width="13.5703125" style="3581" customWidth="1"/>
    <col min="789" max="790" width="11.42578125" style="3581"/>
    <col min="791" max="791" width="9.42578125" style="3581" customWidth="1"/>
    <col min="792" max="792" width="10" style="3581" customWidth="1"/>
    <col min="793" max="1024" width="11.42578125" style="3581"/>
    <col min="1025" max="1025" width="7.5703125" style="3581" customWidth="1"/>
    <col min="1026" max="1026" width="8" style="3581" customWidth="1"/>
    <col min="1027" max="1027" width="8.7109375" style="3581" customWidth="1"/>
    <col min="1028" max="1028" width="8.28515625" style="3581" customWidth="1"/>
    <col min="1029" max="1029" width="11" style="3581" customWidth="1"/>
    <col min="1030" max="1030" width="9.7109375" style="3581" customWidth="1"/>
    <col min="1031" max="1031" width="9.85546875" style="3581" customWidth="1"/>
    <col min="1032" max="1032" width="9.5703125" style="3581" customWidth="1"/>
    <col min="1033" max="1033" width="11.42578125" style="3581"/>
    <col min="1034" max="1034" width="8.140625" style="3581" customWidth="1"/>
    <col min="1035" max="1035" width="9.28515625" style="3581" customWidth="1"/>
    <col min="1036" max="1036" width="10.28515625" style="3581" customWidth="1"/>
    <col min="1037" max="1037" width="11.85546875" style="3581" bestFit="1" customWidth="1"/>
    <col min="1038" max="1038" width="9.5703125" style="3581" customWidth="1"/>
    <col min="1039" max="1042" width="11.5703125" style="3581" bestFit="1" customWidth="1"/>
    <col min="1043" max="1043" width="13.7109375" style="3581" customWidth="1"/>
    <col min="1044" max="1044" width="13.5703125" style="3581" customWidth="1"/>
    <col min="1045" max="1046" width="11.42578125" style="3581"/>
    <col min="1047" max="1047" width="9.42578125" style="3581" customWidth="1"/>
    <col min="1048" max="1048" width="10" style="3581" customWidth="1"/>
    <col min="1049" max="1280" width="11.42578125" style="3581"/>
    <col min="1281" max="1281" width="7.5703125" style="3581" customWidth="1"/>
    <col min="1282" max="1282" width="8" style="3581" customWidth="1"/>
    <col min="1283" max="1283" width="8.7109375" style="3581" customWidth="1"/>
    <col min="1284" max="1284" width="8.28515625" style="3581" customWidth="1"/>
    <col min="1285" max="1285" width="11" style="3581" customWidth="1"/>
    <col min="1286" max="1286" width="9.7109375" style="3581" customWidth="1"/>
    <col min="1287" max="1287" width="9.85546875" style="3581" customWidth="1"/>
    <col min="1288" max="1288" width="9.5703125" style="3581" customWidth="1"/>
    <col min="1289" max="1289" width="11.42578125" style="3581"/>
    <col min="1290" max="1290" width="8.140625" style="3581" customWidth="1"/>
    <col min="1291" max="1291" width="9.28515625" style="3581" customWidth="1"/>
    <col min="1292" max="1292" width="10.28515625" style="3581" customWidth="1"/>
    <col min="1293" max="1293" width="11.85546875" style="3581" bestFit="1" customWidth="1"/>
    <col min="1294" max="1294" width="9.5703125" style="3581" customWidth="1"/>
    <col min="1295" max="1298" width="11.5703125" style="3581" bestFit="1" customWidth="1"/>
    <col min="1299" max="1299" width="13.7109375" style="3581" customWidth="1"/>
    <col min="1300" max="1300" width="13.5703125" style="3581" customWidth="1"/>
    <col min="1301" max="1302" width="11.42578125" style="3581"/>
    <col min="1303" max="1303" width="9.42578125" style="3581" customWidth="1"/>
    <col min="1304" max="1304" width="10" style="3581" customWidth="1"/>
    <col min="1305" max="1536" width="11.42578125" style="3581"/>
    <col min="1537" max="1537" width="7.5703125" style="3581" customWidth="1"/>
    <col min="1538" max="1538" width="8" style="3581" customWidth="1"/>
    <col min="1539" max="1539" width="8.7109375" style="3581" customWidth="1"/>
    <col min="1540" max="1540" width="8.28515625" style="3581" customWidth="1"/>
    <col min="1541" max="1541" width="11" style="3581" customWidth="1"/>
    <col min="1542" max="1542" width="9.7109375" style="3581" customWidth="1"/>
    <col min="1543" max="1543" width="9.85546875" style="3581" customWidth="1"/>
    <col min="1544" max="1544" width="9.5703125" style="3581" customWidth="1"/>
    <col min="1545" max="1545" width="11.42578125" style="3581"/>
    <col min="1546" max="1546" width="8.140625" style="3581" customWidth="1"/>
    <col min="1547" max="1547" width="9.28515625" style="3581" customWidth="1"/>
    <col min="1548" max="1548" width="10.28515625" style="3581" customWidth="1"/>
    <col min="1549" max="1549" width="11.85546875" style="3581" bestFit="1" customWidth="1"/>
    <col min="1550" max="1550" width="9.5703125" style="3581" customWidth="1"/>
    <col min="1551" max="1554" width="11.5703125" style="3581" bestFit="1" customWidth="1"/>
    <col min="1555" max="1555" width="13.7109375" style="3581" customWidth="1"/>
    <col min="1556" max="1556" width="13.5703125" style="3581" customWidth="1"/>
    <col min="1557" max="1558" width="11.42578125" style="3581"/>
    <col min="1559" max="1559" width="9.42578125" style="3581" customWidth="1"/>
    <col min="1560" max="1560" width="10" style="3581" customWidth="1"/>
    <col min="1561" max="1792" width="11.42578125" style="3581"/>
    <col min="1793" max="1793" width="7.5703125" style="3581" customWidth="1"/>
    <col min="1794" max="1794" width="8" style="3581" customWidth="1"/>
    <col min="1795" max="1795" width="8.7109375" style="3581" customWidth="1"/>
    <col min="1796" max="1796" width="8.28515625" style="3581" customWidth="1"/>
    <col min="1797" max="1797" width="11" style="3581" customWidth="1"/>
    <col min="1798" max="1798" width="9.7109375" style="3581" customWidth="1"/>
    <col min="1799" max="1799" width="9.85546875" style="3581" customWidth="1"/>
    <col min="1800" max="1800" width="9.5703125" style="3581" customWidth="1"/>
    <col min="1801" max="1801" width="11.42578125" style="3581"/>
    <col min="1802" max="1802" width="8.140625" style="3581" customWidth="1"/>
    <col min="1803" max="1803" width="9.28515625" style="3581" customWidth="1"/>
    <col min="1804" max="1804" width="10.28515625" style="3581" customWidth="1"/>
    <col min="1805" max="1805" width="11.85546875" style="3581" bestFit="1" customWidth="1"/>
    <col min="1806" max="1806" width="9.5703125" style="3581" customWidth="1"/>
    <col min="1807" max="1810" width="11.5703125" style="3581" bestFit="1" customWidth="1"/>
    <col min="1811" max="1811" width="13.7109375" style="3581" customWidth="1"/>
    <col min="1812" max="1812" width="13.5703125" style="3581" customWidth="1"/>
    <col min="1813" max="1814" width="11.42578125" style="3581"/>
    <col min="1815" max="1815" width="9.42578125" style="3581" customWidth="1"/>
    <col min="1816" max="1816" width="10" style="3581" customWidth="1"/>
    <col min="1817" max="2048" width="11.42578125" style="3581"/>
    <col min="2049" max="2049" width="7.5703125" style="3581" customWidth="1"/>
    <col min="2050" max="2050" width="8" style="3581" customWidth="1"/>
    <col min="2051" max="2051" width="8.7109375" style="3581" customWidth="1"/>
    <col min="2052" max="2052" width="8.28515625" style="3581" customWidth="1"/>
    <col min="2053" max="2053" width="11" style="3581" customWidth="1"/>
    <col min="2054" max="2054" width="9.7109375" style="3581" customWidth="1"/>
    <col min="2055" max="2055" width="9.85546875" style="3581" customWidth="1"/>
    <col min="2056" max="2056" width="9.5703125" style="3581" customWidth="1"/>
    <col min="2057" max="2057" width="11.42578125" style="3581"/>
    <col min="2058" max="2058" width="8.140625" style="3581" customWidth="1"/>
    <col min="2059" max="2059" width="9.28515625" style="3581" customWidth="1"/>
    <col min="2060" max="2060" width="10.28515625" style="3581" customWidth="1"/>
    <col min="2061" max="2061" width="11.85546875" style="3581" bestFit="1" customWidth="1"/>
    <col min="2062" max="2062" width="9.5703125" style="3581" customWidth="1"/>
    <col min="2063" max="2066" width="11.5703125" style="3581" bestFit="1" customWidth="1"/>
    <col min="2067" max="2067" width="13.7109375" style="3581" customWidth="1"/>
    <col min="2068" max="2068" width="13.5703125" style="3581" customWidth="1"/>
    <col min="2069" max="2070" width="11.42578125" style="3581"/>
    <col min="2071" max="2071" width="9.42578125" style="3581" customWidth="1"/>
    <col min="2072" max="2072" width="10" style="3581" customWidth="1"/>
    <col min="2073" max="2304" width="11.42578125" style="3581"/>
    <col min="2305" max="2305" width="7.5703125" style="3581" customWidth="1"/>
    <col min="2306" max="2306" width="8" style="3581" customWidth="1"/>
    <col min="2307" max="2307" width="8.7109375" style="3581" customWidth="1"/>
    <col min="2308" max="2308" width="8.28515625" style="3581" customWidth="1"/>
    <col min="2309" max="2309" width="11" style="3581" customWidth="1"/>
    <col min="2310" max="2310" width="9.7109375" style="3581" customWidth="1"/>
    <col min="2311" max="2311" width="9.85546875" style="3581" customWidth="1"/>
    <col min="2312" max="2312" width="9.5703125" style="3581" customWidth="1"/>
    <col min="2313" max="2313" width="11.42578125" style="3581"/>
    <col min="2314" max="2314" width="8.140625" style="3581" customWidth="1"/>
    <col min="2315" max="2315" width="9.28515625" style="3581" customWidth="1"/>
    <col min="2316" max="2316" width="10.28515625" style="3581" customWidth="1"/>
    <col min="2317" max="2317" width="11.85546875" style="3581" bestFit="1" customWidth="1"/>
    <col min="2318" max="2318" width="9.5703125" style="3581" customWidth="1"/>
    <col min="2319" max="2322" width="11.5703125" style="3581" bestFit="1" customWidth="1"/>
    <col min="2323" max="2323" width="13.7109375" style="3581" customWidth="1"/>
    <col min="2324" max="2324" width="13.5703125" style="3581" customWidth="1"/>
    <col min="2325" max="2326" width="11.42578125" style="3581"/>
    <col min="2327" max="2327" width="9.42578125" style="3581" customWidth="1"/>
    <col min="2328" max="2328" width="10" style="3581" customWidth="1"/>
    <col min="2329" max="2560" width="11.42578125" style="3581"/>
    <col min="2561" max="2561" width="7.5703125" style="3581" customWidth="1"/>
    <col min="2562" max="2562" width="8" style="3581" customWidth="1"/>
    <col min="2563" max="2563" width="8.7109375" style="3581" customWidth="1"/>
    <col min="2564" max="2564" width="8.28515625" style="3581" customWidth="1"/>
    <col min="2565" max="2565" width="11" style="3581" customWidth="1"/>
    <col min="2566" max="2566" width="9.7109375" style="3581" customWidth="1"/>
    <col min="2567" max="2567" width="9.85546875" style="3581" customWidth="1"/>
    <col min="2568" max="2568" width="9.5703125" style="3581" customWidth="1"/>
    <col min="2569" max="2569" width="11.42578125" style="3581"/>
    <col min="2570" max="2570" width="8.140625" style="3581" customWidth="1"/>
    <col min="2571" max="2571" width="9.28515625" style="3581" customWidth="1"/>
    <col min="2572" max="2572" width="10.28515625" style="3581" customWidth="1"/>
    <col min="2573" max="2573" width="11.85546875" style="3581" bestFit="1" customWidth="1"/>
    <col min="2574" max="2574" width="9.5703125" style="3581" customWidth="1"/>
    <col min="2575" max="2578" width="11.5703125" style="3581" bestFit="1" customWidth="1"/>
    <col min="2579" max="2579" width="13.7109375" style="3581" customWidth="1"/>
    <col min="2580" max="2580" width="13.5703125" style="3581" customWidth="1"/>
    <col min="2581" max="2582" width="11.42578125" style="3581"/>
    <col min="2583" max="2583" width="9.42578125" style="3581" customWidth="1"/>
    <col min="2584" max="2584" width="10" style="3581" customWidth="1"/>
    <col min="2585" max="2816" width="11.42578125" style="3581"/>
    <col min="2817" max="2817" width="7.5703125" style="3581" customWidth="1"/>
    <col min="2818" max="2818" width="8" style="3581" customWidth="1"/>
    <col min="2819" max="2819" width="8.7109375" style="3581" customWidth="1"/>
    <col min="2820" max="2820" width="8.28515625" style="3581" customWidth="1"/>
    <col min="2821" max="2821" width="11" style="3581" customWidth="1"/>
    <col min="2822" max="2822" width="9.7109375" style="3581" customWidth="1"/>
    <col min="2823" max="2823" width="9.85546875" style="3581" customWidth="1"/>
    <col min="2824" max="2824" width="9.5703125" style="3581" customWidth="1"/>
    <col min="2825" max="2825" width="11.42578125" style="3581"/>
    <col min="2826" max="2826" width="8.140625" style="3581" customWidth="1"/>
    <col min="2827" max="2827" width="9.28515625" style="3581" customWidth="1"/>
    <col min="2828" max="2828" width="10.28515625" style="3581" customWidth="1"/>
    <col min="2829" max="2829" width="11.85546875" style="3581" bestFit="1" customWidth="1"/>
    <col min="2830" max="2830" width="9.5703125" style="3581" customWidth="1"/>
    <col min="2831" max="2834" width="11.5703125" style="3581" bestFit="1" customWidth="1"/>
    <col min="2835" max="2835" width="13.7109375" style="3581" customWidth="1"/>
    <col min="2836" max="2836" width="13.5703125" style="3581" customWidth="1"/>
    <col min="2837" max="2838" width="11.42578125" style="3581"/>
    <col min="2839" max="2839" width="9.42578125" style="3581" customWidth="1"/>
    <col min="2840" max="2840" width="10" style="3581" customWidth="1"/>
    <col min="2841" max="3072" width="11.42578125" style="3581"/>
    <col min="3073" max="3073" width="7.5703125" style="3581" customWidth="1"/>
    <col min="3074" max="3074" width="8" style="3581" customWidth="1"/>
    <col min="3075" max="3075" width="8.7109375" style="3581" customWidth="1"/>
    <col min="3076" max="3076" width="8.28515625" style="3581" customWidth="1"/>
    <col min="3077" max="3077" width="11" style="3581" customWidth="1"/>
    <col min="3078" max="3078" width="9.7109375" style="3581" customWidth="1"/>
    <col min="3079" max="3079" width="9.85546875" style="3581" customWidth="1"/>
    <col min="3080" max="3080" width="9.5703125" style="3581" customWidth="1"/>
    <col min="3081" max="3081" width="11.42578125" style="3581"/>
    <col min="3082" max="3082" width="8.140625" style="3581" customWidth="1"/>
    <col min="3083" max="3083" width="9.28515625" style="3581" customWidth="1"/>
    <col min="3084" max="3084" width="10.28515625" style="3581" customWidth="1"/>
    <col min="3085" max="3085" width="11.85546875" style="3581" bestFit="1" customWidth="1"/>
    <col min="3086" max="3086" width="9.5703125" style="3581" customWidth="1"/>
    <col min="3087" max="3090" width="11.5703125" style="3581" bestFit="1" customWidth="1"/>
    <col min="3091" max="3091" width="13.7109375" style="3581" customWidth="1"/>
    <col min="3092" max="3092" width="13.5703125" style="3581" customWidth="1"/>
    <col min="3093" max="3094" width="11.42578125" style="3581"/>
    <col min="3095" max="3095" width="9.42578125" style="3581" customWidth="1"/>
    <col min="3096" max="3096" width="10" style="3581" customWidth="1"/>
    <col min="3097" max="3328" width="11.42578125" style="3581"/>
    <col min="3329" max="3329" width="7.5703125" style="3581" customWidth="1"/>
    <col min="3330" max="3330" width="8" style="3581" customWidth="1"/>
    <col min="3331" max="3331" width="8.7109375" style="3581" customWidth="1"/>
    <col min="3332" max="3332" width="8.28515625" style="3581" customWidth="1"/>
    <col min="3333" max="3333" width="11" style="3581" customWidth="1"/>
    <col min="3334" max="3334" width="9.7109375" style="3581" customWidth="1"/>
    <col min="3335" max="3335" width="9.85546875" style="3581" customWidth="1"/>
    <col min="3336" max="3336" width="9.5703125" style="3581" customWidth="1"/>
    <col min="3337" max="3337" width="11.42578125" style="3581"/>
    <col min="3338" max="3338" width="8.140625" style="3581" customWidth="1"/>
    <col min="3339" max="3339" width="9.28515625" style="3581" customWidth="1"/>
    <col min="3340" max="3340" width="10.28515625" style="3581" customWidth="1"/>
    <col min="3341" max="3341" width="11.85546875" style="3581" bestFit="1" customWidth="1"/>
    <col min="3342" max="3342" width="9.5703125" style="3581" customWidth="1"/>
    <col min="3343" max="3346" width="11.5703125" style="3581" bestFit="1" customWidth="1"/>
    <col min="3347" max="3347" width="13.7109375" style="3581" customWidth="1"/>
    <col min="3348" max="3348" width="13.5703125" style="3581" customWidth="1"/>
    <col min="3349" max="3350" width="11.42578125" style="3581"/>
    <col min="3351" max="3351" width="9.42578125" style="3581" customWidth="1"/>
    <col min="3352" max="3352" width="10" style="3581" customWidth="1"/>
    <col min="3353" max="3584" width="11.42578125" style="3581"/>
    <col min="3585" max="3585" width="7.5703125" style="3581" customWidth="1"/>
    <col min="3586" max="3586" width="8" style="3581" customWidth="1"/>
    <col min="3587" max="3587" width="8.7109375" style="3581" customWidth="1"/>
    <col min="3588" max="3588" width="8.28515625" style="3581" customWidth="1"/>
    <col min="3589" max="3589" width="11" style="3581" customWidth="1"/>
    <col min="3590" max="3590" width="9.7109375" style="3581" customWidth="1"/>
    <col min="3591" max="3591" width="9.85546875" style="3581" customWidth="1"/>
    <col min="3592" max="3592" width="9.5703125" style="3581" customWidth="1"/>
    <col min="3593" max="3593" width="11.42578125" style="3581"/>
    <col min="3594" max="3594" width="8.140625" style="3581" customWidth="1"/>
    <col min="3595" max="3595" width="9.28515625" style="3581" customWidth="1"/>
    <col min="3596" max="3596" width="10.28515625" style="3581" customWidth="1"/>
    <col min="3597" max="3597" width="11.85546875" style="3581" bestFit="1" customWidth="1"/>
    <col min="3598" max="3598" width="9.5703125" style="3581" customWidth="1"/>
    <col min="3599" max="3602" width="11.5703125" style="3581" bestFit="1" customWidth="1"/>
    <col min="3603" max="3603" width="13.7109375" style="3581" customWidth="1"/>
    <col min="3604" max="3604" width="13.5703125" style="3581" customWidth="1"/>
    <col min="3605" max="3606" width="11.42578125" style="3581"/>
    <col min="3607" max="3607" width="9.42578125" style="3581" customWidth="1"/>
    <col min="3608" max="3608" width="10" style="3581" customWidth="1"/>
    <col min="3609" max="3840" width="11.42578125" style="3581"/>
    <col min="3841" max="3841" width="7.5703125" style="3581" customWidth="1"/>
    <col min="3842" max="3842" width="8" style="3581" customWidth="1"/>
    <col min="3843" max="3843" width="8.7109375" style="3581" customWidth="1"/>
    <col min="3844" max="3844" width="8.28515625" style="3581" customWidth="1"/>
    <col min="3845" max="3845" width="11" style="3581" customWidth="1"/>
    <col min="3846" max="3846" width="9.7109375" style="3581" customWidth="1"/>
    <col min="3847" max="3847" width="9.85546875" style="3581" customWidth="1"/>
    <col min="3848" max="3848" width="9.5703125" style="3581" customWidth="1"/>
    <col min="3849" max="3849" width="11.42578125" style="3581"/>
    <col min="3850" max="3850" width="8.140625" style="3581" customWidth="1"/>
    <col min="3851" max="3851" width="9.28515625" style="3581" customWidth="1"/>
    <col min="3852" max="3852" width="10.28515625" style="3581" customWidth="1"/>
    <col min="3853" max="3853" width="11.85546875" style="3581" bestFit="1" customWidth="1"/>
    <col min="3854" max="3854" width="9.5703125" style="3581" customWidth="1"/>
    <col min="3855" max="3858" width="11.5703125" style="3581" bestFit="1" customWidth="1"/>
    <col min="3859" max="3859" width="13.7109375" style="3581" customWidth="1"/>
    <col min="3860" max="3860" width="13.5703125" style="3581" customWidth="1"/>
    <col min="3861" max="3862" width="11.42578125" style="3581"/>
    <col min="3863" max="3863" width="9.42578125" style="3581" customWidth="1"/>
    <col min="3864" max="3864" width="10" style="3581" customWidth="1"/>
    <col min="3865" max="4096" width="11.42578125" style="3581"/>
    <col min="4097" max="4097" width="7.5703125" style="3581" customWidth="1"/>
    <col min="4098" max="4098" width="8" style="3581" customWidth="1"/>
    <col min="4099" max="4099" width="8.7109375" style="3581" customWidth="1"/>
    <col min="4100" max="4100" width="8.28515625" style="3581" customWidth="1"/>
    <col min="4101" max="4101" width="11" style="3581" customWidth="1"/>
    <col min="4102" max="4102" width="9.7109375" style="3581" customWidth="1"/>
    <col min="4103" max="4103" width="9.85546875" style="3581" customWidth="1"/>
    <col min="4104" max="4104" width="9.5703125" style="3581" customWidth="1"/>
    <col min="4105" max="4105" width="11.42578125" style="3581"/>
    <col min="4106" max="4106" width="8.140625" style="3581" customWidth="1"/>
    <col min="4107" max="4107" width="9.28515625" style="3581" customWidth="1"/>
    <col min="4108" max="4108" width="10.28515625" style="3581" customWidth="1"/>
    <col min="4109" max="4109" width="11.85546875" style="3581" bestFit="1" customWidth="1"/>
    <col min="4110" max="4110" width="9.5703125" style="3581" customWidth="1"/>
    <col min="4111" max="4114" width="11.5703125" style="3581" bestFit="1" customWidth="1"/>
    <col min="4115" max="4115" width="13.7109375" style="3581" customWidth="1"/>
    <col min="4116" max="4116" width="13.5703125" style="3581" customWidth="1"/>
    <col min="4117" max="4118" width="11.42578125" style="3581"/>
    <col min="4119" max="4119" width="9.42578125" style="3581" customWidth="1"/>
    <col min="4120" max="4120" width="10" style="3581" customWidth="1"/>
    <col min="4121" max="4352" width="11.42578125" style="3581"/>
    <col min="4353" max="4353" width="7.5703125" style="3581" customWidth="1"/>
    <col min="4354" max="4354" width="8" style="3581" customWidth="1"/>
    <col min="4355" max="4355" width="8.7109375" style="3581" customWidth="1"/>
    <col min="4356" max="4356" width="8.28515625" style="3581" customWidth="1"/>
    <col min="4357" max="4357" width="11" style="3581" customWidth="1"/>
    <col min="4358" max="4358" width="9.7109375" style="3581" customWidth="1"/>
    <col min="4359" max="4359" width="9.85546875" style="3581" customWidth="1"/>
    <col min="4360" max="4360" width="9.5703125" style="3581" customWidth="1"/>
    <col min="4361" max="4361" width="11.42578125" style="3581"/>
    <col min="4362" max="4362" width="8.140625" style="3581" customWidth="1"/>
    <col min="4363" max="4363" width="9.28515625" style="3581" customWidth="1"/>
    <col min="4364" max="4364" width="10.28515625" style="3581" customWidth="1"/>
    <col min="4365" max="4365" width="11.85546875" style="3581" bestFit="1" customWidth="1"/>
    <col min="4366" max="4366" width="9.5703125" style="3581" customWidth="1"/>
    <col min="4367" max="4370" width="11.5703125" style="3581" bestFit="1" customWidth="1"/>
    <col min="4371" max="4371" width="13.7109375" style="3581" customWidth="1"/>
    <col min="4372" max="4372" width="13.5703125" style="3581" customWidth="1"/>
    <col min="4373" max="4374" width="11.42578125" style="3581"/>
    <col min="4375" max="4375" width="9.42578125" style="3581" customWidth="1"/>
    <col min="4376" max="4376" width="10" style="3581" customWidth="1"/>
    <col min="4377" max="4608" width="11.42578125" style="3581"/>
    <col min="4609" max="4609" width="7.5703125" style="3581" customWidth="1"/>
    <col min="4610" max="4610" width="8" style="3581" customWidth="1"/>
    <col min="4611" max="4611" width="8.7109375" style="3581" customWidth="1"/>
    <col min="4612" max="4612" width="8.28515625" style="3581" customWidth="1"/>
    <col min="4613" max="4613" width="11" style="3581" customWidth="1"/>
    <col min="4614" max="4614" width="9.7109375" style="3581" customWidth="1"/>
    <col min="4615" max="4615" width="9.85546875" style="3581" customWidth="1"/>
    <col min="4616" max="4616" width="9.5703125" style="3581" customWidth="1"/>
    <col min="4617" max="4617" width="11.42578125" style="3581"/>
    <col min="4618" max="4618" width="8.140625" style="3581" customWidth="1"/>
    <col min="4619" max="4619" width="9.28515625" style="3581" customWidth="1"/>
    <col min="4620" max="4620" width="10.28515625" style="3581" customWidth="1"/>
    <col min="4621" max="4621" width="11.85546875" style="3581" bestFit="1" customWidth="1"/>
    <col min="4622" max="4622" width="9.5703125" style="3581" customWidth="1"/>
    <col min="4623" max="4626" width="11.5703125" style="3581" bestFit="1" customWidth="1"/>
    <col min="4627" max="4627" width="13.7109375" style="3581" customWidth="1"/>
    <col min="4628" max="4628" width="13.5703125" style="3581" customWidth="1"/>
    <col min="4629" max="4630" width="11.42578125" style="3581"/>
    <col min="4631" max="4631" width="9.42578125" style="3581" customWidth="1"/>
    <col min="4632" max="4632" width="10" style="3581" customWidth="1"/>
    <col min="4633" max="4864" width="11.42578125" style="3581"/>
    <col min="4865" max="4865" width="7.5703125" style="3581" customWidth="1"/>
    <col min="4866" max="4866" width="8" style="3581" customWidth="1"/>
    <col min="4867" max="4867" width="8.7109375" style="3581" customWidth="1"/>
    <col min="4868" max="4868" width="8.28515625" style="3581" customWidth="1"/>
    <col min="4869" max="4869" width="11" style="3581" customWidth="1"/>
    <col min="4870" max="4870" width="9.7109375" style="3581" customWidth="1"/>
    <col min="4871" max="4871" width="9.85546875" style="3581" customWidth="1"/>
    <col min="4872" max="4872" width="9.5703125" style="3581" customWidth="1"/>
    <col min="4873" max="4873" width="11.42578125" style="3581"/>
    <col min="4874" max="4874" width="8.140625" style="3581" customWidth="1"/>
    <col min="4875" max="4875" width="9.28515625" style="3581" customWidth="1"/>
    <col min="4876" max="4876" width="10.28515625" style="3581" customWidth="1"/>
    <col min="4877" max="4877" width="11.85546875" style="3581" bestFit="1" customWidth="1"/>
    <col min="4878" max="4878" width="9.5703125" style="3581" customWidth="1"/>
    <col min="4879" max="4882" width="11.5703125" style="3581" bestFit="1" customWidth="1"/>
    <col min="4883" max="4883" width="13.7109375" style="3581" customWidth="1"/>
    <col min="4884" max="4884" width="13.5703125" style="3581" customWidth="1"/>
    <col min="4885" max="4886" width="11.42578125" style="3581"/>
    <col min="4887" max="4887" width="9.42578125" style="3581" customWidth="1"/>
    <col min="4888" max="4888" width="10" style="3581" customWidth="1"/>
    <col min="4889" max="5120" width="11.42578125" style="3581"/>
    <col min="5121" max="5121" width="7.5703125" style="3581" customWidth="1"/>
    <col min="5122" max="5122" width="8" style="3581" customWidth="1"/>
    <col min="5123" max="5123" width="8.7109375" style="3581" customWidth="1"/>
    <col min="5124" max="5124" width="8.28515625" style="3581" customWidth="1"/>
    <col min="5125" max="5125" width="11" style="3581" customWidth="1"/>
    <col min="5126" max="5126" width="9.7109375" style="3581" customWidth="1"/>
    <col min="5127" max="5127" width="9.85546875" style="3581" customWidth="1"/>
    <col min="5128" max="5128" width="9.5703125" style="3581" customWidth="1"/>
    <col min="5129" max="5129" width="11.42578125" style="3581"/>
    <col min="5130" max="5130" width="8.140625" style="3581" customWidth="1"/>
    <col min="5131" max="5131" width="9.28515625" style="3581" customWidth="1"/>
    <col min="5132" max="5132" width="10.28515625" style="3581" customWidth="1"/>
    <col min="5133" max="5133" width="11.85546875" style="3581" bestFit="1" customWidth="1"/>
    <col min="5134" max="5134" width="9.5703125" style="3581" customWidth="1"/>
    <col min="5135" max="5138" width="11.5703125" style="3581" bestFit="1" customWidth="1"/>
    <col min="5139" max="5139" width="13.7109375" style="3581" customWidth="1"/>
    <col min="5140" max="5140" width="13.5703125" style="3581" customWidth="1"/>
    <col min="5141" max="5142" width="11.42578125" style="3581"/>
    <col min="5143" max="5143" width="9.42578125" style="3581" customWidth="1"/>
    <col min="5144" max="5144" width="10" style="3581" customWidth="1"/>
    <col min="5145" max="5376" width="11.42578125" style="3581"/>
    <col min="5377" max="5377" width="7.5703125" style="3581" customWidth="1"/>
    <col min="5378" max="5378" width="8" style="3581" customWidth="1"/>
    <col min="5379" max="5379" width="8.7109375" style="3581" customWidth="1"/>
    <col min="5380" max="5380" width="8.28515625" style="3581" customWidth="1"/>
    <col min="5381" max="5381" width="11" style="3581" customWidth="1"/>
    <col min="5382" max="5382" width="9.7109375" style="3581" customWidth="1"/>
    <col min="5383" max="5383" width="9.85546875" style="3581" customWidth="1"/>
    <col min="5384" max="5384" width="9.5703125" style="3581" customWidth="1"/>
    <col min="5385" max="5385" width="11.42578125" style="3581"/>
    <col min="5386" max="5386" width="8.140625" style="3581" customWidth="1"/>
    <col min="5387" max="5387" width="9.28515625" style="3581" customWidth="1"/>
    <col min="5388" max="5388" width="10.28515625" style="3581" customWidth="1"/>
    <col min="5389" max="5389" width="11.85546875" style="3581" bestFit="1" customWidth="1"/>
    <col min="5390" max="5390" width="9.5703125" style="3581" customWidth="1"/>
    <col min="5391" max="5394" width="11.5703125" style="3581" bestFit="1" customWidth="1"/>
    <col min="5395" max="5395" width="13.7109375" style="3581" customWidth="1"/>
    <col min="5396" max="5396" width="13.5703125" style="3581" customWidth="1"/>
    <col min="5397" max="5398" width="11.42578125" style="3581"/>
    <col min="5399" max="5399" width="9.42578125" style="3581" customWidth="1"/>
    <col min="5400" max="5400" width="10" style="3581" customWidth="1"/>
    <col min="5401" max="5632" width="11.42578125" style="3581"/>
    <col min="5633" max="5633" width="7.5703125" style="3581" customWidth="1"/>
    <col min="5634" max="5634" width="8" style="3581" customWidth="1"/>
    <col min="5635" max="5635" width="8.7109375" style="3581" customWidth="1"/>
    <col min="5636" max="5636" width="8.28515625" style="3581" customWidth="1"/>
    <col min="5637" max="5637" width="11" style="3581" customWidth="1"/>
    <col min="5638" max="5638" width="9.7109375" style="3581" customWidth="1"/>
    <col min="5639" max="5639" width="9.85546875" style="3581" customWidth="1"/>
    <col min="5640" max="5640" width="9.5703125" style="3581" customWidth="1"/>
    <col min="5641" max="5641" width="11.42578125" style="3581"/>
    <col min="5642" max="5642" width="8.140625" style="3581" customWidth="1"/>
    <col min="5643" max="5643" width="9.28515625" style="3581" customWidth="1"/>
    <col min="5644" max="5644" width="10.28515625" style="3581" customWidth="1"/>
    <col min="5645" max="5645" width="11.85546875" style="3581" bestFit="1" customWidth="1"/>
    <col min="5646" max="5646" width="9.5703125" style="3581" customWidth="1"/>
    <col min="5647" max="5650" width="11.5703125" style="3581" bestFit="1" customWidth="1"/>
    <col min="5651" max="5651" width="13.7109375" style="3581" customWidth="1"/>
    <col min="5652" max="5652" width="13.5703125" style="3581" customWidth="1"/>
    <col min="5653" max="5654" width="11.42578125" style="3581"/>
    <col min="5655" max="5655" width="9.42578125" style="3581" customWidth="1"/>
    <col min="5656" max="5656" width="10" style="3581" customWidth="1"/>
    <col min="5657" max="5888" width="11.42578125" style="3581"/>
    <col min="5889" max="5889" width="7.5703125" style="3581" customWidth="1"/>
    <col min="5890" max="5890" width="8" style="3581" customWidth="1"/>
    <col min="5891" max="5891" width="8.7109375" style="3581" customWidth="1"/>
    <col min="5892" max="5892" width="8.28515625" style="3581" customWidth="1"/>
    <col min="5893" max="5893" width="11" style="3581" customWidth="1"/>
    <col min="5894" max="5894" width="9.7109375" style="3581" customWidth="1"/>
    <col min="5895" max="5895" width="9.85546875" style="3581" customWidth="1"/>
    <col min="5896" max="5896" width="9.5703125" style="3581" customWidth="1"/>
    <col min="5897" max="5897" width="11.42578125" style="3581"/>
    <col min="5898" max="5898" width="8.140625" style="3581" customWidth="1"/>
    <col min="5899" max="5899" width="9.28515625" style="3581" customWidth="1"/>
    <col min="5900" max="5900" width="10.28515625" style="3581" customWidth="1"/>
    <col min="5901" max="5901" width="11.85546875" style="3581" bestFit="1" customWidth="1"/>
    <col min="5902" max="5902" width="9.5703125" style="3581" customWidth="1"/>
    <col min="5903" max="5906" width="11.5703125" style="3581" bestFit="1" customWidth="1"/>
    <col min="5907" max="5907" width="13.7109375" style="3581" customWidth="1"/>
    <col min="5908" max="5908" width="13.5703125" style="3581" customWidth="1"/>
    <col min="5909" max="5910" width="11.42578125" style="3581"/>
    <col min="5911" max="5911" width="9.42578125" style="3581" customWidth="1"/>
    <col min="5912" max="5912" width="10" style="3581" customWidth="1"/>
    <col min="5913" max="6144" width="11.42578125" style="3581"/>
    <col min="6145" max="6145" width="7.5703125" style="3581" customWidth="1"/>
    <col min="6146" max="6146" width="8" style="3581" customWidth="1"/>
    <col min="6147" max="6147" width="8.7109375" style="3581" customWidth="1"/>
    <col min="6148" max="6148" width="8.28515625" style="3581" customWidth="1"/>
    <col min="6149" max="6149" width="11" style="3581" customWidth="1"/>
    <col min="6150" max="6150" width="9.7109375" style="3581" customWidth="1"/>
    <col min="6151" max="6151" width="9.85546875" style="3581" customWidth="1"/>
    <col min="6152" max="6152" width="9.5703125" style="3581" customWidth="1"/>
    <col min="6153" max="6153" width="11.42578125" style="3581"/>
    <col min="6154" max="6154" width="8.140625" style="3581" customWidth="1"/>
    <col min="6155" max="6155" width="9.28515625" style="3581" customWidth="1"/>
    <col min="6156" max="6156" width="10.28515625" style="3581" customWidth="1"/>
    <col min="6157" max="6157" width="11.85546875" style="3581" bestFit="1" customWidth="1"/>
    <col min="6158" max="6158" width="9.5703125" style="3581" customWidth="1"/>
    <col min="6159" max="6162" width="11.5703125" style="3581" bestFit="1" customWidth="1"/>
    <col min="6163" max="6163" width="13.7109375" style="3581" customWidth="1"/>
    <col min="6164" max="6164" width="13.5703125" style="3581" customWidth="1"/>
    <col min="6165" max="6166" width="11.42578125" style="3581"/>
    <col min="6167" max="6167" width="9.42578125" style="3581" customWidth="1"/>
    <col min="6168" max="6168" width="10" style="3581" customWidth="1"/>
    <col min="6169" max="6400" width="11.42578125" style="3581"/>
    <col min="6401" max="6401" width="7.5703125" style="3581" customWidth="1"/>
    <col min="6402" max="6402" width="8" style="3581" customWidth="1"/>
    <col min="6403" max="6403" width="8.7109375" style="3581" customWidth="1"/>
    <col min="6404" max="6404" width="8.28515625" style="3581" customWidth="1"/>
    <col min="6405" max="6405" width="11" style="3581" customWidth="1"/>
    <col min="6406" max="6406" width="9.7109375" style="3581" customWidth="1"/>
    <col min="6407" max="6407" width="9.85546875" style="3581" customWidth="1"/>
    <col min="6408" max="6408" width="9.5703125" style="3581" customWidth="1"/>
    <col min="6409" max="6409" width="11.42578125" style="3581"/>
    <col min="6410" max="6410" width="8.140625" style="3581" customWidth="1"/>
    <col min="6411" max="6411" width="9.28515625" style="3581" customWidth="1"/>
    <col min="6412" max="6412" width="10.28515625" style="3581" customWidth="1"/>
    <col min="6413" max="6413" width="11.85546875" style="3581" bestFit="1" customWidth="1"/>
    <col min="6414" max="6414" width="9.5703125" style="3581" customWidth="1"/>
    <col min="6415" max="6418" width="11.5703125" style="3581" bestFit="1" customWidth="1"/>
    <col min="6419" max="6419" width="13.7109375" style="3581" customWidth="1"/>
    <col min="6420" max="6420" width="13.5703125" style="3581" customWidth="1"/>
    <col min="6421" max="6422" width="11.42578125" style="3581"/>
    <col min="6423" max="6423" width="9.42578125" style="3581" customWidth="1"/>
    <col min="6424" max="6424" width="10" style="3581" customWidth="1"/>
    <col min="6425" max="6656" width="11.42578125" style="3581"/>
    <col min="6657" max="6657" width="7.5703125" style="3581" customWidth="1"/>
    <col min="6658" max="6658" width="8" style="3581" customWidth="1"/>
    <col min="6659" max="6659" width="8.7109375" style="3581" customWidth="1"/>
    <col min="6660" max="6660" width="8.28515625" style="3581" customWidth="1"/>
    <col min="6661" max="6661" width="11" style="3581" customWidth="1"/>
    <col min="6662" max="6662" width="9.7109375" style="3581" customWidth="1"/>
    <col min="6663" max="6663" width="9.85546875" style="3581" customWidth="1"/>
    <col min="6664" max="6664" width="9.5703125" style="3581" customWidth="1"/>
    <col min="6665" max="6665" width="11.42578125" style="3581"/>
    <col min="6666" max="6666" width="8.140625" style="3581" customWidth="1"/>
    <col min="6667" max="6667" width="9.28515625" style="3581" customWidth="1"/>
    <col min="6668" max="6668" width="10.28515625" style="3581" customWidth="1"/>
    <col min="6669" max="6669" width="11.85546875" style="3581" bestFit="1" customWidth="1"/>
    <col min="6670" max="6670" width="9.5703125" style="3581" customWidth="1"/>
    <col min="6671" max="6674" width="11.5703125" style="3581" bestFit="1" customWidth="1"/>
    <col min="6675" max="6675" width="13.7109375" style="3581" customWidth="1"/>
    <col min="6676" max="6676" width="13.5703125" style="3581" customWidth="1"/>
    <col min="6677" max="6678" width="11.42578125" style="3581"/>
    <col min="6679" max="6679" width="9.42578125" style="3581" customWidth="1"/>
    <col min="6680" max="6680" width="10" style="3581" customWidth="1"/>
    <col min="6681" max="6912" width="11.42578125" style="3581"/>
    <col min="6913" max="6913" width="7.5703125" style="3581" customWidth="1"/>
    <col min="6914" max="6914" width="8" style="3581" customWidth="1"/>
    <col min="6915" max="6915" width="8.7109375" style="3581" customWidth="1"/>
    <col min="6916" max="6916" width="8.28515625" style="3581" customWidth="1"/>
    <col min="6917" max="6917" width="11" style="3581" customWidth="1"/>
    <col min="6918" max="6918" width="9.7109375" style="3581" customWidth="1"/>
    <col min="6919" max="6919" width="9.85546875" style="3581" customWidth="1"/>
    <col min="6920" max="6920" width="9.5703125" style="3581" customWidth="1"/>
    <col min="6921" max="6921" width="11.42578125" style="3581"/>
    <col min="6922" max="6922" width="8.140625" style="3581" customWidth="1"/>
    <col min="6923" max="6923" width="9.28515625" style="3581" customWidth="1"/>
    <col min="6924" max="6924" width="10.28515625" style="3581" customWidth="1"/>
    <col min="6925" max="6925" width="11.85546875" style="3581" bestFit="1" customWidth="1"/>
    <col min="6926" max="6926" width="9.5703125" style="3581" customWidth="1"/>
    <col min="6927" max="6930" width="11.5703125" style="3581" bestFit="1" customWidth="1"/>
    <col min="6931" max="6931" width="13.7109375" style="3581" customWidth="1"/>
    <col min="6932" max="6932" width="13.5703125" style="3581" customWidth="1"/>
    <col min="6933" max="6934" width="11.42578125" style="3581"/>
    <col min="6935" max="6935" width="9.42578125" style="3581" customWidth="1"/>
    <col min="6936" max="6936" width="10" style="3581" customWidth="1"/>
    <col min="6937" max="7168" width="11.42578125" style="3581"/>
    <col min="7169" max="7169" width="7.5703125" style="3581" customWidth="1"/>
    <col min="7170" max="7170" width="8" style="3581" customWidth="1"/>
    <col min="7171" max="7171" width="8.7109375" style="3581" customWidth="1"/>
    <col min="7172" max="7172" width="8.28515625" style="3581" customWidth="1"/>
    <col min="7173" max="7173" width="11" style="3581" customWidth="1"/>
    <col min="7174" max="7174" width="9.7109375" style="3581" customWidth="1"/>
    <col min="7175" max="7175" width="9.85546875" style="3581" customWidth="1"/>
    <col min="7176" max="7176" width="9.5703125" style="3581" customWidth="1"/>
    <col min="7177" max="7177" width="11.42578125" style="3581"/>
    <col min="7178" max="7178" width="8.140625" style="3581" customWidth="1"/>
    <col min="7179" max="7179" width="9.28515625" style="3581" customWidth="1"/>
    <col min="7180" max="7180" width="10.28515625" style="3581" customWidth="1"/>
    <col min="7181" max="7181" width="11.85546875" style="3581" bestFit="1" customWidth="1"/>
    <col min="7182" max="7182" width="9.5703125" style="3581" customWidth="1"/>
    <col min="7183" max="7186" width="11.5703125" style="3581" bestFit="1" customWidth="1"/>
    <col min="7187" max="7187" width="13.7109375" style="3581" customWidth="1"/>
    <col min="7188" max="7188" width="13.5703125" style="3581" customWidth="1"/>
    <col min="7189" max="7190" width="11.42578125" style="3581"/>
    <col min="7191" max="7191" width="9.42578125" style="3581" customWidth="1"/>
    <col min="7192" max="7192" width="10" style="3581" customWidth="1"/>
    <col min="7193" max="7424" width="11.42578125" style="3581"/>
    <col min="7425" max="7425" width="7.5703125" style="3581" customWidth="1"/>
    <col min="7426" max="7426" width="8" style="3581" customWidth="1"/>
    <col min="7427" max="7427" width="8.7109375" style="3581" customWidth="1"/>
    <col min="7428" max="7428" width="8.28515625" style="3581" customWidth="1"/>
    <col min="7429" max="7429" width="11" style="3581" customWidth="1"/>
    <col min="7430" max="7430" width="9.7109375" style="3581" customWidth="1"/>
    <col min="7431" max="7431" width="9.85546875" style="3581" customWidth="1"/>
    <col min="7432" max="7432" width="9.5703125" style="3581" customWidth="1"/>
    <col min="7433" max="7433" width="11.42578125" style="3581"/>
    <col min="7434" max="7434" width="8.140625" style="3581" customWidth="1"/>
    <col min="7435" max="7435" width="9.28515625" style="3581" customWidth="1"/>
    <col min="7436" max="7436" width="10.28515625" style="3581" customWidth="1"/>
    <col min="7437" max="7437" width="11.85546875" style="3581" bestFit="1" customWidth="1"/>
    <col min="7438" max="7438" width="9.5703125" style="3581" customWidth="1"/>
    <col min="7439" max="7442" width="11.5703125" style="3581" bestFit="1" customWidth="1"/>
    <col min="7443" max="7443" width="13.7109375" style="3581" customWidth="1"/>
    <col min="7444" max="7444" width="13.5703125" style="3581" customWidth="1"/>
    <col min="7445" max="7446" width="11.42578125" style="3581"/>
    <col min="7447" max="7447" width="9.42578125" style="3581" customWidth="1"/>
    <col min="7448" max="7448" width="10" style="3581" customWidth="1"/>
    <col min="7449" max="7680" width="11.42578125" style="3581"/>
    <col min="7681" max="7681" width="7.5703125" style="3581" customWidth="1"/>
    <col min="7682" max="7682" width="8" style="3581" customWidth="1"/>
    <col min="7683" max="7683" width="8.7109375" style="3581" customWidth="1"/>
    <col min="7684" max="7684" width="8.28515625" style="3581" customWidth="1"/>
    <col min="7685" max="7685" width="11" style="3581" customWidth="1"/>
    <col min="7686" max="7686" width="9.7109375" style="3581" customWidth="1"/>
    <col min="7687" max="7687" width="9.85546875" style="3581" customWidth="1"/>
    <col min="7688" max="7688" width="9.5703125" style="3581" customWidth="1"/>
    <col min="7689" max="7689" width="11.42578125" style="3581"/>
    <col min="7690" max="7690" width="8.140625" style="3581" customWidth="1"/>
    <col min="7691" max="7691" width="9.28515625" style="3581" customWidth="1"/>
    <col min="7692" max="7692" width="10.28515625" style="3581" customWidth="1"/>
    <col min="7693" max="7693" width="11.85546875" style="3581" bestFit="1" customWidth="1"/>
    <col min="7694" max="7694" width="9.5703125" style="3581" customWidth="1"/>
    <col min="7695" max="7698" width="11.5703125" style="3581" bestFit="1" customWidth="1"/>
    <col min="7699" max="7699" width="13.7109375" style="3581" customWidth="1"/>
    <col min="7700" max="7700" width="13.5703125" style="3581" customWidth="1"/>
    <col min="7701" max="7702" width="11.42578125" style="3581"/>
    <col min="7703" max="7703" width="9.42578125" style="3581" customWidth="1"/>
    <col min="7704" max="7704" width="10" style="3581" customWidth="1"/>
    <col min="7705" max="7936" width="11.42578125" style="3581"/>
    <col min="7937" max="7937" width="7.5703125" style="3581" customWidth="1"/>
    <col min="7938" max="7938" width="8" style="3581" customWidth="1"/>
    <col min="7939" max="7939" width="8.7109375" style="3581" customWidth="1"/>
    <col min="7940" max="7940" width="8.28515625" style="3581" customWidth="1"/>
    <col min="7941" max="7941" width="11" style="3581" customWidth="1"/>
    <col min="7942" max="7942" width="9.7109375" style="3581" customWidth="1"/>
    <col min="7943" max="7943" width="9.85546875" style="3581" customWidth="1"/>
    <col min="7944" max="7944" width="9.5703125" style="3581" customWidth="1"/>
    <col min="7945" max="7945" width="11.42578125" style="3581"/>
    <col min="7946" max="7946" width="8.140625" style="3581" customWidth="1"/>
    <col min="7947" max="7947" width="9.28515625" style="3581" customWidth="1"/>
    <col min="7948" max="7948" width="10.28515625" style="3581" customWidth="1"/>
    <col min="7949" max="7949" width="11.85546875" style="3581" bestFit="1" customWidth="1"/>
    <col min="7950" max="7950" width="9.5703125" style="3581" customWidth="1"/>
    <col min="7951" max="7954" width="11.5703125" style="3581" bestFit="1" customWidth="1"/>
    <col min="7955" max="7955" width="13.7109375" style="3581" customWidth="1"/>
    <col min="7956" max="7956" width="13.5703125" style="3581" customWidth="1"/>
    <col min="7957" max="7958" width="11.42578125" style="3581"/>
    <col min="7959" max="7959" width="9.42578125" style="3581" customWidth="1"/>
    <col min="7960" max="7960" width="10" style="3581" customWidth="1"/>
    <col min="7961" max="8192" width="11.42578125" style="3581"/>
    <col min="8193" max="8193" width="7.5703125" style="3581" customWidth="1"/>
    <col min="8194" max="8194" width="8" style="3581" customWidth="1"/>
    <col min="8195" max="8195" width="8.7109375" style="3581" customWidth="1"/>
    <col min="8196" max="8196" width="8.28515625" style="3581" customWidth="1"/>
    <col min="8197" max="8197" width="11" style="3581" customWidth="1"/>
    <col min="8198" max="8198" width="9.7109375" style="3581" customWidth="1"/>
    <col min="8199" max="8199" width="9.85546875" style="3581" customWidth="1"/>
    <col min="8200" max="8200" width="9.5703125" style="3581" customWidth="1"/>
    <col min="8201" max="8201" width="11.42578125" style="3581"/>
    <col min="8202" max="8202" width="8.140625" style="3581" customWidth="1"/>
    <col min="8203" max="8203" width="9.28515625" style="3581" customWidth="1"/>
    <col min="8204" max="8204" width="10.28515625" style="3581" customWidth="1"/>
    <col min="8205" max="8205" width="11.85546875" style="3581" bestFit="1" customWidth="1"/>
    <col min="8206" max="8206" width="9.5703125" style="3581" customWidth="1"/>
    <col min="8207" max="8210" width="11.5703125" style="3581" bestFit="1" customWidth="1"/>
    <col min="8211" max="8211" width="13.7109375" style="3581" customWidth="1"/>
    <col min="8212" max="8212" width="13.5703125" style="3581" customWidth="1"/>
    <col min="8213" max="8214" width="11.42578125" style="3581"/>
    <col min="8215" max="8215" width="9.42578125" style="3581" customWidth="1"/>
    <col min="8216" max="8216" width="10" style="3581" customWidth="1"/>
    <col min="8217" max="8448" width="11.42578125" style="3581"/>
    <col min="8449" max="8449" width="7.5703125" style="3581" customWidth="1"/>
    <col min="8450" max="8450" width="8" style="3581" customWidth="1"/>
    <col min="8451" max="8451" width="8.7109375" style="3581" customWidth="1"/>
    <col min="8452" max="8452" width="8.28515625" style="3581" customWidth="1"/>
    <col min="8453" max="8453" width="11" style="3581" customWidth="1"/>
    <col min="8454" max="8454" width="9.7109375" style="3581" customWidth="1"/>
    <col min="8455" max="8455" width="9.85546875" style="3581" customWidth="1"/>
    <col min="8456" max="8456" width="9.5703125" style="3581" customWidth="1"/>
    <col min="8457" max="8457" width="11.42578125" style="3581"/>
    <col min="8458" max="8458" width="8.140625" style="3581" customWidth="1"/>
    <col min="8459" max="8459" width="9.28515625" style="3581" customWidth="1"/>
    <col min="8460" max="8460" width="10.28515625" style="3581" customWidth="1"/>
    <col min="8461" max="8461" width="11.85546875" style="3581" bestFit="1" customWidth="1"/>
    <col min="8462" max="8462" width="9.5703125" style="3581" customWidth="1"/>
    <col min="8463" max="8466" width="11.5703125" style="3581" bestFit="1" customWidth="1"/>
    <col min="8467" max="8467" width="13.7109375" style="3581" customWidth="1"/>
    <col min="8468" max="8468" width="13.5703125" style="3581" customWidth="1"/>
    <col min="8469" max="8470" width="11.42578125" style="3581"/>
    <col min="8471" max="8471" width="9.42578125" style="3581" customWidth="1"/>
    <col min="8472" max="8472" width="10" style="3581" customWidth="1"/>
    <col min="8473" max="8704" width="11.42578125" style="3581"/>
    <col min="8705" max="8705" width="7.5703125" style="3581" customWidth="1"/>
    <col min="8706" max="8706" width="8" style="3581" customWidth="1"/>
    <col min="8707" max="8707" width="8.7109375" style="3581" customWidth="1"/>
    <col min="8708" max="8708" width="8.28515625" style="3581" customWidth="1"/>
    <col min="8709" max="8709" width="11" style="3581" customWidth="1"/>
    <col min="8710" max="8710" width="9.7109375" style="3581" customWidth="1"/>
    <col min="8711" max="8711" width="9.85546875" style="3581" customWidth="1"/>
    <col min="8712" max="8712" width="9.5703125" style="3581" customWidth="1"/>
    <col min="8713" max="8713" width="11.42578125" style="3581"/>
    <col min="8714" max="8714" width="8.140625" style="3581" customWidth="1"/>
    <col min="8715" max="8715" width="9.28515625" style="3581" customWidth="1"/>
    <col min="8716" max="8716" width="10.28515625" style="3581" customWidth="1"/>
    <col min="8717" max="8717" width="11.85546875" style="3581" bestFit="1" customWidth="1"/>
    <col min="8718" max="8718" width="9.5703125" style="3581" customWidth="1"/>
    <col min="8719" max="8722" width="11.5703125" style="3581" bestFit="1" customWidth="1"/>
    <col min="8723" max="8723" width="13.7109375" style="3581" customWidth="1"/>
    <col min="8724" max="8724" width="13.5703125" style="3581" customWidth="1"/>
    <col min="8725" max="8726" width="11.42578125" style="3581"/>
    <col min="8727" max="8727" width="9.42578125" style="3581" customWidth="1"/>
    <col min="8728" max="8728" width="10" style="3581" customWidth="1"/>
    <col min="8729" max="8960" width="11.42578125" style="3581"/>
    <col min="8961" max="8961" width="7.5703125" style="3581" customWidth="1"/>
    <col min="8962" max="8962" width="8" style="3581" customWidth="1"/>
    <col min="8963" max="8963" width="8.7109375" style="3581" customWidth="1"/>
    <col min="8964" max="8964" width="8.28515625" style="3581" customWidth="1"/>
    <col min="8965" max="8965" width="11" style="3581" customWidth="1"/>
    <col min="8966" max="8966" width="9.7109375" style="3581" customWidth="1"/>
    <col min="8967" max="8967" width="9.85546875" style="3581" customWidth="1"/>
    <col min="8968" max="8968" width="9.5703125" style="3581" customWidth="1"/>
    <col min="8969" max="8969" width="11.42578125" style="3581"/>
    <col min="8970" max="8970" width="8.140625" style="3581" customWidth="1"/>
    <col min="8971" max="8971" width="9.28515625" style="3581" customWidth="1"/>
    <col min="8972" max="8972" width="10.28515625" style="3581" customWidth="1"/>
    <col min="8973" max="8973" width="11.85546875" style="3581" bestFit="1" customWidth="1"/>
    <col min="8974" max="8974" width="9.5703125" style="3581" customWidth="1"/>
    <col min="8975" max="8978" width="11.5703125" style="3581" bestFit="1" customWidth="1"/>
    <col min="8979" max="8979" width="13.7109375" style="3581" customWidth="1"/>
    <col min="8980" max="8980" width="13.5703125" style="3581" customWidth="1"/>
    <col min="8981" max="8982" width="11.42578125" style="3581"/>
    <col min="8983" max="8983" width="9.42578125" style="3581" customWidth="1"/>
    <col min="8984" max="8984" width="10" style="3581" customWidth="1"/>
    <col min="8985" max="9216" width="11.42578125" style="3581"/>
    <col min="9217" max="9217" width="7.5703125" style="3581" customWidth="1"/>
    <col min="9218" max="9218" width="8" style="3581" customWidth="1"/>
    <col min="9219" max="9219" width="8.7109375" style="3581" customWidth="1"/>
    <col min="9220" max="9220" width="8.28515625" style="3581" customWidth="1"/>
    <col min="9221" max="9221" width="11" style="3581" customWidth="1"/>
    <col min="9222" max="9222" width="9.7109375" style="3581" customWidth="1"/>
    <col min="9223" max="9223" width="9.85546875" style="3581" customWidth="1"/>
    <col min="9224" max="9224" width="9.5703125" style="3581" customWidth="1"/>
    <col min="9225" max="9225" width="11.42578125" style="3581"/>
    <col min="9226" max="9226" width="8.140625" style="3581" customWidth="1"/>
    <col min="9227" max="9227" width="9.28515625" style="3581" customWidth="1"/>
    <col min="9228" max="9228" width="10.28515625" style="3581" customWidth="1"/>
    <col min="9229" max="9229" width="11.85546875" style="3581" bestFit="1" customWidth="1"/>
    <col min="9230" max="9230" width="9.5703125" style="3581" customWidth="1"/>
    <col min="9231" max="9234" width="11.5703125" style="3581" bestFit="1" customWidth="1"/>
    <col min="9235" max="9235" width="13.7109375" style="3581" customWidth="1"/>
    <col min="9236" max="9236" width="13.5703125" style="3581" customWidth="1"/>
    <col min="9237" max="9238" width="11.42578125" style="3581"/>
    <col min="9239" max="9239" width="9.42578125" style="3581" customWidth="1"/>
    <col min="9240" max="9240" width="10" style="3581" customWidth="1"/>
    <col min="9241" max="9472" width="11.42578125" style="3581"/>
    <col min="9473" max="9473" width="7.5703125" style="3581" customWidth="1"/>
    <col min="9474" max="9474" width="8" style="3581" customWidth="1"/>
    <col min="9475" max="9475" width="8.7109375" style="3581" customWidth="1"/>
    <col min="9476" max="9476" width="8.28515625" style="3581" customWidth="1"/>
    <col min="9477" max="9477" width="11" style="3581" customWidth="1"/>
    <col min="9478" max="9478" width="9.7109375" style="3581" customWidth="1"/>
    <col min="9479" max="9479" width="9.85546875" style="3581" customWidth="1"/>
    <col min="9480" max="9480" width="9.5703125" style="3581" customWidth="1"/>
    <col min="9481" max="9481" width="11.42578125" style="3581"/>
    <col min="9482" max="9482" width="8.140625" style="3581" customWidth="1"/>
    <col min="9483" max="9483" width="9.28515625" style="3581" customWidth="1"/>
    <col min="9484" max="9484" width="10.28515625" style="3581" customWidth="1"/>
    <col min="9485" max="9485" width="11.85546875" style="3581" bestFit="1" customWidth="1"/>
    <col min="9486" max="9486" width="9.5703125" style="3581" customWidth="1"/>
    <col min="9487" max="9490" width="11.5703125" style="3581" bestFit="1" customWidth="1"/>
    <col min="9491" max="9491" width="13.7109375" style="3581" customWidth="1"/>
    <col min="9492" max="9492" width="13.5703125" style="3581" customWidth="1"/>
    <col min="9493" max="9494" width="11.42578125" style="3581"/>
    <col min="9495" max="9495" width="9.42578125" style="3581" customWidth="1"/>
    <col min="9496" max="9496" width="10" style="3581" customWidth="1"/>
    <col min="9497" max="9728" width="11.42578125" style="3581"/>
    <col min="9729" max="9729" width="7.5703125" style="3581" customWidth="1"/>
    <col min="9730" max="9730" width="8" style="3581" customWidth="1"/>
    <col min="9731" max="9731" width="8.7109375" style="3581" customWidth="1"/>
    <col min="9732" max="9732" width="8.28515625" style="3581" customWidth="1"/>
    <col min="9733" max="9733" width="11" style="3581" customWidth="1"/>
    <col min="9734" max="9734" width="9.7109375" style="3581" customWidth="1"/>
    <col min="9735" max="9735" width="9.85546875" style="3581" customWidth="1"/>
    <col min="9736" max="9736" width="9.5703125" style="3581" customWidth="1"/>
    <col min="9737" max="9737" width="11.42578125" style="3581"/>
    <col min="9738" max="9738" width="8.140625" style="3581" customWidth="1"/>
    <col min="9739" max="9739" width="9.28515625" style="3581" customWidth="1"/>
    <col min="9740" max="9740" width="10.28515625" style="3581" customWidth="1"/>
    <col min="9741" max="9741" width="11.85546875" style="3581" bestFit="1" customWidth="1"/>
    <col min="9742" max="9742" width="9.5703125" style="3581" customWidth="1"/>
    <col min="9743" max="9746" width="11.5703125" style="3581" bestFit="1" customWidth="1"/>
    <col min="9747" max="9747" width="13.7109375" style="3581" customWidth="1"/>
    <col min="9748" max="9748" width="13.5703125" style="3581" customWidth="1"/>
    <col min="9749" max="9750" width="11.42578125" style="3581"/>
    <col min="9751" max="9751" width="9.42578125" style="3581" customWidth="1"/>
    <col min="9752" max="9752" width="10" style="3581" customWidth="1"/>
    <col min="9753" max="9984" width="11.42578125" style="3581"/>
    <col min="9985" max="9985" width="7.5703125" style="3581" customWidth="1"/>
    <col min="9986" max="9986" width="8" style="3581" customWidth="1"/>
    <col min="9987" max="9987" width="8.7109375" style="3581" customWidth="1"/>
    <col min="9988" max="9988" width="8.28515625" style="3581" customWidth="1"/>
    <col min="9989" max="9989" width="11" style="3581" customWidth="1"/>
    <col min="9990" max="9990" width="9.7109375" style="3581" customWidth="1"/>
    <col min="9991" max="9991" width="9.85546875" style="3581" customWidth="1"/>
    <col min="9992" max="9992" width="9.5703125" style="3581" customWidth="1"/>
    <col min="9993" max="9993" width="11.42578125" style="3581"/>
    <col min="9994" max="9994" width="8.140625" style="3581" customWidth="1"/>
    <col min="9995" max="9995" width="9.28515625" style="3581" customWidth="1"/>
    <col min="9996" max="9996" width="10.28515625" style="3581" customWidth="1"/>
    <col min="9997" max="9997" width="11.85546875" style="3581" bestFit="1" customWidth="1"/>
    <col min="9998" max="9998" width="9.5703125" style="3581" customWidth="1"/>
    <col min="9999" max="10002" width="11.5703125" style="3581" bestFit="1" customWidth="1"/>
    <col min="10003" max="10003" width="13.7109375" style="3581" customWidth="1"/>
    <col min="10004" max="10004" width="13.5703125" style="3581" customWidth="1"/>
    <col min="10005" max="10006" width="11.42578125" style="3581"/>
    <col min="10007" max="10007" width="9.42578125" style="3581" customWidth="1"/>
    <col min="10008" max="10008" width="10" style="3581" customWidth="1"/>
    <col min="10009" max="10240" width="11.42578125" style="3581"/>
    <col min="10241" max="10241" width="7.5703125" style="3581" customWidth="1"/>
    <col min="10242" max="10242" width="8" style="3581" customWidth="1"/>
    <col min="10243" max="10243" width="8.7109375" style="3581" customWidth="1"/>
    <col min="10244" max="10244" width="8.28515625" style="3581" customWidth="1"/>
    <col min="10245" max="10245" width="11" style="3581" customWidth="1"/>
    <col min="10246" max="10246" width="9.7109375" style="3581" customWidth="1"/>
    <col min="10247" max="10247" width="9.85546875" style="3581" customWidth="1"/>
    <col min="10248" max="10248" width="9.5703125" style="3581" customWidth="1"/>
    <col min="10249" max="10249" width="11.42578125" style="3581"/>
    <col min="10250" max="10250" width="8.140625" style="3581" customWidth="1"/>
    <col min="10251" max="10251" width="9.28515625" style="3581" customWidth="1"/>
    <col min="10252" max="10252" width="10.28515625" style="3581" customWidth="1"/>
    <col min="10253" max="10253" width="11.85546875" style="3581" bestFit="1" customWidth="1"/>
    <col min="10254" max="10254" width="9.5703125" style="3581" customWidth="1"/>
    <col min="10255" max="10258" width="11.5703125" style="3581" bestFit="1" customWidth="1"/>
    <col min="10259" max="10259" width="13.7109375" style="3581" customWidth="1"/>
    <col min="10260" max="10260" width="13.5703125" style="3581" customWidth="1"/>
    <col min="10261" max="10262" width="11.42578125" style="3581"/>
    <col min="10263" max="10263" width="9.42578125" style="3581" customWidth="1"/>
    <col min="10264" max="10264" width="10" style="3581" customWidth="1"/>
    <col min="10265" max="10496" width="11.42578125" style="3581"/>
    <col min="10497" max="10497" width="7.5703125" style="3581" customWidth="1"/>
    <col min="10498" max="10498" width="8" style="3581" customWidth="1"/>
    <col min="10499" max="10499" width="8.7109375" style="3581" customWidth="1"/>
    <col min="10500" max="10500" width="8.28515625" style="3581" customWidth="1"/>
    <col min="10501" max="10501" width="11" style="3581" customWidth="1"/>
    <col min="10502" max="10502" width="9.7109375" style="3581" customWidth="1"/>
    <col min="10503" max="10503" width="9.85546875" style="3581" customWidth="1"/>
    <col min="10504" max="10504" width="9.5703125" style="3581" customWidth="1"/>
    <col min="10505" max="10505" width="11.42578125" style="3581"/>
    <col min="10506" max="10506" width="8.140625" style="3581" customWidth="1"/>
    <col min="10507" max="10507" width="9.28515625" style="3581" customWidth="1"/>
    <col min="10508" max="10508" width="10.28515625" style="3581" customWidth="1"/>
    <col min="10509" max="10509" width="11.85546875" style="3581" bestFit="1" customWidth="1"/>
    <col min="10510" max="10510" width="9.5703125" style="3581" customWidth="1"/>
    <col min="10511" max="10514" width="11.5703125" style="3581" bestFit="1" customWidth="1"/>
    <col min="10515" max="10515" width="13.7109375" style="3581" customWidth="1"/>
    <col min="10516" max="10516" width="13.5703125" style="3581" customWidth="1"/>
    <col min="10517" max="10518" width="11.42578125" style="3581"/>
    <col min="10519" max="10519" width="9.42578125" style="3581" customWidth="1"/>
    <col min="10520" max="10520" width="10" style="3581" customWidth="1"/>
    <col min="10521" max="10752" width="11.42578125" style="3581"/>
    <col min="10753" max="10753" width="7.5703125" style="3581" customWidth="1"/>
    <col min="10754" max="10754" width="8" style="3581" customWidth="1"/>
    <col min="10755" max="10755" width="8.7109375" style="3581" customWidth="1"/>
    <col min="10756" max="10756" width="8.28515625" style="3581" customWidth="1"/>
    <col min="10757" max="10757" width="11" style="3581" customWidth="1"/>
    <col min="10758" max="10758" width="9.7109375" style="3581" customWidth="1"/>
    <col min="10759" max="10759" width="9.85546875" style="3581" customWidth="1"/>
    <col min="10760" max="10760" width="9.5703125" style="3581" customWidth="1"/>
    <col min="10761" max="10761" width="11.42578125" style="3581"/>
    <col min="10762" max="10762" width="8.140625" style="3581" customWidth="1"/>
    <col min="10763" max="10763" width="9.28515625" style="3581" customWidth="1"/>
    <col min="10764" max="10764" width="10.28515625" style="3581" customWidth="1"/>
    <col min="10765" max="10765" width="11.85546875" style="3581" bestFit="1" customWidth="1"/>
    <col min="10766" max="10766" width="9.5703125" style="3581" customWidth="1"/>
    <col min="10767" max="10770" width="11.5703125" style="3581" bestFit="1" customWidth="1"/>
    <col min="10771" max="10771" width="13.7109375" style="3581" customWidth="1"/>
    <col min="10772" max="10772" width="13.5703125" style="3581" customWidth="1"/>
    <col min="10773" max="10774" width="11.42578125" style="3581"/>
    <col min="10775" max="10775" width="9.42578125" style="3581" customWidth="1"/>
    <col min="10776" max="10776" width="10" style="3581" customWidth="1"/>
    <col min="10777" max="11008" width="11.42578125" style="3581"/>
    <col min="11009" max="11009" width="7.5703125" style="3581" customWidth="1"/>
    <col min="11010" max="11010" width="8" style="3581" customWidth="1"/>
    <col min="11011" max="11011" width="8.7109375" style="3581" customWidth="1"/>
    <col min="11012" max="11012" width="8.28515625" style="3581" customWidth="1"/>
    <col min="11013" max="11013" width="11" style="3581" customWidth="1"/>
    <col min="11014" max="11014" width="9.7109375" style="3581" customWidth="1"/>
    <col min="11015" max="11015" width="9.85546875" style="3581" customWidth="1"/>
    <col min="11016" max="11016" width="9.5703125" style="3581" customWidth="1"/>
    <col min="11017" max="11017" width="11.42578125" style="3581"/>
    <col min="11018" max="11018" width="8.140625" style="3581" customWidth="1"/>
    <col min="11019" max="11019" width="9.28515625" style="3581" customWidth="1"/>
    <col min="11020" max="11020" width="10.28515625" style="3581" customWidth="1"/>
    <col min="11021" max="11021" width="11.85546875" style="3581" bestFit="1" customWidth="1"/>
    <col min="11022" max="11022" width="9.5703125" style="3581" customWidth="1"/>
    <col min="11023" max="11026" width="11.5703125" style="3581" bestFit="1" customWidth="1"/>
    <col min="11027" max="11027" width="13.7109375" style="3581" customWidth="1"/>
    <col min="11028" max="11028" width="13.5703125" style="3581" customWidth="1"/>
    <col min="11029" max="11030" width="11.42578125" style="3581"/>
    <col min="11031" max="11031" width="9.42578125" style="3581" customWidth="1"/>
    <col min="11032" max="11032" width="10" style="3581" customWidth="1"/>
    <col min="11033" max="11264" width="11.42578125" style="3581"/>
    <col min="11265" max="11265" width="7.5703125" style="3581" customWidth="1"/>
    <col min="11266" max="11266" width="8" style="3581" customWidth="1"/>
    <col min="11267" max="11267" width="8.7109375" style="3581" customWidth="1"/>
    <col min="11268" max="11268" width="8.28515625" style="3581" customWidth="1"/>
    <col min="11269" max="11269" width="11" style="3581" customWidth="1"/>
    <col min="11270" max="11270" width="9.7109375" style="3581" customWidth="1"/>
    <col min="11271" max="11271" width="9.85546875" style="3581" customWidth="1"/>
    <col min="11272" max="11272" width="9.5703125" style="3581" customWidth="1"/>
    <col min="11273" max="11273" width="11.42578125" style="3581"/>
    <col min="11274" max="11274" width="8.140625" style="3581" customWidth="1"/>
    <col min="11275" max="11275" width="9.28515625" style="3581" customWidth="1"/>
    <col min="11276" max="11276" width="10.28515625" style="3581" customWidth="1"/>
    <col min="11277" max="11277" width="11.85546875" style="3581" bestFit="1" customWidth="1"/>
    <col min="11278" max="11278" width="9.5703125" style="3581" customWidth="1"/>
    <col min="11279" max="11282" width="11.5703125" style="3581" bestFit="1" customWidth="1"/>
    <col min="11283" max="11283" width="13.7109375" style="3581" customWidth="1"/>
    <col min="11284" max="11284" width="13.5703125" style="3581" customWidth="1"/>
    <col min="11285" max="11286" width="11.42578125" style="3581"/>
    <col min="11287" max="11287" width="9.42578125" style="3581" customWidth="1"/>
    <col min="11288" max="11288" width="10" style="3581" customWidth="1"/>
    <col min="11289" max="11520" width="11.42578125" style="3581"/>
    <col min="11521" max="11521" width="7.5703125" style="3581" customWidth="1"/>
    <col min="11522" max="11522" width="8" style="3581" customWidth="1"/>
    <col min="11523" max="11523" width="8.7109375" style="3581" customWidth="1"/>
    <col min="11524" max="11524" width="8.28515625" style="3581" customWidth="1"/>
    <col min="11525" max="11525" width="11" style="3581" customWidth="1"/>
    <col min="11526" max="11526" width="9.7109375" style="3581" customWidth="1"/>
    <col min="11527" max="11527" width="9.85546875" style="3581" customWidth="1"/>
    <col min="11528" max="11528" width="9.5703125" style="3581" customWidth="1"/>
    <col min="11529" max="11529" width="11.42578125" style="3581"/>
    <col min="11530" max="11530" width="8.140625" style="3581" customWidth="1"/>
    <col min="11531" max="11531" width="9.28515625" style="3581" customWidth="1"/>
    <col min="11532" max="11532" width="10.28515625" style="3581" customWidth="1"/>
    <col min="11533" max="11533" width="11.85546875" style="3581" bestFit="1" customWidth="1"/>
    <col min="11534" max="11534" width="9.5703125" style="3581" customWidth="1"/>
    <col min="11535" max="11538" width="11.5703125" style="3581" bestFit="1" customWidth="1"/>
    <col min="11539" max="11539" width="13.7109375" style="3581" customWidth="1"/>
    <col min="11540" max="11540" width="13.5703125" style="3581" customWidth="1"/>
    <col min="11541" max="11542" width="11.42578125" style="3581"/>
    <col min="11543" max="11543" width="9.42578125" style="3581" customWidth="1"/>
    <col min="11544" max="11544" width="10" style="3581" customWidth="1"/>
    <col min="11545" max="11776" width="11.42578125" style="3581"/>
    <col min="11777" max="11777" width="7.5703125" style="3581" customWidth="1"/>
    <col min="11778" max="11778" width="8" style="3581" customWidth="1"/>
    <col min="11779" max="11779" width="8.7109375" style="3581" customWidth="1"/>
    <col min="11780" max="11780" width="8.28515625" style="3581" customWidth="1"/>
    <col min="11781" max="11781" width="11" style="3581" customWidth="1"/>
    <col min="11782" max="11782" width="9.7109375" style="3581" customWidth="1"/>
    <col min="11783" max="11783" width="9.85546875" style="3581" customWidth="1"/>
    <col min="11784" max="11784" width="9.5703125" style="3581" customWidth="1"/>
    <col min="11785" max="11785" width="11.42578125" style="3581"/>
    <col min="11786" max="11786" width="8.140625" style="3581" customWidth="1"/>
    <col min="11787" max="11787" width="9.28515625" style="3581" customWidth="1"/>
    <col min="11788" max="11788" width="10.28515625" style="3581" customWidth="1"/>
    <col min="11789" max="11789" width="11.85546875" style="3581" bestFit="1" customWidth="1"/>
    <col min="11790" max="11790" width="9.5703125" style="3581" customWidth="1"/>
    <col min="11791" max="11794" width="11.5703125" style="3581" bestFit="1" customWidth="1"/>
    <col min="11795" max="11795" width="13.7109375" style="3581" customWidth="1"/>
    <col min="11796" max="11796" width="13.5703125" style="3581" customWidth="1"/>
    <col min="11797" max="11798" width="11.42578125" style="3581"/>
    <col min="11799" max="11799" width="9.42578125" style="3581" customWidth="1"/>
    <col min="11800" max="11800" width="10" style="3581" customWidth="1"/>
    <col min="11801" max="12032" width="11.42578125" style="3581"/>
    <col min="12033" max="12033" width="7.5703125" style="3581" customWidth="1"/>
    <col min="12034" max="12034" width="8" style="3581" customWidth="1"/>
    <col min="12035" max="12035" width="8.7109375" style="3581" customWidth="1"/>
    <col min="12036" max="12036" width="8.28515625" style="3581" customWidth="1"/>
    <col min="12037" max="12037" width="11" style="3581" customWidth="1"/>
    <col min="12038" max="12038" width="9.7109375" style="3581" customWidth="1"/>
    <col min="12039" max="12039" width="9.85546875" style="3581" customWidth="1"/>
    <col min="12040" max="12040" width="9.5703125" style="3581" customWidth="1"/>
    <col min="12041" max="12041" width="11.42578125" style="3581"/>
    <col min="12042" max="12042" width="8.140625" style="3581" customWidth="1"/>
    <col min="12043" max="12043" width="9.28515625" style="3581" customWidth="1"/>
    <col min="12044" max="12044" width="10.28515625" style="3581" customWidth="1"/>
    <col min="12045" max="12045" width="11.85546875" style="3581" bestFit="1" customWidth="1"/>
    <col min="12046" max="12046" width="9.5703125" style="3581" customWidth="1"/>
    <col min="12047" max="12050" width="11.5703125" style="3581" bestFit="1" customWidth="1"/>
    <col min="12051" max="12051" width="13.7109375" style="3581" customWidth="1"/>
    <col min="12052" max="12052" width="13.5703125" style="3581" customWidth="1"/>
    <col min="12053" max="12054" width="11.42578125" style="3581"/>
    <col min="12055" max="12055" width="9.42578125" style="3581" customWidth="1"/>
    <col min="12056" max="12056" width="10" style="3581" customWidth="1"/>
    <col min="12057" max="12288" width="11.42578125" style="3581"/>
    <col min="12289" max="12289" width="7.5703125" style="3581" customWidth="1"/>
    <col min="12290" max="12290" width="8" style="3581" customWidth="1"/>
    <col min="12291" max="12291" width="8.7109375" style="3581" customWidth="1"/>
    <col min="12292" max="12292" width="8.28515625" style="3581" customWidth="1"/>
    <col min="12293" max="12293" width="11" style="3581" customWidth="1"/>
    <col min="12294" max="12294" width="9.7109375" style="3581" customWidth="1"/>
    <col min="12295" max="12295" width="9.85546875" style="3581" customWidth="1"/>
    <col min="12296" max="12296" width="9.5703125" style="3581" customWidth="1"/>
    <col min="12297" max="12297" width="11.42578125" style="3581"/>
    <col min="12298" max="12298" width="8.140625" style="3581" customWidth="1"/>
    <col min="12299" max="12299" width="9.28515625" style="3581" customWidth="1"/>
    <col min="12300" max="12300" width="10.28515625" style="3581" customWidth="1"/>
    <col min="12301" max="12301" width="11.85546875" style="3581" bestFit="1" customWidth="1"/>
    <col min="12302" max="12302" width="9.5703125" style="3581" customWidth="1"/>
    <col min="12303" max="12306" width="11.5703125" style="3581" bestFit="1" customWidth="1"/>
    <col min="12307" max="12307" width="13.7109375" style="3581" customWidth="1"/>
    <col min="12308" max="12308" width="13.5703125" style="3581" customWidth="1"/>
    <col min="12309" max="12310" width="11.42578125" style="3581"/>
    <col min="12311" max="12311" width="9.42578125" style="3581" customWidth="1"/>
    <col min="12312" max="12312" width="10" style="3581" customWidth="1"/>
    <col min="12313" max="12544" width="11.42578125" style="3581"/>
    <col min="12545" max="12545" width="7.5703125" style="3581" customWidth="1"/>
    <col min="12546" max="12546" width="8" style="3581" customWidth="1"/>
    <col min="12547" max="12547" width="8.7109375" style="3581" customWidth="1"/>
    <col min="12548" max="12548" width="8.28515625" style="3581" customWidth="1"/>
    <col min="12549" max="12549" width="11" style="3581" customWidth="1"/>
    <col min="12550" max="12550" width="9.7109375" style="3581" customWidth="1"/>
    <col min="12551" max="12551" width="9.85546875" style="3581" customWidth="1"/>
    <col min="12552" max="12552" width="9.5703125" style="3581" customWidth="1"/>
    <col min="12553" max="12553" width="11.42578125" style="3581"/>
    <col min="12554" max="12554" width="8.140625" style="3581" customWidth="1"/>
    <col min="12555" max="12555" width="9.28515625" style="3581" customWidth="1"/>
    <col min="12556" max="12556" width="10.28515625" style="3581" customWidth="1"/>
    <col min="12557" max="12557" width="11.85546875" style="3581" bestFit="1" customWidth="1"/>
    <col min="12558" max="12558" width="9.5703125" style="3581" customWidth="1"/>
    <col min="12559" max="12562" width="11.5703125" style="3581" bestFit="1" customWidth="1"/>
    <col min="12563" max="12563" width="13.7109375" style="3581" customWidth="1"/>
    <col min="12564" max="12564" width="13.5703125" style="3581" customWidth="1"/>
    <col min="12565" max="12566" width="11.42578125" style="3581"/>
    <col min="12567" max="12567" width="9.42578125" style="3581" customWidth="1"/>
    <col min="12568" max="12568" width="10" style="3581" customWidth="1"/>
    <col min="12569" max="12800" width="11.42578125" style="3581"/>
    <col min="12801" max="12801" width="7.5703125" style="3581" customWidth="1"/>
    <col min="12802" max="12802" width="8" style="3581" customWidth="1"/>
    <col min="12803" max="12803" width="8.7109375" style="3581" customWidth="1"/>
    <col min="12804" max="12804" width="8.28515625" style="3581" customWidth="1"/>
    <col min="12805" max="12805" width="11" style="3581" customWidth="1"/>
    <col min="12806" max="12806" width="9.7109375" style="3581" customWidth="1"/>
    <col min="12807" max="12807" width="9.85546875" style="3581" customWidth="1"/>
    <col min="12808" max="12808" width="9.5703125" style="3581" customWidth="1"/>
    <col min="12809" max="12809" width="11.42578125" style="3581"/>
    <col min="12810" max="12810" width="8.140625" style="3581" customWidth="1"/>
    <col min="12811" max="12811" width="9.28515625" style="3581" customWidth="1"/>
    <col min="12812" max="12812" width="10.28515625" style="3581" customWidth="1"/>
    <col min="12813" max="12813" width="11.85546875" style="3581" bestFit="1" customWidth="1"/>
    <col min="12814" max="12814" width="9.5703125" style="3581" customWidth="1"/>
    <col min="12815" max="12818" width="11.5703125" style="3581" bestFit="1" customWidth="1"/>
    <col min="12819" max="12819" width="13.7109375" style="3581" customWidth="1"/>
    <col min="12820" max="12820" width="13.5703125" style="3581" customWidth="1"/>
    <col min="12821" max="12822" width="11.42578125" style="3581"/>
    <col min="12823" max="12823" width="9.42578125" style="3581" customWidth="1"/>
    <col min="12824" max="12824" width="10" style="3581" customWidth="1"/>
    <col min="12825" max="13056" width="11.42578125" style="3581"/>
    <col min="13057" max="13057" width="7.5703125" style="3581" customWidth="1"/>
    <col min="13058" max="13058" width="8" style="3581" customWidth="1"/>
    <col min="13059" max="13059" width="8.7109375" style="3581" customWidth="1"/>
    <col min="13060" max="13060" width="8.28515625" style="3581" customWidth="1"/>
    <col min="13061" max="13061" width="11" style="3581" customWidth="1"/>
    <col min="13062" max="13062" width="9.7109375" style="3581" customWidth="1"/>
    <col min="13063" max="13063" width="9.85546875" style="3581" customWidth="1"/>
    <col min="13064" max="13064" width="9.5703125" style="3581" customWidth="1"/>
    <col min="13065" max="13065" width="11.42578125" style="3581"/>
    <col min="13066" max="13066" width="8.140625" style="3581" customWidth="1"/>
    <col min="13067" max="13067" width="9.28515625" style="3581" customWidth="1"/>
    <col min="13068" max="13068" width="10.28515625" style="3581" customWidth="1"/>
    <col min="13069" max="13069" width="11.85546875" style="3581" bestFit="1" customWidth="1"/>
    <col min="13070" max="13070" width="9.5703125" style="3581" customWidth="1"/>
    <col min="13071" max="13074" width="11.5703125" style="3581" bestFit="1" customWidth="1"/>
    <col min="13075" max="13075" width="13.7109375" style="3581" customWidth="1"/>
    <col min="13076" max="13076" width="13.5703125" style="3581" customWidth="1"/>
    <col min="13077" max="13078" width="11.42578125" style="3581"/>
    <col min="13079" max="13079" width="9.42578125" style="3581" customWidth="1"/>
    <col min="13080" max="13080" width="10" style="3581" customWidth="1"/>
    <col min="13081" max="13312" width="11.42578125" style="3581"/>
    <col min="13313" max="13313" width="7.5703125" style="3581" customWidth="1"/>
    <col min="13314" max="13314" width="8" style="3581" customWidth="1"/>
    <col min="13315" max="13315" width="8.7109375" style="3581" customWidth="1"/>
    <col min="13316" max="13316" width="8.28515625" style="3581" customWidth="1"/>
    <col min="13317" max="13317" width="11" style="3581" customWidth="1"/>
    <col min="13318" max="13318" width="9.7109375" style="3581" customWidth="1"/>
    <col min="13319" max="13319" width="9.85546875" style="3581" customWidth="1"/>
    <col min="13320" max="13320" width="9.5703125" style="3581" customWidth="1"/>
    <col min="13321" max="13321" width="11.42578125" style="3581"/>
    <col min="13322" max="13322" width="8.140625" style="3581" customWidth="1"/>
    <col min="13323" max="13323" width="9.28515625" style="3581" customWidth="1"/>
    <col min="13324" max="13324" width="10.28515625" style="3581" customWidth="1"/>
    <col min="13325" max="13325" width="11.85546875" style="3581" bestFit="1" customWidth="1"/>
    <col min="13326" max="13326" width="9.5703125" style="3581" customWidth="1"/>
    <col min="13327" max="13330" width="11.5703125" style="3581" bestFit="1" customWidth="1"/>
    <col min="13331" max="13331" width="13.7109375" style="3581" customWidth="1"/>
    <col min="13332" max="13332" width="13.5703125" style="3581" customWidth="1"/>
    <col min="13333" max="13334" width="11.42578125" style="3581"/>
    <col min="13335" max="13335" width="9.42578125" style="3581" customWidth="1"/>
    <col min="13336" max="13336" width="10" style="3581" customWidth="1"/>
    <col min="13337" max="13568" width="11.42578125" style="3581"/>
    <col min="13569" max="13569" width="7.5703125" style="3581" customWidth="1"/>
    <col min="13570" max="13570" width="8" style="3581" customWidth="1"/>
    <col min="13571" max="13571" width="8.7109375" style="3581" customWidth="1"/>
    <col min="13572" max="13572" width="8.28515625" style="3581" customWidth="1"/>
    <col min="13573" max="13573" width="11" style="3581" customWidth="1"/>
    <col min="13574" max="13574" width="9.7109375" style="3581" customWidth="1"/>
    <col min="13575" max="13575" width="9.85546875" style="3581" customWidth="1"/>
    <col min="13576" max="13576" width="9.5703125" style="3581" customWidth="1"/>
    <col min="13577" max="13577" width="11.42578125" style="3581"/>
    <col min="13578" max="13578" width="8.140625" style="3581" customWidth="1"/>
    <col min="13579" max="13579" width="9.28515625" style="3581" customWidth="1"/>
    <col min="13580" max="13580" width="10.28515625" style="3581" customWidth="1"/>
    <col min="13581" max="13581" width="11.85546875" style="3581" bestFit="1" customWidth="1"/>
    <col min="13582" max="13582" width="9.5703125" style="3581" customWidth="1"/>
    <col min="13583" max="13586" width="11.5703125" style="3581" bestFit="1" customWidth="1"/>
    <col min="13587" max="13587" width="13.7109375" style="3581" customWidth="1"/>
    <col min="13588" max="13588" width="13.5703125" style="3581" customWidth="1"/>
    <col min="13589" max="13590" width="11.42578125" style="3581"/>
    <col min="13591" max="13591" width="9.42578125" style="3581" customWidth="1"/>
    <col min="13592" max="13592" width="10" style="3581" customWidth="1"/>
    <col min="13593" max="13824" width="11.42578125" style="3581"/>
    <col min="13825" max="13825" width="7.5703125" style="3581" customWidth="1"/>
    <col min="13826" max="13826" width="8" style="3581" customWidth="1"/>
    <col min="13827" max="13827" width="8.7109375" style="3581" customWidth="1"/>
    <col min="13828" max="13828" width="8.28515625" style="3581" customWidth="1"/>
    <col min="13829" max="13829" width="11" style="3581" customWidth="1"/>
    <col min="13830" max="13830" width="9.7109375" style="3581" customWidth="1"/>
    <col min="13831" max="13831" width="9.85546875" style="3581" customWidth="1"/>
    <col min="13832" max="13832" width="9.5703125" style="3581" customWidth="1"/>
    <col min="13833" max="13833" width="11.42578125" style="3581"/>
    <col min="13834" max="13834" width="8.140625" style="3581" customWidth="1"/>
    <col min="13835" max="13835" width="9.28515625" style="3581" customWidth="1"/>
    <col min="13836" max="13836" width="10.28515625" style="3581" customWidth="1"/>
    <col min="13837" max="13837" width="11.85546875" style="3581" bestFit="1" customWidth="1"/>
    <col min="13838" max="13838" width="9.5703125" style="3581" customWidth="1"/>
    <col min="13839" max="13842" width="11.5703125" style="3581" bestFit="1" customWidth="1"/>
    <col min="13843" max="13843" width="13.7109375" style="3581" customWidth="1"/>
    <col min="13844" max="13844" width="13.5703125" style="3581" customWidth="1"/>
    <col min="13845" max="13846" width="11.42578125" style="3581"/>
    <col min="13847" max="13847" width="9.42578125" style="3581" customWidth="1"/>
    <col min="13848" max="13848" width="10" style="3581" customWidth="1"/>
    <col min="13849" max="14080" width="11.42578125" style="3581"/>
    <col min="14081" max="14081" width="7.5703125" style="3581" customWidth="1"/>
    <col min="14082" max="14082" width="8" style="3581" customWidth="1"/>
    <col min="14083" max="14083" width="8.7109375" style="3581" customWidth="1"/>
    <col min="14084" max="14084" width="8.28515625" style="3581" customWidth="1"/>
    <col min="14085" max="14085" width="11" style="3581" customWidth="1"/>
    <col min="14086" max="14086" width="9.7109375" style="3581" customWidth="1"/>
    <col min="14087" max="14087" width="9.85546875" style="3581" customWidth="1"/>
    <col min="14088" max="14088" width="9.5703125" style="3581" customWidth="1"/>
    <col min="14089" max="14089" width="11.42578125" style="3581"/>
    <col min="14090" max="14090" width="8.140625" style="3581" customWidth="1"/>
    <col min="14091" max="14091" width="9.28515625" style="3581" customWidth="1"/>
    <col min="14092" max="14092" width="10.28515625" style="3581" customWidth="1"/>
    <col min="14093" max="14093" width="11.85546875" style="3581" bestFit="1" customWidth="1"/>
    <col min="14094" max="14094" width="9.5703125" style="3581" customWidth="1"/>
    <col min="14095" max="14098" width="11.5703125" style="3581" bestFit="1" customWidth="1"/>
    <col min="14099" max="14099" width="13.7109375" style="3581" customWidth="1"/>
    <col min="14100" max="14100" width="13.5703125" style="3581" customWidth="1"/>
    <col min="14101" max="14102" width="11.42578125" style="3581"/>
    <col min="14103" max="14103" width="9.42578125" style="3581" customWidth="1"/>
    <col min="14104" max="14104" width="10" style="3581" customWidth="1"/>
    <col min="14105" max="14336" width="11.42578125" style="3581"/>
    <col min="14337" max="14337" width="7.5703125" style="3581" customWidth="1"/>
    <col min="14338" max="14338" width="8" style="3581" customWidth="1"/>
    <col min="14339" max="14339" width="8.7109375" style="3581" customWidth="1"/>
    <col min="14340" max="14340" width="8.28515625" style="3581" customWidth="1"/>
    <col min="14341" max="14341" width="11" style="3581" customWidth="1"/>
    <col min="14342" max="14342" width="9.7109375" style="3581" customWidth="1"/>
    <col min="14343" max="14343" width="9.85546875" style="3581" customWidth="1"/>
    <col min="14344" max="14344" width="9.5703125" style="3581" customWidth="1"/>
    <col min="14345" max="14345" width="11.42578125" style="3581"/>
    <col min="14346" max="14346" width="8.140625" style="3581" customWidth="1"/>
    <col min="14347" max="14347" width="9.28515625" style="3581" customWidth="1"/>
    <col min="14348" max="14348" width="10.28515625" style="3581" customWidth="1"/>
    <col min="14349" max="14349" width="11.85546875" style="3581" bestFit="1" customWidth="1"/>
    <col min="14350" max="14350" width="9.5703125" style="3581" customWidth="1"/>
    <col min="14351" max="14354" width="11.5703125" style="3581" bestFit="1" customWidth="1"/>
    <col min="14355" max="14355" width="13.7109375" style="3581" customWidth="1"/>
    <col min="14356" max="14356" width="13.5703125" style="3581" customWidth="1"/>
    <col min="14357" max="14358" width="11.42578125" style="3581"/>
    <col min="14359" max="14359" width="9.42578125" style="3581" customWidth="1"/>
    <col min="14360" max="14360" width="10" style="3581" customWidth="1"/>
    <col min="14361" max="14592" width="11.42578125" style="3581"/>
    <col min="14593" max="14593" width="7.5703125" style="3581" customWidth="1"/>
    <col min="14594" max="14594" width="8" style="3581" customWidth="1"/>
    <col min="14595" max="14595" width="8.7109375" style="3581" customWidth="1"/>
    <col min="14596" max="14596" width="8.28515625" style="3581" customWidth="1"/>
    <col min="14597" max="14597" width="11" style="3581" customWidth="1"/>
    <col min="14598" max="14598" width="9.7109375" style="3581" customWidth="1"/>
    <col min="14599" max="14599" width="9.85546875" style="3581" customWidth="1"/>
    <col min="14600" max="14600" width="9.5703125" style="3581" customWidth="1"/>
    <col min="14601" max="14601" width="11.42578125" style="3581"/>
    <col min="14602" max="14602" width="8.140625" style="3581" customWidth="1"/>
    <col min="14603" max="14603" width="9.28515625" style="3581" customWidth="1"/>
    <col min="14604" max="14604" width="10.28515625" style="3581" customWidth="1"/>
    <col min="14605" max="14605" width="11.85546875" style="3581" bestFit="1" customWidth="1"/>
    <col min="14606" max="14606" width="9.5703125" style="3581" customWidth="1"/>
    <col min="14607" max="14610" width="11.5703125" style="3581" bestFit="1" customWidth="1"/>
    <col min="14611" max="14611" width="13.7109375" style="3581" customWidth="1"/>
    <col min="14612" max="14612" width="13.5703125" style="3581" customWidth="1"/>
    <col min="14613" max="14614" width="11.42578125" style="3581"/>
    <col min="14615" max="14615" width="9.42578125" style="3581" customWidth="1"/>
    <col min="14616" max="14616" width="10" style="3581" customWidth="1"/>
    <col min="14617" max="14848" width="11.42578125" style="3581"/>
    <col min="14849" max="14849" width="7.5703125" style="3581" customWidth="1"/>
    <col min="14850" max="14850" width="8" style="3581" customWidth="1"/>
    <col min="14851" max="14851" width="8.7109375" style="3581" customWidth="1"/>
    <col min="14852" max="14852" width="8.28515625" style="3581" customWidth="1"/>
    <col min="14853" max="14853" width="11" style="3581" customWidth="1"/>
    <col min="14854" max="14854" width="9.7109375" style="3581" customWidth="1"/>
    <col min="14855" max="14855" width="9.85546875" style="3581" customWidth="1"/>
    <col min="14856" max="14856" width="9.5703125" style="3581" customWidth="1"/>
    <col min="14857" max="14857" width="11.42578125" style="3581"/>
    <col min="14858" max="14858" width="8.140625" style="3581" customWidth="1"/>
    <col min="14859" max="14859" width="9.28515625" style="3581" customWidth="1"/>
    <col min="14860" max="14860" width="10.28515625" style="3581" customWidth="1"/>
    <col min="14861" max="14861" width="11.85546875" style="3581" bestFit="1" customWidth="1"/>
    <col min="14862" max="14862" width="9.5703125" style="3581" customWidth="1"/>
    <col min="14863" max="14866" width="11.5703125" style="3581" bestFit="1" customWidth="1"/>
    <col min="14867" max="14867" width="13.7109375" style="3581" customWidth="1"/>
    <col min="14868" max="14868" width="13.5703125" style="3581" customWidth="1"/>
    <col min="14869" max="14870" width="11.42578125" style="3581"/>
    <col min="14871" max="14871" width="9.42578125" style="3581" customWidth="1"/>
    <col min="14872" max="14872" width="10" style="3581" customWidth="1"/>
    <col min="14873" max="15104" width="11.42578125" style="3581"/>
    <col min="15105" max="15105" width="7.5703125" style="3581" customWidth="1"/>
    <col min="15106" max="15106" width="8" style="3581" customWidth="1"/>
    <col min="15107" max="15107" width="8.7109375" style="3581" customWidth="1"/>
    <col min="15108" max="15108" width="8.28515625" style="3581" customWidth="1"/>
    <col min="15109" max="15109" width="11" style="3581" customWidth="1"/>
    <col min="15110" max="15110" width="9.7109375" style="3581" customWidth="1"/>
    <col min="15111" max="15111" width="9.85546875" style="3581" customWidth="1"/>
    <col min="15112" max="15112" width="9.5703125" style="3581" customWidth="1"/>
    <col min="15113" max="15113" width="11.42578125" style="3581"/>
    <col min="15114" max="15114" width="8.140625" style="3581" customWidth="1"/>
    <col min="15115" max="15115" width="9.28515625" style="3581" customWidth="1"/>
    <col min="15116" max="15116" width="10.28515625" style="3581" customWidth="1"/>
    <col min="15117" max="15117" width="11.85546875" style="3581" bestFit="1" customWidth="1"/>
    <col min="15118" max="15118" width="9.5703125" style="3581" customWidth="1"/>
    <col min="15119" max="15122" width="11.5703125" style="3581" bestFit="1" customWidth="1"/>
    <col min="15123" max="15123" width="13.7109375" style="3581" customWidth="1"/>
    <col min="15124" max="15124" width="13.5703125" style="3581" customWidth="1"/>
    <col min="15125" max="15126" width="11.42578125" style="3581"/>
    <col min="15127" max="15127" width="9.42578125" style="3581" customWidth="1"/>
    <col min="15128" max="15128" width="10" style="3581" customWidth="1"/>
    <col min="15129" max="15360" width="11.42578125" style="3581"/>
    <col min="15361" max="15361" width="7.5703125" style="3581" customWidth="1"/>
    <col min="15362" max="15362" width="8" style="3581" customWidth="1"/>
    <col min="15363" max="15363" width="8.7109375" style="3581" customWidth="1"/>
    <col min="15364" max="15364" width="8.28515625" style="3581" customWidth="1"/>
    <col min="15365" max="15365" width="11" style="3581" customWidth="1"/>
    <col min="15366" max="15366" width="9.7109375" style="3581" customWidth="1"/>
    <col min="15367" max="15367" width="9.85546875" style="3581" customWidth="1"/>
    <col min="15368" max="15368" width="9.5703125" style="3581" customWidth="1"/>
    <col min="15369" max="15369" width="11.42578125" style="3581"/>
    <col min="15370" max="15370" width="8.140625" style="3581" customWidth="1"/>
    <col min="15371" max="15371" width="9.28515625" style="3581" customWidth="1"/>
    <col min="15372" max="15372" width="10.28515625" style="3581" customWidth="1"/>
    <col min="15373" max="15373" width="11.85546875" style="3581" bestFit="1" customWidth="1"/>
    <col min="15374" max="15374" width="9.5703125" style="3581" customWidth="1"/>
    <col min="15375" max="15378" width="11.5703125" style="3581" bestFit="1" customWidth="1"/>
    <col min="15379" max="15379" width="13.7109375" style="3581" customWidth="1"/>
    <col min="15380" max="15380" width="13.5703125" style="3581" customWidth="1"/>
    <col min="15381" max="15382" width="11.42578125" style="3581"/>
    <col min="15383" max="15383" width="9.42578125" style="3581" customWidth="1"/>
    <col min="15384" max="15384" width="10" style="3581" customWidth="1"/>
    <col min="15385" max="15616" width="11.42578125" style="3581"/>
    <col min="15617" max="15617" width="7.5703125" style="3581" customWidth="1"/>
    <col min="15618" max="15618" width="8" style="3581" customWidth="1"/>
    <col min="15619" max="15619" width="8.7109375" style="3581" customWidth="1"/>
    <col min="15620" max="15620" width="8.28515625" style="3581" customWidth="1"/>
    <col min="15621" max="15621" width="11" style="3581" customWidth="1"/>
    <col min="15622" max="15622" width="9.7109375" style="3581" customWidth="1"/>
    <col min="15623" max="15623" width="9.85546875" style="3581" customWidth="1"/>
    <col min="15624" max="15624" width="9.5703125" style="3581" customWidth="1"/>
    <col min="15625" max="15625" width="11.42578125" style="3581"/>
    <col min="15626" max="15626" width="8.140625" style="3581" customWidth="1"/>
    <col min="15627" max="15627" width="9.28515625" style="3581" customWidth="1"/>
    <col min="15628" max="15628" width="10.28515625" style="3581" customWidth="1"/>
    <col min="15629" max="15629" width="11.85546875" style="3581" bestFit="1" customWidth="1"/>
    <col min="15630" max="15630" width="9.5703125" style="3581" customWidth="1"/>
    <col min="15631" max="15634" width="11.5703125" style="3581" bestFit="1" customWidth="1"/>
    <col min="15635" max="15635" width="13.7109375" style="3581" customWidth="1"/>
    <col min="15636" max="15636" width="13.5703125" style="3581" customWidth="1"/>
    <col min="15637" max="15638" width="11.42578125" style="3581"/>
    <col min="15639" max="15639" width="9.42578125" style="3581" customWidth="1"/>
    <col min="15640" max="15640" width="10" style="3581" customWidth="1"/>
    <col min="15641" max="15872" width="11.42578125" style="3581"/>
    <col min="15873" max="15873" width="7.5703125" style="3581" customWidth="1"/>
    <col min="15874" max="15874" width="8" style="3581" customWidth="1"/>
    <col min="15875" max="15875" width="8.7109375" style="3581" customWidth="1"/>
    <col min="15876" max="15876" width="8.28515625" style="3581" customWidth="1"/>
    <col min="15877" max="15877" width="11" style="3581" customWidth="1"/>
    <col min="15878" max="15878" width="9.7109375" style="3581" customWidth="1"/>
    <col min="15879" max="15879" width="9.85546875" style="3581" customWidth="1"/>
    <col min="15880" max="15880" width="9.5703125" style="3581" customWidth="1"/>
    <col min="15881" max="15881" width="11.42578125" style="3581"/>
    <col min="15882" max="15882" width="8.140625" style="3581" customWidth="1"/>
    <col min="15883" max="15883" width="9.28515625" style="3581" customWidth="1"/>
    <col min="15884" max="15884" width="10.28515625" style="3581" customWidth="1"/>
    <col min="15885" max="15885" width="11.85546875" style="3581" bestFit="1" customWidth="1"/>
    <col min="15886" max="15886" width="9.5703125" style="3581" customWidth="1"/>
    <col min="15887" max="15890" width="11.5703125" style="3581" bestFit="1" customWidth="1"/>
    <col min="15891" max="15891" width="13.7109375" style="3581" customWidth="1"/>
    <col min="15892" max="15892" width="13.5703125" style="3581" customWidth="1"/>
    <col min="15893" max="15894" width="11.42578125" style="3581"/>
    <col min="15895" max="15895" width="9.42578125" style="3581" customWidth="1"/>
    <col min="15896" max="15896" width="10" style="3581" customWidth="1"/>
    <col min="15897" max="16128" width="11.42578125" style="3581"/>
    <col min="16129" max="16129" width="7.5703125" style="3581" customWidth="1"/>
    <col min="16130" max="16130" width="8" style="3581" customWidth="1"/>
    <col min="16131" max="16131" width="8.7109375" style="3581" customWidth="1"/>
    <col min="16132" max="16132" width="8.28515625" style="3581" customWidth="1"/>
    <col min="16133" max="16133" width="11" style="3581" customWidth="1"/>
    <col min="16134" max="16134" width="9.7109375" style="3581" customWidth="1"/>
    <col min="16135" max="16135" width="9.85546875" style="3581" customWidth="1"/>
    <col min="16136" max="16136" width="9.5703125" style="3581" customWidth="1"/>
    <col min="16137" max="16137" width="11.42578125" style="3581"/>
    <col min="16138" max="16138" width="8.140625" style="3581" customWidth="1"/>
    <col min="16139" max="16139" width="9.28515625" style="3581" customWidth="1"/>
    <col min="16140" max="16140" width="10.28515625" style="3581" customWidth="1"/>
    <col min="16141" max="16141" width="11.85546875" style="3581" bestFit="1" customWidth="1"/>
    <col min="16142" max="16142" width="9.5703125" style="3581" customWidth="1"/>
    <col min="16143" max="16146" width="11.5703125" style="3581" bestFit="1" customWidth="1"/>
    <col min="16147" max="16147" width="13.7109375" style="3581" customWidth="1"/>
    <col min="16148" max="16148" width="13.5703125" style="3581" customWidth="1"/>
    <col min="16149" max="16150" width="11.42578125" style="3581"/>
    <col min="16151" max="16151" width="9.42578125" style="3581" customWidth="1"/>
    <col min="16152" max="16152" width="10" style="3581" customWidth="1"/>
    <col min="16153" max="16384" width="11.42578125" style="3581"/>
  </cols>
  <sheetData>
    <row r="1" spans="1:26" ht="15">
      <c r="A1" s="4776" t="s">
        <v>5</v>
      </c>
      <c r="B1" s="4776"/>
      <c r="C1" s="4776"/>
      <c r="D1" s="4776"/>
      <c r="E1" s="4776"/>
      <c r="F1" s="4776"/>
      <c r="G1" s="4776"/>
      <c r="H1" s="4776"/>
      <c r="I1" s="4776"/>
      <c r="J1" s="4776"/>
      <c r="K1" s="4776"/>
      <c r="L1" s="4776"/>
      <c r="M1" s="4776"/>
      <c r="N1" s="4776"/>
      <c r="O1" s="4776"/>
      <c r="P1" s="4776"/>
      <c r="Q1" s="4776"/>
      <c r="R1" s="4776"/>
      <c r="S1" s="4776"/>
      <c r="T1" s="4776"/>
    </row>
    <row r="2" spans="1:26" ht="15">
      <c r="A2" s="4777" t="s">
        <v>2559</v>
      </c>
      <c r="B2" s="4777"/>
      <c r="C2" s="4777"/>
      <c r="D2" s="4777"/>
      <c r="E2" s="4777"/>
      <c r="F2" s="4777"/>
      <c r="G2" s="4777"/>
      <c r="H2" s="4777"/>
      <c r="I2" s="4777"/>
      <c r="J2" s="4777"/>
      <c r="K2" s="4777"/>
      <c r="L2" s="4777"/>
      <c r="M2" s="4777"/>
      <c r="N2" s="4777"/>
      <c r="O2" s="4777"/>
      <c r="P2" s="4777"/>
      <c r="Q2" s="4777"/>
      <c r="R2" s="4777"/>
      <c r="S2" s="4777"/>
      <c r="T2" s="4777"/>
    </row>
    <row r="3" spans="1:26" ht="15">
      <c r="A3" s="4776" t="s">
        <v>7</v>
      </c>
      <c r="B3" s="4776"/>
      <c r="C3" s="4776"/>
      <c r="D3" s="4776"/>
      <c r="E3" s="4776"/>
      <c r="F3" s="4776"/>
      <c r="G3" s="4776"/>
      <c r="H3" s="4776"/>
      <c r="I3" s="4776"/>
      <c r="J3" s="4776"/>
      <c r="K3" s="4776"/>
      <c r="L3" s="4776"/>
      <c r="M3" s="4776"/>
      <c r="N3" s="4776"/>
      <c r="O3" s="4776"/>
      <c r="P3" s="4776"/>
      <c r="Q3" s="4776"/>
      <c r="R3" s="4776"/>
      <c r="S3" s="4776"/>
      <c r="T3" s="4776"/>
    </row>
    <row r="4" spans="1:26" ht="15">
      <c r="A4" s="4776" t="s">
        <v>2560</v>
      </c>
      <c r="B4" s="4776"/>
      <c r="C4" s="4776"/>
      <c r="D4" s="4776"/>
      <c r="E4" s="4776"/>
      <c r="F4" s="4776"/>
      <c r="G4" s="4776"/>
      <c r="H4" s="4776"/>
      <c r="I4" s="4776"/>
      <c r="J4" s="4776"/>
      <c r="K4" s="4776"/>
      <c r="L4" s="4776"/>
      <c r="M4" s="4776"/>
      <c r="N4" s="4776"/>
      <c r="O4" s="4776"/>
      <c r="P4" s="4776"/>
      <c r="Q4" s="4776"/>
      <c r="R4" s="4776"/>
      <c r="S4" s="4776"/>
      <c r="T4" s="4776"/>
    </row>
    <row r="5" spans="1:26" ht="15.75" thickBot="1">
      <c r="A5" s="4778" t="s">
        <v>3058</v>
      </c>
      <c r="B5" s="4778"/>
      <c r="C5" s="4778"/>
      <c r="D5" s="4778"/>
      <c r="E5" s="4778"/>
      <c r="F5" s="4778"/>
      <c r="G5" s="4778"/>
      <c r="H5" s="4778"/>
      <c r="I5" s="4778"/>
      <c r="J5" s="4778"/>
      <c r="K5" s="4778"/>
      <c r="L5" s="4778"/>
      <c r="M5" s="4778"/>
      <c r="N5" s="4778"/>
      <c r="O5" s="4778"/>
      <c r="P5" s="4778"/>
      <c r="Q5" s="4778"/>
      <c r="R5" s="4778"/>
      <c r="S5" s="4778"/>
      <c r="T5" s="4778"/>
      <c r="U5" s="3582"/>
      <c r="V5" s="3582"/>
      <c r="W5" s="3582"/>
      <c r="X5" s="3582"/>
    </row>
    <row r="6" spans="1:26" ht="29.25" customHeight="1" thickBot="1">
      <c r="A6" s="3583" t="s">
        <v>3059</v>
      </c>
      <c r="B6" s="3583" t="s">
        <v>3060</v>
      </c>
      <c r="C6" s="3584" t="s">
        <v>3061</v>
      </c>
      <c r="D6" s="3585" t="s">
        <v>3062</v>
      </c>
      <c r="E6" s="3586" t="s">
        <v>3063</v>
      </c>
      <c r="F6" s="3586" t="s">
        <v>3064</v>
      </c>
      <c r="G6" s="3586" t="s">
        <v>3065</v>
      </c>
      <c r="H6" s="3586" t="s">
        <v>3066</v>
      </c>
      <c r="I6" s="3587" t="s">
        <v>3067</v>
      </c>
      <c r="J6" s="3586" t="s">
        <v>3068</v>
      </c>
      <c r="K6" s="3588" t="s">
        <v>3069</v>
      </c>
      <c r="L6" s="3589" t="s">
        <v>3070</v>
      </c>
      <c r="M6" s="3588" t="s">
        <v>3071</v>
      </c>
      <c r="N6" s="3589" t="s">
        <v>3072</v>
      </c>
      <c r="O6" s="3585" t="s">
        <v>3073</v>
      </c>
      <c r="P6" s="3585" t="s">
        <v>3074</v>
      </c>
      <c r="Q6" s="3585" t="s">
        <v>3075</v>
      </c>
      <c r="R6" s="3585" t="s">
        <v>3076</v>
      </c>
      <c r="S6" s="3589" t="s">
        <v>3077</v>
      </c>
      <c r="T6" s="3589" t="s">
        <v>3078</v>
      </c>
      <c r="U6" s="3590" t="s">
        <v>3079</v>
      </c>
      <c r="V6" s="3591"/>
      <c r="W6" s="3591"/>
      <c r="X6" s="3591" t="s">
        <v>3080</v>
      </c>
      <c r="Y6" s="3592" t="s">
        <v>3063</v>
      </c>
      <c r="Z6" s="3581" t="s">
        <v>3081</v>
      </c>
    </row>
    <row r="7" spans="1:26" s="3604" customFormat="1" ht="15.75" customHeight="1" thickBot="1">
      <c r="A7" s="3593" t="s">
        <v>3082</v>
      </c>
      <c r="B7" s="3594"/>
      <c r="C7" s="3594"/>
      <c r="D7" s="3595"/>
      <c r="E7" s="3595"/>
      <c r="F7" s="3595"/>
      <c r="G7" s="3595"/>
      <c r="H7" s="3595"/>
      <c r="I7" s="3596"/>
      <c r="J7" s="3597"/>
      <c r="K7" s="3598"/>
      <c r="L7" s="3598"/>
      <c r="M7" s="3598"/>
      <c r="N7" s="3599"/>
      <c r="O7" s="3597"/>
      <c r="P7" s="3597"/>
      <c r="Q7" s="3597"/>
      <c r="R7" s="3597"/>
      <c r="S7" s="3600"/>
      <c r="T7" s="3600"/>
      <c r="U7" s="3600"/>
      <c r="V7" s="3591"/>
      <c r="W7" s="3601"/>
      <c r="X7" s="3601">
        <v>4</v>
      </c>
      <c r="Y7" s="3602">
        <v>0.6</v>
      </c>
      <c r="Z7" s="3603">
        <f t="shared" ref="Z7:Z14" si="0">X7^2/1974</f>
        <v>8.0999999999999996E-3</v>
      </c>
    </row>
    <row r="8" spans="1:26" ht="14.25" customHeight="1">
      <c r="A8" s="3605" t="s">
        <v>3083</v>
      </c>
      <c r="B8" s="3606" t="s">
        <v>3084</v>
      </c>
      <c r="C8" s="3607">
        <v>75.569999999999993</v>
      </c>
      <c r="D8" s="3608">
        <v>12</v>
      </c>
      <c r="E8" s="3609">
        <f>IF(D8=0,0,LOOKUP(D8,$X$7:$X$14,$Y$7:$Y$14))</f>
        <v>0.85</v>
      </c>
      <c r="F8" s="3610">
        <f>E8*0.1</f>
        <v>8.5000000000000006E-2</v>
      </c>
      <c r="G8" s="3611">
        <f>O8-P8</f>
        <v>1.39</v>
      </c>
      <c r="H8" s="3611">
        <f>Q8-R8</f>
        <v>1.9</v>
      </c>
      <c r="I8" s="3612">
        <f t="shared" ref="I8:I33" si="1">(G8+H8)/2*E8*C8</f>
        <v>105.67</v>
      </c>
      <c r="J8" s="3609">
        <f>IF(D8=0,0,LOOKUP(D8,$X$7:$X$14,$Z$7:$Z$14)*C8)</f>
        <v>5.51</v>
      </c>
      <c r="K8" s="3613">
        <f t="shared" ref="K8:K32" si="2">C8*F8</f>
        <v>6.42</v>
      </c>
      <c r="L8" s="3613">
        <f>I8+K8</f>
        <v>112.09</v>
      </c>
      <c r="M8" s="3613">
        <f t="shared" ref="M8:M32" si="3">(L8-K8-J8)*0.95</f>
        <v>95.15</v>
      </c>
      <c r="N8" s="3614">
        <f t="shared" ref="N8:N32" si="4">(L8-M8)*1.2</f>
        <v>20.329999999999998</v>
      </c>
      <c r="O8" s="3615">
        <v>30.77</v>
      </c>
      <c r="P8" s="3605">
        <v>29.38</v>
      </c>
      <c r="Q8" s="3605">
        <v>30.4</v>
      </c>
      <c r="R8" s="3616">
        <v>28.5</v>
      </c>
      <c r="S8" s="3615">
        <f>IF(AND(G8&lt;=1.5,H8&lt;=1.5),L8,IF(AND(G8&lt;=1.5,H8&gt;1.5),(((G8+1.5)*C8)/2)*E8,IF(AND(G8&gt;1.5,H8&lt;=1.5),(((H8+1.5)*C8)/2)*E8,IF(AND(G8&gt;1.5,H8&gt;1.5),(((1.5+1.5)*C8)/2)*E8,0))))</f>
        <v>92.82</v>
      </c>
      <c r="T8" s="3617">
        <f>(L8-S8)</f>
        <v>19.27</v>
      </c>
      <c r="U8" s="3618"/>
      <c r="V8" s="3619"/>
      <c r="W8" s="3620"/>
      <c r="X8" s="3620">
        <v>6</v>
      </c>
      <c r="Y8" s="3621">
        <v>0.7</v>
      </c>
      <c r="Z8" s="3603">
        <f t="shared" si="0"/>
        <v>1.8200000000000001E-2</v>
      </c>
    </row>
    <row r="9" spans="1:26" ht="14.25" customHeight="1" thickBot="1">
      <c r="A9" s="3622"/>
      <c r="B9" s="3622"/>
      <c r="C9" s="3623"/>
      <c r="D9" s="3624"/>
      <c r="E9" s="3625">
        <f>IF(D9=0,0,LOOKUP(D9,$X$7:$X$14,$Y$7:$Y$14))</f>
        <v>0</v>
      </c>
      <c r="F9" s="3626">
        <f>E9*0.1</f>
        <v>0</v>
      </c>
      <c r="G9" s="3627">
        <f>O9-P9</f>
        <v>0</v>
      </c>
      <c r="H9" s="3628">
        <f>Q9-R9</f>
        <v>0</v>
      </c>
      <c r="I9" s="3629">
        <f t="shared" si="1"/>
        <v>0</v>
      </c>
      <c r="J9" s="3625">
        <f>IF(D9=0,0,LOOKUP(D9,$X$7:$X$14,$Z$7:$Z$14)*C9)</f>
        <v>0</v>
      </c>
      <c r="K9" s="3630">
        <f t="shared" si="2"/>
        <v>0</v>
      </c>
      <c r="L9" s="3630">
        <f>I9+K9</f>
        <v>0</v>
      </c>
      <c r="M9" s="3630">
        <f t="shared" si="3"/>
        <v>0</v>
      </c>
      <c r="N9" s="3631">
        <f t="shared" si="4"/>
        <v>0</v>
      </c>
      <c r="O9" s="3632"/>
      <c r="P9" s="3633"/>
      <c r="Q9" s="3622"/>
      <c r="R9" s="3634"/>
      <c r="S9" s="3632">
        <f t="shared" ref="S9:S56" si="5">IF(AND(G9&lt;=1.5,H9&lt;=1.5),L9,IF(AND(G9&lt;=1.5,H9&gt;1.5),(((G9+1.5)*C9)/2)*E9,IF(AND(G9&gt;1.5,H9&lt;=1.5),(((H9+1.5)*C9)/2)*E9,IF(AND(G9&gt;1.5,H9&gt;1.5),(((1.5+1.5)*C9)/2)*E9,0))))</f>
        <v>0</v>
      </c>
      <c r="T9" s="3635">
        <f t="shared" ref="T9:T56" si="6">(L9-S9)</f>
        <v>0</v>
      </c>
      <c r="U9" s="3636"/>
      <c r="V9" s="3619"/>
      <c r="W9" s="3620"/>
      <c r="X9" s="3620">
        <v>8</v>
      </c>
      <c r="Y9" s="3621">
        <v>0.75</v>
      </c>
      <c r="Z9" s="3603">
        <f t="shared" si="0"/>
        <v>3.2399999999999998E-2</v>
      </c>
    </row>
    <row r="10" spans="1:26" ht="14.25" customHeight="1" thickTop="1" thickBot="1">
      <c r="A10" s="3637" t="s">
        <v>289</v>
      </c>
      <c r="B10" s="3638"/>
      <c r="C10" s="3639">
        <f>SUM(C8:C9)</f>
        <v>75.569999999999993</v>
      </c>
      <c r="D10" s="3640"/>
      <c r="E10" s="3641">
        <f t="shared" ref="E10:E33" si="7">IF(D10=0,0,LOOKUP(D10,$X$7:$X$14,$Y$7:$Y$14))</f>
        <v>0</v>
      </c>
      <c r="F10" s="3642">
        <f>E10*0.1</f>
        <v>0</v>
      </c>
      <c r="G10" s="3643">
        <f t="shared" ref="G10:G33" si="8">O10-P10</f>
        <v>0</v>
      </c>
      <c r="H10" s="3644">
        <f t="shared" ref="H10:H33" si="9">Q10-R10</f>
        <v>0</v>
      </c>
      <c r="I10" s="3645">
        <f t="shared" si="1"/>
        <v>0</v>
      </c>
      <c r="J10" s="3646">
        <f t="shared" ref="J10:J34" si="10">IF(D10=0,0,LOOKUP(D10,$X$7:$X$14,$Z$7:$Z$14)*C10)</f>
        <v>0</v>
      </c>
      <c r="K10" s="3647">
        <f>SUM(K8:K9)</f>
        <v>6.42</v>
      </c>
      <c r="L10" s="3648">
        <f>SUM(L8:L9)</f>
        <v>112.09</v>
      </c>
      <c r="M10" s="3648">
        <f>SUM(M8:M9)</f>
        <v>95.15</v>
      </c>
      <c r="N10" s="3649">
        <f>SUM(N8:N9)</f>
        <v>20.329999999999998</v>
      </c>
      <c r="O10" s="3650"/>
      <c r="P10" s="3651"/>
      <c r="Q10" s="3638"/>
      <c r="R10" s="3651"/>
      <c r="S10" s="3639">
        <f>SUM(S8:S9)</f>
        <v>92.82</v>
      </c>
      <c r="T10" s="3652">
        <f>SUM(T8:T9)</f>
        <v>19.27</v>
      </c>
      <c r="U10" s="3636"/>
      <c r="V10" s="3619"/>
      <c r="W10" s="3620"/>
      <c r="X10" s="3620">
        <v>10</v>
      </c>
      <c r="Y10" s="3621">
        <v>0.8</v>
      </c>
      <c r="Z10" s="3603">
        <f t="shared" si="0"/>
        <v>5.0700000000000002E-2</v>
      </c>
    </row>
    <row r="11" spans="1:26" ht="14.25" customHeight="1" thickTop="1" thickBot="1">
      <c r="A11" s="3622"/>
      <c r="B11" s="3622"/>
      <c r="C11" s="3623"/>
      <c r="D11" s="3624"/>
      <c r="E11" s="3625">
        <f t="shared" si="7"/>
        <v>0</v>
      </c>
      <c r="F11" s="3626">
        <f t="shared" ref="F11:F33" si="11">E11*0.1</f>
        <v>0</v>
      </c>
      <c r="G11" s="3627">
        <f t="shared" si="8"/>
        <v>0</v>
      </c>
      <c r="H11" s="3628">
        <f t="shared" si="9"/>
        <v>0</v>
      </c>
      <c r="I11" s="3629">
        <f t="shared" si="1"/>
        <v>0</v>
      </c>
      <c r="J11" s="3625">
        <f t="shared" si="10"/>
        <v>0</v>
      </c>
      <c r="K11" s="3630">
        <f>C11*F11</f>
        <v>0</v>
      </c>
      <c r="L11" s="3630">
        <f t="shared" ref="L11:L56" si="12">I11+K11</f>
        <v>0</v>
      </c>
      <c r="M11" s="3630">
        <f t="shared" si="3"/>
        <v>0</v>
      </c>
      <c r="N11" s="3631">
        <f t="shared" si="4"/>
        <v>0</v>
      </c>
      <c r="O11" s="3632"/>
      <c r="P11" s="3633"/>
      <c r="Q11" s="3622"/>
      <c r="R11" s="3634"/>
      <c r="S11" s="3632">
        <f t="shared" si="5"/>
        <v>0</v>
      </c>
      <c r="T11" s="3635">
        <f t="shared" si="6"/>
        <v>0</v>
      </c>
      <c r="U11" s="3636"/>
      <c r="V11" s="3619"/>
      <c r="W11" s="3620"/>
      <c r="X11" s="3620">
        <v>12</v>
      </c>
      <c r="Y11" s="3621">
        <v>0.85</v>
      </c>
      <c r="Z11" s="3603">
        <f t="shared" si="0"/>
        <v>7.2900000000000006E-2</v>
      </c>
    </row>
    <row r="12" spans="1:26" ht="14.25" customHeight="1" thickBot="1">
      <c r="A12" s="3653" t="s">
        <v>3085</v>
      </c>
      <c r="B12" s="3654" t="s">
        <v>3086</v>
      </c>
      <c r="C12" s="3655">
        <f>C10*1.04</f>
        <v>78.59</v>
      </c>
      <c r="D12" s="3656"/>
      <c r="E12" s="3657" t="s">
        <v>3087</v>
      </c>
      <c r="F12" s="3626"/>
      <c r="G12" s="3658"/>
      <c r="H12" s="3659">
        <f>C10*Y11</f>
        <v>64.23</v>
      </c>
      <c r="I12" s="3629"/>
      <c r="J12" s="3625"/>
      <c r="K12" s="3630"/>
      <c r="L12" s="3630"/>
      <c r="M12" s="3630"/>
      <c r="N12" s="3631"/>
      <c r="O12" s="3632"/>
      <c r="P12" s="3633"/>
      <c r="Q12" s="3622"/>
      <c r="R12" s="3634"/>
      <c r="S12" s="3632"/>
      <c r="T12" s="3635">
        <f t="shared" si="6"/>
        <v>0</v>
      </c>
      <c r="U12" s="3636"/>
      <c r="V12" s="3619"/>
      <c r="W12" s="3620"/>
      <c r="X12" s="3620">
        <v>16</v>
      </c>
      <c r="Y12" s="3621">
        <v>1</v>
      </c>
      <c r="Z12" s="3603">
        <f t="shared" si="0"/>
        <v>0.12970000000000001</v>
      </c>
    </row>
    <row r="13" spans="1:26" ht="14.25" customHeight="1">
      <c r="A13" s="3622"/>
      <c r="B13" s="3622"/>
      <c r="C13" s="3623"/>
      <c r="D13" s="3624"/>
      <c r="E13" s="3625">
        <f t="shared" si="7"/>
        <v>0</v>
      </c>
      <c r="F13" s="3626">
        <f t="shared" si="11"/>
        <v>0</v>
      </c>
      <c r="G13" s="3627">
        <f t="shared" si="8"/>
        <v>0</v>
      </c>
      <c r="H13" s="3628">
        <f t="shared" si="9"/>
        <v>0</v>
      </c>
      <c r="I13" s="3629">
        <f t="shared" si="1"/>
        <v>0</v>
      </c>
      <c r="J13" s="3625">
        <f t="shared" si="10"/>
        <v>0</v>
      </c>
      <c r="K13" s="3630">
        <f t="shared" si="2"/>
        <v>0</v>
      </c>
      <c r="L13" s="3630">
        <f t="shared" si="12"/>
        <v>0</v>
      </c>
      <c r="M13" s="3630">
        <f t="shared" si="3"/>
        <v>0</v>
      </c>
      <c r="N13" s="3631">
        <f t="shared" si="4"/>
        <v>0</v>
      </c>
      <c r="O13" s="3632"/>
      <c r="P13" s="3633"/>
      <c r="Q13" s="3622"/>
      <c r="R13" s="3634"/>
      <c r="S13" s="3632">
        <f t="shared" si="5"/>
        <v>0</v>
      </c>
      <c r="T13" s="3635">
        <f t="shared" si="6"/>
        <v>0</v>
      </c>
      <c r="U13" s="3636"/>
      <c r="V13" s="3619"/>
      <c r="W13" s="3620"/>
      <c r="X13" s="3620">
        <v>20</v>
      </c>
      <c r="Y13" s="3621">
        <v>1.2</v>
      </c>
      <c r="Z13" s="3603">
        <f t="shared" si="0"/>
        <v>0.2026</v>
      </c>
    </row>
    <row r="14" spans="1:26" ht="14.25" customHeight="1">
      <c r="A14" s="3622"/>
      <c r="B14" s="3622"/>
      <c r="C14" s="3623"/>
      <c r="D14" s="3624"/>
      <c r="E14" s="3625">
        <f t="shared" si="7"/>
        <v>0</v>
      </c>
      <c r="F14" s="3626">
        <f t="shared" si="11"/>
        <v>0</v>
      </c>
      <c r="G14" s="3627">
        <f t="shared" si="8"/>
        <v>0</v>
      </c>
      <c r="H14" s="3628">
        <f t="shared" si="9"/>
        <v>0</v>
      </c>
      <c r="I14" s="3629">
        <f t="shared" si="1"/>
        <v>0</v>
      </c>
      <c r="J14" s="3625">
        <f t="shared" si="10"/>
        <v>0</v>
      </c>
      <c r="K14" s="3630">
        <f t="shared" si="2"/>
        <v>0</v>
      </c>
      <c r="L14" s="3630">
        <f t="shared" si="12"/>
        <v>0</v>
      </c>
      <c r="M14" s="3630">
        <f t="shared" si="3"/>
        <v>0</v>
      </c>
      <c r="N14" s="3631">
        <f t="shared" si="4"/>
        <v>0</v>
      </c>
      <c r="O14" s="3632"/>
      <c r="P14" s="3633"/>
      <c r="Q14" s="3622"/>
      <c r="R14" s="3634"/>
      <c r="S14" s="3632">
        <f t="shared" si="5"/>
        <v>0</v>
      </c>
      <c r="T14" s="3635">
        <f t="shared" si="6"/>
        <v>0</v>
      </c>
      <c r="U14" s="3636"/>
      <c r="V14" s="3619"/>
      <c r="W14" s="3620"/>
      <c r="X14" s="3620">
        <v>24</v>
      </c>
      <c r="Y14" s="3621">
        <v>1.3</v>
      </c>
      <c r="Z14" s="3603">
        <f t="shared" si="0"/>
        <v>0.2918</v>
      </c>
    </row>
    <row r="15" spans="1:26" ht="14.25" customHeight="1">
      <c r="A15" s="3622"/>
      <c r="B15" s="3622"/>
      <c r="C15" s="3623"/>
      <c r="D15" s="3624"/>
      <c r="E15" s="3625">
        <f t="shared" si="7"/>
        <v>0</v>
      </c>
      <c r="F15" s="3626">
        <f t="shared" si="11"/>
        <v>0</v>
      </c>
      <c r="G15" s="3627">
        <f t="shared" si="8"/>
        <v>0</v>
      </c>
      <c r="H15" s="3628">
        <f t="shared" si="9"/>
        <v>0</v>
      </c>
      <c r="I15" s="3629">
        <f t="shared" si="1"/>
        <v>0</v>
      </c>
      <c r="J15" s="3625">
        <f t="shared" si="10"/>
        <v>0</v>
      </c>
      <c r="K15" s="3630">
        <f t="shared" si="2"/>
        <v>0</v>
      </c>
      <c r="L15" s="3630">
        <f t="shared" si="12"/>
        <v>0</v>
      </c>
      <c r="M15" s="3630">
        <f t="shared" si="3"/>
        <v>0</v>
      </c>
      <c r="N15" s="3631">
        <f t="shared" si="4"/>
        <v>0</v>
      </c>
      <c r="O15" s="3632"/>
      <c r="P15" s="3633"/>
      <c r="Q15" s="3622"/>
      <c r="R15" s="3634"/>
      <c r="S15" s="3632">
        <f t="shared" si="5"/>
        <v>0</v>
      </c>
      <c r="T15" s="3635">
        <f t="shared" si="6"/>
        <v>0</v>
      </c>
      <c r="U15" s="3636"/>
      <c r="V15" s="3619"/>
      <c r="W15" s="3620"/>
      <c r="X15" s="3660"/>
    </row>
    <row r="16" spans="1:26" ht="14.25" customHeight="1">
      <c r="A16" s="3593" t="s">
        <v>3088</v>
      </c>
      <c r="B16" s="3661"/>
      <c r="C16" s="3662"/>
      <c r="D16" s="3663"/>
      <c r="E16" s="3664"/>
      <c r="F16" s="3665"/>
      <c r="G16" s="3666"/>
      <c r="H16" s="3628">
        <f t="shared" si="9"/>
        <v>0</v>
      </c>
      <c r="I16" s="3629">
        <f t="shared" si="1"/>
        <v>0</v>
      </c>
      <c r="J16" s="3625">
        <f t="shared" si="10"/>
        <v>0</v>
      </c>
      <c r="K16" s="3630">
        <f t="shared" si="2"/>
        <v>0</v>
      </c>
      <c r="L16" s="3630">
        <f t="shared" si="12"/>
        <v>0</v>
      </c>
      <c r="M16" s="3630">
        <f t="shared" si="3"/>
        <v>0</v>
      </c>
      <c r="N16" s="3631">
        <f t="shared" si="4"/>
        <v>0</v>
      </c>
      <c r="O16" s="3632"/>
      <c r="P16" s="3633"/>
      <c r="Q16" s="3622"/>
      <c r="R16" s="3634"/>
      <c r="S16" s="3632">
        <f t="shared" si="5"/>
        <v>0</v>
      </c>
      <c r="T16" s="3635">
        <f t="shared" si="6"/>
        <v>0</v>
      </c>
      <c r="U16" s="3636"/>
      <c r="V16" s="3619"/>
      <c r="W16" s="3620"/>
      <c r="X16" s="3660"/>
    </row>
    <row r="17" spans="1:24" ht="14.25" customHeight="1">
      <c r="A17" s="3622" t="s">
        <v>3089</v>
      </c>
      <c r="B17" s="3622" t="s">
        <v>3090</v>
      </c>
      <c r="C17" s="3623">
        <v>5.3</v>
      </c>
      <c r="D17" s="3624">
        <v>12</v>
      </c>
      <c r="E17" s="3625">
        <f t="shared" si="7"/>
        <v>0.85</v>
      </c>
      <c r="F17" s="3626">
        <f t="shared" si="11"/>
        <v>8.5000000000000006E-2</v>
      </c>
      <c r="G17" s="3627">
        <f t="shared" si="8"/>
        <v>1.1000000000000001</v>
      </c>
      <c r="H17" s="3628">
        <f t="shared" si="9"/>
        <v>1.1100000000000001</v>
      </c>
      <c r="I17" s="3629">
        <f t="shared" si="1"/>
        <v>4.9800000000000004</v>
      </c>
      <c r="J17" s="3625">
        <f t="shared" si="10"/>
        <v>0.39</v>
      </c>
      <c r="K17" s="3630">
        <f t="shared" si="2"/>
        <v>0.45</v>
      </c>
      <c r="L17" s="3630">
        <f t="shared" si="12"/>
        <v>5.43</v>
      </c>
      <c r="M17" s="3630">
        <f t="shared" si="3"/>
        <v>4.3600000000000003</v>
      </c>
      <c r="N17" s="3631">
        <f t="shared" si="4"/>
        <v>1.28</v>
      </c>
      <c r="O17" s="3632">
        <v>30.4</v>
      </c>
      <c r="P17" s="3633">
        <v>29.3</v>
      </c>
      <c r="Q17" s="3622">
        <v>30.4</v>
      </c>
      <c r="R17" s="3634">
        <v>29.29</v>
      </c>
      <c r="S17" s="3632">
        <f t="shared" si="5"/>
        <v>5.43</v>
      </c>
      <c r="T17" s="3635">
        <f t="shared" si="6"/>
        <v>0</v>
      </c>
      <c r="U17" s="3636"/>
      <c r="V17" s="3619"/>
      <c r="W17" s="3620"/>
      <c r="X17" s="3660"/>
    </row>
    <row r="18" spans="1:24" ht="14.25" customHeight="1">
      <c r="A18" s="3622" t="s">
        <v>3089</v>
      </c>
      <c r="B18" s="3622" t="s">
        <v>3091</v>
      </c>
      <c r="C18" s="3623">
        <v>5.3</v>
      </c>
      <c r="D18" s="3624">
        <v>12</v>
      </c>
      <c r="E18" s="3625">
        <f t="shared" si="7"/>
        <v>0.85</v>
      </c>
      <c r="F18" s="3626">
        <f t="shared" si="11"/>
        <v>8.5000000000000006E-2</v>
      </c>
      <c r="G18" s="3627">
        <f t="shared" si="8"/>
        <v>1.1000000000000001</v>
      </c>
      <c r="H18" s="3628">
        <f t="shared" si="9"/>
        <v>1.1299999999999999</v>
      </c>
      <c r="I18" s="3629">
        <f t="shared" si="1"/>
        <v>5.0199999999999996</v>
      </c>
      <c r="J18" s="3625">
        <f t="shared" si="10"/>
        <v>0.39</v>
      </c>
      <c r="K18" s="3630">
        <f t="shared" si="2"/>
        <v>0.45</v>
      </c>
      <c r="L18" s="3630">
        <f t="shared" si="12"/>
        <v>5.47</v>
      </c>
      <c r="M18" s="3630">
        <f t="shared" si="3"/>
        <v>4.4000000000000004</v>
      </c>
      <c r="N18" s="3631">
        <f t="shared" si="4"/>
        <v>1.28</v>
      </c>
      <c r="O18" s="3632">
        <v>30.4</v>
      </c>
      <c r="P18" s="3633">
        <v>29.3</v>
      </c>
      <c r="Q18" s="3622">
        <v>30.4</v>
      </c>
      <c r="R18" s="3634">
        <v>29.27</v>
      </c>
      <c r="S18" s="3632">
        <f t="shared" si="5"/>
        <v>5.47</v>
      </c>
      <c r="T18" s="3635">
        <f t="shared" si="6"/>
        <v>0</v>
      </c>
      <c r="U18" s="3636"/>
      <c r="V18" s="3619"/>
      <c r="W18" s="3620"/>
      <c r="X18" s="3660"/>
    </row>
    <row r="19" spans="1:24" ht="14.25" customHeight="1">
      <c r="A19" s="3622" t="s">
        <v>3090</v>
      </c>
      <c r="B19" s="3622" t="s">
        <v>3091</v>
      </c>
      <c r="C19" s="3623">
        <v>8.25</v>
      </c>
      <c r="D19" s="3624">
        <v>12</v>
      </c>
      <c r="E19" s="3625">
        <f t="shared" si="7"/>
        <v>0.85</v>
      </c>
      <c r="F19" s="3626">
        <f t="shared" si="11"/>
        <v>8.5000000000000006E-2</v>
      </c>
      <c r="G19" s="3627">
        <f t="shared" si="8"/>
        <v>1.1100000000000001</v>
      </c>
      <c r="H19" s="3628">
        <f t="shared" si="9"/>
        <v>1.1299999999999999</v>
      </c>
      <c r="I19" s="3629">
        <f t="shared" si="1"/>
        <v>7.85</v>
      </c>
      <c r="J19" s="3625">
        <f t="shared" si="10"/>
        <v>0.6</v>
      </c>
      <c r="K19" s="3630">
        <f t="shared" si="2"/>
        <v>0.7</v>
      </c>
      <c r="L19" s="3630">
        <f t="shared" si="12"/>
        <v>8.5500000000000007</v>
      </c>
      <c r="M19" s="3630">
        <f t="shared" si="3"/>
        <v>6.89</v>
      </c>
      <c r="N19" s="3631">
        <f t="shared" si="4"/>
        <v>1.99</v>
      </c>
      <c r="O19" s="3632">
        <v>30.4</v>
      </c>
      <c r="P19" s="3633">
        <v>29.29</v>
      </c>
      <c r="Q19" s="3622">
        <v>30.4</v>
      </c>
      <c r="R19" s="3634">
        <v>29.27</v>
      </c>
      <c r="S19" s="3632">
        <f t="shared" si="5"/>
        <v>8.5500000000000007</v>
      </c>
      <c r="T19" s="3635">
        <f t="shared" si="6"/>
        <v>0</v>
      </c>
      <c r="U19" s="3636"/>
      <c r="V19" s="3636"/>
      <c r="W19" s="3620"/>
      <c r="X19" s="3660"/>
    </row>
    <row r="20" spans="1:24" ht="14.25" customHeight="1">
      <c r="A20" s="3622" t="s">
        <v>3091</v>
      </c>
      <c r="B20" s="3622" t="s">
        <v>3092</v>
      </c>
      <c r="C20" s="3623">
        <v>10.25</v>
      </c>
      <c r="D20" s="3624">
        <v>12</v>
      </c>
      <c r="E20" s="3625">
        <f t="shared" si="7"/>
        <v>0.85</v>
      </c>
      <c r="F20" s="3626">
        <f t="shared" si="11"/>
        <v>8.5000000000000006E-2</v>
      </c>
      <c r="G20" s="3627">
        <f t="shared" si="8"/>
        <v>1.1299999999999999</v>
      </c>
      <c r="H20" s="3628">
        <f t="shared" si="9"/>
        <v>1.1499999999999999</v>
      </c>
      <c r="I20" s="3629">
        <f t="shared" si="1"/>
        <v>9.93</v>
      </c>
      <c r="J20" s="3625">
        <f t="shared" si="10"/>
        <v>0.75</v>
      </c>
      <c r="K20" s="3630">
        <f t="shared" si="2"/>
        <v>0.87</v>
      </c>
      <c r="L20" s="3630">
        <f t="shared" si="12"/>
        <v>10.8</v>
      </c>
      <c r="M20" s="3630">
        <f t="shared" si="3"/>
        <v>8.7200000000000006</v>
      </c>
      <c r="N20" s="3631">
        <f t="shared" si="4"/>
        <v>2.5</v>
      </c>
      <c r="O20" s="3632">
        <v>30.4</v>
      </c>
      <c r="P20" s="3633">
        <v>29.27</v>
      </c>
      <c r="Q20" s="3622">
        <v>30.4</v>
      </c>
      <c r="R20" s="3634">
        <v>29.25</v>
      </c>
      <c r="S20" s="3632">
        <f t="shared" si="5"/>
        <v>10.8</v>
      </c>
      <c r="T20" s="3635">
        <f t="shared" si="6"/>
        <v>0</v>
      </c>
      <c r="U20" s="3636"/>
      <c r="V20" s="3636"/>
      <c r="W20" s="3619"/>
      <c r="X20" s="3660"/>
    </row>
    <row r="21" spans="1:24" ht="14.25" customHeight="1">
      <c r="A21" s="3622" t="s">
        <v>3092</v>
      </c>
      <c r="B21" s="3622" t="s">
        <v>3093</v>
      </c>
      <c r="C21" s="3623">
        <v>4.0599999999999996</v>
      </c>
      <c r="D21" s="3624">
        <v>12</v>
      </c>
      <c r="E21" s="3625">
        <f t="shared" si="7"/>
        <v>0.85</v>
      </c>
      <c r="F21" s="3626">
        <f t="shared" si="11"/>
        <v>8.5000000000000006E-2</v>
      </c>
      <c r="G21" s="3627">
        <f t="shared" si="8"/>
        <v>0.9</v>
      </c>
      <c r="H21" s="3628">
        <f t="shared" si="9"/>
        <v>1.1599999999999999</v>
      </c>
      <c r="I21" s="3629">
        <f t="shared" si="1"/>
        <v>3.55</v>
      </c>
      <c r="J21" s="3625">
        <f t="shared" si="10"/>
        <v>0.3</v>
      </c>
      <c r="K21" s="3630">
        <f t="shared" si="2"/>
        <v>0.35</v>
      </c>
      <c r="L21" s="3630">
        <f t="shared" si="12"/>
        <v>3.9</v>
      </c>
      <c r="M21" s="3630">
        <f t="shared" si="3"/>
        <v>3.09</v>
      </c>
      <c r="N21" s="3631">
        <f t="shared" si="4"/>
        <v>0.97</v>
      </c>
      <c r="O21" s="3632">
        <v>30.4</v>
      </c>
      <c r="P21" s="3633">
        <v>29.5</v>
      </c>
      <c r="Q21" s="3622">
        <v>30.4</v>
      </c>
      <c r="R21" s="3634">
        <v>29.24</v>
      </c>
      <c r="S21" s="3632">
        <f t="shared" si="5"/>
        <v>3.9</v>
      </c>
      <c r="T21" s="3635">
        <f t="shared" si="6"/>
        <v>0</v>
      </c>
      <c r="U21" s="3636"/>
      <c r="V21" s="3619"/>
      <c r="W21" s="3619"/>
      <c r="X21" s="3660"/>
    </row>
    <row r="22" spans="1:24" ht="14.25" customHeight="1">
      <c r="A22" s="3622" t="s">
        <v>3093</v>
      </c>
      <c r="B22" s="3622" t="s">
        <v>3094</v>
      </c>
      <c r="C22" s="3623">
        <v>10.3</v>
      </c>
      <c r="D22" s="3624">
        <v>10</v>
      </c>
      <c r="E22" s="3625">
        <f t="shared" si="7"/>
        <v>0.8</v>
      </c>
      <c r="F22" s="3626">
        <f t="shared" si="11"/>
        <v>0.08</v>
      </c>
      <c r="G22" s="3627">
        <f t="shared" si="8"/>
        <v>1.1599999999999999</v>
      </c>
      <c r="H22" s="3628">
        <f t="shared" si="9"/>
        <v>1.19</v>
      </c>
      <c r="I22" s="3629">
        <f t="shared" si="1"/>
        <v>9.68</v>
      </c>
      <c r="J22" s="3625">
        <f t="shared" si="10"/>
        <v>0.52</v>
      </c>
      <c r="K22" s="3630">
        <f t="shared" si="2"/>
        <v>0.82</v>
      </c>
      <c r="L22" s="3630">
        <f t="shared" si="12"/>
        <v>10.5</v>
      </c>
      <c r="M22" s="3630">
        <f t="shared" si="3"/>
        <v>8.6999999999999993</v>
      </c>
      <c r="N22" s="3631">
        <f t="shared" si="4"/>
        <v>2.16</v>
      </c>
      <c r="O22" s="3632">
        <v>30.4</v>
      </c>
      <c r="P22" s="3633">
        <v>29.24</v>
      </c>
      <c r="Q22" s="3622">
        <v>30.4</v>
      </c>
      <c r="R22" s="3634">
        <v>29.21</v>
      </c>
      <c r="S22" s="3632">
        <f t="shared" si="5"/>
        <v>10.5</v>
      </c>
      <c r="T22" s="3635">
        <f t="shared" si="6"/>
        <v>0</v>
      </c>
      <c r="U22" s="3636"/>
      <c r="V22" s="3619"/>
      <c r="W22" s="3619"/>
      <c r="X22" s="3660"/>
    </row>
    <row r="23" spans="1:24" ht="14.25" customHeight="1">
      <c r="A23" s="3622" t="s">
        <v>3093</v>
      </c>
      <c r="B23" s="3622" t="s">
        <v>3095</v>
      </c>
      <c r="C23" s="3623">
        <v>10</v>
      </c>
      <c r="D23" s="3624">
        <v>10</v>
      </c>
      <c r="E23" s="3625">
        <f t="shared" si="7"/>
        <v>0.8</v>
      </c>
      <c r="F23" s="3626">
        <f t="shared" si="11"/>
        <v>0.08</v>
      </c>
      <c r="G23" s="3627">
        <f t="shared" si="8"/>
        <v>1.1599999999999999</v>
      </c>
      <c r="H23" s="3628">
        <f t="shared" si="9"/>
        <v>1.18</v>
      </c>
      <c r="I23" s="3629">
        <f t="shared" si="1"/>
        <v>9.36</v>
      </c>
      <c r="J23" s="3625">
        <f t="shared" si="10"/>
        <v>0.51</v>
      </c>
      <c r="K23" s="3630">
        <f t="shared" si="2"/>
        <v>0.8</v>
      </c>
      <c r="L23" s="3630">
        <f t="shared" si="12"/>
        <v>10.16</v>
      </c>
      <c r="M23" s="3630">
        <f t="shared" si="3"/>
        <v>8.41</v>
      </c>
      <c r="N23" s="3631">
        <f t="shared" si="4"/>
        <v>2.1</v>
      </c>
      <c r="O23" s="3632">
        <v>30.4</v>
      </c>
      <c r="P23" s="3633">
        <v>29.24</v>
      </c>
      <c r="Q23" s="3622">
        <v>30.4</v>
      </c>
      <c r="R23" s="3634">
        <v>29.22</v>
      </c>
      <c r="S23" s="3632">
        <f t="shared" si="5"/>
        <v>10.16</v>
      </c>
      <c r="T23" s="3635">
        <f t="shared" si="6"/>
        <v>0</v>
      </c>
      <c r="U23" s="3636"/>
      <c r="V23" s="3619"/>
      <c r="W23" s="3619"/>
      <c r="X23" s="3660"/>
    </row>
    <row r="24" spans="1:24" ht="14.25" customHeight="1">
      <c r="A24" s="3622" t="s">
        <v>3093</v>
      </c>
      <c r="B24" s="3622" t="s">
        <v>3096</v>
      </c>
      <c r="C24" s="3623">
        <v>10.3</v>
      </c>
      <c r="D24" s="3624">
        <v>10</v>
      </c>
      <c r="E24" s="3625">
        <f t="shared" si="7"/>
        <v>0.8</v>
      </c>
      <c r="F24" s="3626">
        <f t="shared" si="11"/>
        <v>0.08</v>
      </c>
      <c r="G24" s="3627">
        <f t="shared" si="8"/>
        <v>1.1599999999999999</v>
      </c>
      <c r="H24" s="3628">
        <f t="shared" si="9"/>
        <v>1.19</v>
      </c>
      <c r="I24" s="3629">
        <f t="shared" si="1"/>
        <v>9.68</v>
      </c>
      <c r="J24" s="3625">
        <f t="shared" si="10"/>
        <v>0.52</v>
      </c>
      <c r="K24" s="3630">
        <f t="shared" si="2"/>
        <v>0.82</v>
      </c>
      <c r="L24" s="3630">
        <f t="shared" si="12"/>
        <v>10.5</v>
      </c>
      <c r="M24" s="3630">
        <f t="shared" si="3"/>
        <v>8.6999999999999993</v>
      </c>
      <c r="N24" s="3631">
        <f t="shared" si="4"/>
        <v>2.16</v>
      </c>
      <c r="O24" s="3632">
        <v>30.4</v>
      </c>
      <c r="P24" s="3633">
        <v>29.24</v>
      </c>
      <c r="Q24" s="3622">
        <v>30.4</v>
      </c>
      <c r="R24" s="3634">
        <v>29.21</v>
      </c>
      <c r="S24" s="3632">
        <f t="shared" si="5"/>
        <v>10.5</v>
      </c>
      <c r="T24" s="3635">
        <f t="shared" si="6"/>
        <v>0</v>
      </c>
      <c r="U24" s="3636"/>
      <c r="V24" s="3619"/>
      <c r="W24" s="3619"/>
      <c r="X24" s="3660"/>
    </row>
    <row r="25" spans="1:24" ht="14.25" customHeight="1" thickBot="1">
      <c r="A25" s="3622"/>
      <c r="B25" s="3622"/>
      <c r="C25" s="3623"/>
      <c r="D25" s="3624"/>
      <c r="E25" s="3625">
        <f t="shared" si="7"/>
        <v>0</v>
      </c>
      <c r="F25" s="3626">
        <f t="shared" si="11"/>
        <v>0</v>
      </c>
      <c r="G25" s="3627">
        <f t="shared" si="8"/>
        <v>0</v>
      </c>
      <c r="H25" s="3628">
        <f t="shared" si="9"/>
        <v>0</v>
      </c>
      <c r="I25" s="3629">
        <f t="shared" si="1"/>
        <v>0</v>
      </c>
      <c r="J25" s="3625">
        <f t="shared" si="10"/>
        <v>0</v>
      </c>
      <c r="K25" s="3630">
        <f t="shared" si="2"/>
        <v>0</v>
      </c>
      <c r="L25" s="3630">
        <f t="shared" si="12"/>
        <v>0</v>
      </c>
      <c r="M25" s="3630">
        <f t="shared" si="3"/>
        <v>0</v>
      </c>
      <c r="N25" s="3631">
        <f t="shared" si="4"/>
        <v>0</v>
      </c>
      <c r="O25" s="3632"/>
      <c r="P25" s="3633"/>
      <c r="Q25" s="3622"/>
      <c r="R25" s="3634"/>
      <c r="S25" s="3632">
        <f t="shared" si="5"/>
        <v>0</v>
      </c>
      <c r="T25" s="3635">
        <f t="shared" si="6"/>
        <v>0</v>
      </c>
      <c r="U25" s="3636"/>
      <c r="V25" s="3619"/>
      <c r="W25" s="3619"/>
      <c r="X25" s="3660"/>
    </row>
    <row r="26" spans="1:24" ht="14.25" customHeight="1" thickTop="1" thickBot="1">
      <c r="A26" s="3637" t="s">
        <v>289</v>
      </c>
      <c r="B26" s="3638" t="s">
        <v>3097</v>
      </c>
      <c r="C26" s="3639">
        <f>SUM(C17:C24)</f>
        <v>63.76</v>
      </c>
      <c r="D26" s="3640"/>
      <c r="E26" s="3641">
        <f t="shared" si="7"/>
        <v>0</v>
      </c>
      <c r="F26" s="3642">
        <f t="shared" si="11"/>
        <v>0</v>
      </c>
      <c r="G26" s="3643">
        <f t="shared" si="8"/>
        <v>0</v>
      </c>
      <c r="H26" s="3644">
        <f t="shared" si="9"/>
        <v>0</v>
      </c>
      <c r="I26" s="3645">
        <f t="shared" si="1"/>
        <v>0</v>
      </c>
      <c r="J26" s="3646">
        <f t="shared" si="10"/>
        <v>0</v>
      </c>
      <c r="K26" s="3667">
        <f>SUM(K17:K24)</f>
        <v>5.26</v>
      </c>
      <c r="L26" s="3668">
        <f>SUM(L17:L24)</f>
        <v>65.31</v>
      </c>
      <c r="M26" s="3668">
        <f>SUM(M17:M24)</f>
        <v>53.27</v>
      </c>
      <c r="N26" s="3669">
        <f>SUM(N17:N24)</f>
        <v>14.44</v>
      </c>
      <c r="O26" s="3650"/>
      <c r="P26" s="3650"/>
      <c r="Q26" s="3638"/>
      <c r="R26" s="3651"/>
      <c r="S26" s="3637">
        <f>SUM(S17:S24)</f>
        <v>65.31</v>
      </c>
      <c r="T26" s="3670">
        <f t="shared" si="6"/>
        <v>0</v>
      </c>
      <c r="U26" s="3636"/>
      <c r="V26" s="3619"/>
      <c r="W26" s="3619"/>
      <c r="X26" s="3660"/>
    </row>
    <row r="27" spans="1:24" ht="14.25" customHeight="1" thickTop="1">
      <c r="A27" s="3622"/>
      <c r="B27" s="3622"/>
      <c r="C27" s="3623"/>
      <c r="D27" s="3624"/>
      <c r="E27" s="3625">
        <f t="shared" si="7"/>
        <v>0</v>
      </c>
      <c r="F27" s="3626">
        <f t="shared" si="11"/>
        <v>0</v>
      </c>
      <c r="G27" s="3627">
        <f t="shared" si="8"/>
        <v>0</v>
      </c>
      <c r="H27" s="3628">
        <f t="shared" si="9"/>
        <v>0</v>
      </c>
      <c r="I27" s="3629">
        <f t="shared" si="1"/>
        <v>0</v>
      </c>
      <c r="J27" s="3625">
        <f t="shared" si="10"/>
        <v>0</v>
      </c>
      <c r="K27" s="3630">
        <f t="shared" si="2"/>
        <v>0</v>
      </c>
      <c r="L27" s="3630">
        <f t="shared" si="12"/>
        <v>0</v>
      </c>
      <c r="M27" s="3630">
        <f t="shared" si="3"/>
        <v>0</v>
      </c>
      <c r="N27" s="3631">
        <f t="shared" si="4"/>
        <v>0</v>
      </c>
      <c r="O27" s="3632"/>
      <c r="P27" s="3633"/>
      <c r="Q27" s="3622"/>
      <c r="R27" s="3634"/>
      <c r="S27" s="3632">
        <f t="shared" si="5"/>
        <v>0</v>
      </c>
      <c r="T27" s="3635">
        <f t="shared" si="6"/>
        <v>0</v>
      </c>
      <c r="U27" s="3636"/>
      <c r="V27" s="3619"/>
      <c r="W27" s="3619"/>
      <c r="X27" s="3660"/>
    </row>
    <row r="28" spans="1:24" ht="14.25" customHeight="1" thickBot="1">
      <c r="A28" s="3622"/>
      <c r="B28" s="3622" t="s">
        <v>3097</v>
      </c>
      <c r="C28" s="3623">
        <f>SUM(C17:C21)</f>
        <v>33.159999999999997</v>
      </c>
      <c r="D28" s="3624"/>
      <c r="E28" s="3657" t="s">
        <v>3087</v>
      </c>
      <c r="F28" s="3626"/>
      <c r="G28" s="3627"/>
      <c r="H28" s="3628">
        <f>C28*Y11</f>
        <v>28.19</v>
      </c>
      <c r="I28" s="3629"/>
      <c r="J28" s="3625">
        <f t="shared" si="10"/>
        <v>0</v>
      </c>
      <c r="K28" s="3630">
        <f t="shared" si="2"/>
        <v>0</v>
      </c>
      <c r="L28" s="3630">
        <f t="shared" si="12"/>
        <v>0</v>
      </c>
      <c r="M28" s="3630">
        <f t="shared" si="3"/>
        <v>0</v>
      </c>
      <c r="N28" s="3631">
        <f t="shared" si="4"/>
        <v>0</v>
      </c>
      <c r="O28" s="3632"/>
      <c r="P28" s="3633"/>
      <c r="Q28" s="3622"/>
      <c r="R28" s="3634"/>
      <c r="S28" s="3632"/>
      <c r="T28" s="3635">
        <f t="shared" si="6"/>
        <v>0</v>
      </c>
      <c r="U28" s="3636"/>
      <c r="V28" s="3619"/>
      <c r="W28" s="3619"/>
      <c r="X28" s="3660"/>
    </row>
    <row r="29" spans="1:24" ht="14.25" customHeight="1" thickBot="1">
      <c r="A29" s="3653" t="s">
        <v>3085</v>
      </c>
      <c r="B29" s="3654" t="s">
        <v>3098</v>
      </c>
      <c r="C29" s="3671">
        <f>C28*1.04</f>
        <v>34.49</v>
      </c>
      <c r="D29" s="3656"/>
      <c r="E29" s="3625">
        <f t="shared" si="7"/>
        <v>0</v>
      </c>
      <c r="F29" s="3626">
        <f t="shared" si="11"/>
        <v>0</v>
      </c>
      <c r="G29" s="3627">
        <f t="shared" si="8"/>
        <v>0</v>
      </c>
      <c r="H29" s="3628">
        <f t="shared" si="9"/>
        <v>0</v>
      </c>
      <c r="I29" s="3629">
        <f t="shared" si="1"/>
        <v>0</v>
      </c>
      <c r="J29" s="3625">
        <f t="shared" si="10"/>
        <v>0</v>
      </c>
      <c r="K29" s="3630">
        <f t="shared" si="2"/>
        <v>0</v>
      </c>
      <c r="L29" s="3630">
        <f t="shared" si="12"/>
        <v>0</v>
      </c>
      <c r="M29" s="3630">
        <f t="shared" si="3"/>
        <v>0</v>
      </c>
      <c r="N29" s="3631">
        <f t="shared" si="4"/>
        <v>0</v>
      </c>
      <c r="O29" s="3632"/>
      <c r="P29" s="3633"/>
      <c r="Q29" s="3622"/>
      <c r="R29" s="3622"/>
      <c r="S29" s="3632">
        <f t="shared" si="5"/>
        <v>0</v>
      </c>
      <c r="T29" s="3635">
        <f t="shared" si="6"/>
        <v>0</v>
      </c>
      <c r="U29" s="3636"/>
      <c r="V29" s="3619"/>
      <c r="W29" s="3619"/>
      <c r="X29" s="3660"/>
    </row>
    <row r="30" spans="1:24" ht="14.25" customHeight="1" thickBot="1">
      <c r="A30" s="3622"/>
      <c r="B30" s="3622" t="s">
        <v>3099</v>
      </c>
      <c r="C30" s="3623">
        <f>SUM(C22:C24)</f>
        <v>30.6</v>
      </c>
      <c r="D30" s="3624"/>
      <c r="E30" s="3657" t="s">
        <v>3087</v>
      </c>
      <c r="F30" s="3626"/>
      <c r="G30" s="3627"/>
      <c r="H30" s="3628">
        <f>C30*Y10</f>
        <v>24.48</v>
      </c>
      <c r="I30" s="3629"/>
      <c r="J30" s="3625">
        <f t="shared" si="10"/>
        <v>0</v>
      </c>
      <c r="K30" s="3630">
        <f t="shared" si="2"/>
        <v>0</v>
      </c>
      <c r="L30" s="3630">
        <f t="shared" si="12"/>
        <v>0</v>
      </c>
      <c r="M30" s="3630">
        <f t="shared" si="3"/>
        <v>0</v>
      </c>
      <c r="N30" s="3631">
        <f t="shared" si="4"/>
        <v>0</v>
      </c>
      <c r="O30" s="3632"/>
      <c r="P30" s="3633"/>
      <c r="Q30" s="3622"/>
      <c r="R30" s="3622"/>
      <c r="S30" s="3632"/>
      <c r="T30" s="3635">
        <f t="shared" si="6"/>
        <v>0</v>
      </c>
      <c r="U30" s="3636"/>
      <c r="V30" s="3619"/>
      <c r="W30" s="3619"/>
      <c r="X30" s="3660"/>
    </row>
    <row r="31" spans="1:24" ht="14.25" customHeight="1" thickBot="1">
      <c r="A31" s="3653" t="s">
        <v>3100</v>
      </c>
      <c r="B31" s="3654" t="s">
        <v>3086</v>
      </c>
      <c r="C31" s="3671">
        <f>C30*1.03</f>
        <v>31.52</v>
      </c>
      <c r="D31" s="3656"/>
      <c r="E31" s="3625">
        <f t="shared" si="7"/>
        <v>0</v>
      </c>
      <c r="F31" s="3626">
        <f t="shared" si="11"/>
        <v>0</v>
      </c>
      <c r="G31" s="3627">
        <f t="shared" si="8"/>
        <v>0</v>
      </c>
      <c r="H31" s="3659">
        <f>SUM(H28:H30)</f>
        <v>52.67</v>
      </c>
      <c r="I31" s="3629">
        <f t="shared" si="1"/>
        <v>0</v>
      </c>
      <c r="J31" s="3625">
        <f t="shared" si="10"/>
        <v>0</v>
      </c>
      <c r="K31" s="3630">
        <f t="shared" si="2"/>
        <v>0</v>
      </c>
      <c r="L31" s="3630">
        <f t="shared" si="12"/>
        <v>0</v>
      </c>
      <c r="M31" s="3630">
        <f t="shared" si="3"/>
        <v>0</v>
      </c>
      <c r="N31" s="3631">
        <f t="shared" si="4"/>
        <v>0</v>
      </c>
      <c r="O31" s="3632"/>
      <c r="P31" s="3633"/>
      <c r="Q31" s="3622"/>
      <c r="R31" s="3622"/>
      <c r="S31" s="3632">
        <f t="shared" si="5"/>
        <v>0</v>
      </c>
      <c r="T31" s="3635">
        <f t="shared" si="6"/>
        <v>0</v>
      </c>
      <c r="U31" s="3636"/>
      <c r="V31" s="3619"/>
      <c r="W31" s="3619"/>
      <c r="X31" s="3660"/>
    </row>
    <row r="32" spans="1:24" ht="14.25" customHeight="1">
      <c r="A32" s="3622"/>
      <c r="B32" s="3622"/>
      <c r="C32" s="3623"/>
      <c r="D32" s="3624"/>
      <c r="E32" s="3625">
        <f t="shared" si="7"/>
        <v>0</v>
      </c>
      <c r="F32" s="3626">
        <f t="shared" si="11"/>
        <v>0</v>
      </c>
      <c r="G32" s="3627">
        <f t="shared" si="8"/>
        <v>0</v>
      </c>
      <c r="H32" s="3628">
        <f t="shared" si="9"/>
        <v>0</v>
      </c>
      <c r="I32" s="3629">
        <f t="shared" si="1"/>
        <v>0</v>
      </c>
      <c r="J32" s="3625">
        <f t="shared" si="10"/>
        <v>0</v>
      </c>
      <c r="K32" s="3630">
        <f t="shared" si="2"/>
        <v>0</v>
      </c>
      <c r="L32" s="3630">
        <f t="shared" si="12"/>
        <v>0</v>
      </c>
      <c r="M32" s="3630">
        <f t="shared" si="3"/>
        <v>0</v>
      </c>
      <c r="N32" s="3672">
        <f t="shared" si="4"/>
        <v>0</v>
      </c>
      <c r="O32" s="3632"/>
      <c r="P32" s="3633"/>
      <c r="Q32" s="3622"/>
      <c r="R32" s="3673"/>
      <c r="S32" s="3632">
        <f t="shared" si="5"/>
        <v>0</v>
      </c>
      <c r="T32" s="3635">
        <f t="shared" si="6"/>
        <v>0</v>
      </c>
      <c r="U32" s="3636"/>
      <c r="V32" s="3619"/>
      <c r="W32" s="3619"/>
      <c r="X32" s="3660"/>
    </row>
    <row r="33" spans="1:24" ht="14.25" customHeight="1">
      <c r="A33" s="3622"/>
      <c r="B33" s="3622"/>
      <c r="C33" s="3674"/>
      <c r="D33" s="3624"/>
      <c r="E33" s="3625">
        <f t="shared" si="7"/>
        <v>0</v>
      </c>
      <c r="F33" s="3626">
        <f t="shared" si="11"/>
        <v>0</v>
      </c>
      <c r="G33" s="3627">
        <f t="shared" si="8"/>
        <v>0</v>
      </c>
      <c r="H33" s="3675">
        <f t="shared" si="9"/>
        <v>0</v>
      </c>
      <c r="I33" s="3629">
        <f t="shared" si="1"/>
        <v>0</v>
      </c>
      <c r="J33" s="3625">
        <f t="shared" si="10"/>
        <v>0</v>
      </c>
      <c r="K33" s="3674"/>
      <c r="L33" s="3630">
        <f t="shared" si="12"/>
        <v>0</v>
      </c>
      <c r="M33" s="3674"/>
      <c r="N33" s="3676"/>
      <c r="O33" s="3632"/>
      <c r="P33" s="3622"/>
      <c r="Q33" s="3622"/>
      <c r="R33" s="3673"/>
      <c r="S33" s="3677"/>
      <c r="T33" s="3674"/>
      <c r="U33" s="3636"/>
      <c r="V33" s="3619"/>
      <c r="W33" s="3619"/>
      <c r="X33" s="3660"/>
    </row>
    <row r="34" spans="1:24" ht="14.25" customHeight="1">
      <c r="A34" s="3678"/>
      <c r="B34" s="3678"/>
      <c r="C34" s="3679"/>
      <c r="D34" s="3680"/>
      <c r="E34" s="3678"/>
      <c r="F34" s="3681"/>
      <c r="G34" s="3682"/>
      <c r="H34" s="3683"/>
      <c r="I34" s="3684"/>
      <c r="J34" s="3625">
        <f t="shared" si="10"/>
        <v>0</v>
      </c>
      <c r="K34" s="3685"/>
      <c r="L34" s="3630">
        <f t="shared" si="12"/>
        <v>0</v>
      </c>
      <c r="M34" s="3686"/>
      <c r="N34" s="3687"/>
      <c r="O34" s="3684"/>
      <c r="P34" s="3678"/>
      <c r="Q34" s="3678"/>
      <c r="R34" s="3688"/>
      <c r="S34" s="3632">
        <f t="shared" si="5"/>
        <v>0</v>
      </c>
      <c r="T34" s="3635">
        <f t="shared" si="6"/>
        <v>0</v>
      </c>
      <c r="U34" s="3636"/>
      <c r="V34" s="3619"/>
      <c r="W34" s="3619"/>
      <c r="X34" s="3660"/>
    </row>
    <row r="35" spans="1:24" ht="14.25" customHeight="1">
      <c r="A35" s="3593" t="s">
        <v>3101</v>
      </c>
      <c r="B35" s="3689"/>
      <c r="C35" s="3689"/>
      <c r="D35" s="3689"/>
      <c r="E35" s="3689"/>
      <c r="F35" s="3689"/>
      <c r="G35" s="3689"/>
      <c r="H35" s="3690"/>
      <c r="I35" s="3691"/>
      <c r="J35" s="3689"/>
      <c r="K35" s="3689"/>
      <c r="L35" s="3692">
        <f t="shared" si="12"/>
        <v>0</v>
      </c>
      <c r="M35" s="3689"/>
      <c r="N35" s="3690"/>
      <c r="O35" s="3693"/>
      <c r="P35" s="3694"/>
      <c r="Q35" s="3694"/>
      <c r="R35" s="3695"/>
      <c r="S35" s="3632">
        <f t="shared" si="5"/>
        <v>0</v>
      </c>
      <c r="T35" s="3635">
        <f t="shared" si="6"/>
        <v>0</v>
      </c>
    </row>
    <row r="36" spans="1:24" ht="14.25" customHeight="1">
      <c r="A36" s="3696"/>
      <c r="B36" s="3696"/>
      <c r="C36" s="3696"/>
      <c r="D36" s="3696"/>
      <c r="E36" s="3696"/>
      <c r="F36" s="3696"/>
      <c r="G36" s="3696"/>
      <c r="H36" s="3697"/>
      <c r="I36" s="3698"/>
      <c r="J36" s="3696"/>
      <c r="K36" s="3696"/>
      <c r="L36" s="3630">
        <f t="shared" si="12"/>
        <v>0</v>
      </c>
      <c r="M36" s="3696"/>
      <c r="N36" s="3697"/>
      <c r="O36" s="3698"/>
      <c r="P36" s="3696"/>
      <c r="Q36" s="3696"/>
      <c r="R36" s="3697"/>
      <c r="S36" s="3632">
        <f t="shared" si="5"/>
        <v>0</v>
      </c>
      <c r="T36" s="3699">
        <f t="shared" si="6"/>
        <v>0</v>
      </c>
    </row>
    <row r="37" spans="1:24" ht="14.25" customHeight="1">
      <c r="A37" s="3696"/>
      <c r="B37" s="3696"/>
      <c r="C37" s="3700">
        <v>11.8</v>
      </c>
      <c r="D37" s="3701">
        <v>8</v>
      </c>
      <c r="E37" s="3625">
        <f>IF(D37=0,0,LOOKUP(D37,$X$7:$X$14,$Y$7:$Y$14))</f>
        <v>0.75</v>
      </c>
      <c r="F37" s="3626">
        <f t="shared" ref="F37:F56" si="13">E37*0.1</f>
        <v>7.4999999999999997E-2</v>
      </c>
      <c r="G37" s="3700">
        <v>1.1000000000000001</v>
      </c>
      <c r="H37" s="3702">
        <v>1.1200000000000001</v>
      </c>
      <c r="I37" s="3629">
        <f t="shared" ref="I37:I56" si="14">(G37+H37)/2*E37*C37</f>
        <v>9.82</v>
      </c>
      <c r="J37" s="3625">
        <f t="shared" ref="J37:J56" si="15">IF(D37=0,0,LOOKUP(D37,$X$7:$X$14,$Z$7:$Z$14)*C37)</f>
        <v>0.38</v>
      </c>
      <c r="K37" s="3627">
        <f t="shared" ref="K37:K56" si="16">C37*F37</f>
        <v>0.89</v>
      </c>
      <c r="L37" s="3627">
        <f t="shared" si="12"/>
        <v>10.71</v>
      </c>
      <c r="M37" s="3630">
        <f t="shared" ref="M37:M56" si="17">(L37-K37-J37)*0.95</f>
        <v>8.9700000000000006</v>
      </c>
      <c r="N37" s="3631">
        <f t="shared" ref="N37:N56" si="18">(L37-M37)*1.2</f>
        <v>2.09</v>
      </c>
      <c r="O37" s="3703"/>
      <c r="P37" s="3700"/>
      <c r="Q37" s="3700"/>
      <c r="R37" s="3702"/>
      <c r="S37" s="3632">
        <f t="shared" si="5"/>
        <v>10.71</v>
      </c>
      <c r="T37" s="3658">
        <f t="shared" si="6"/>
        <v>0</v>
      </c>
      <c r="U37" s="3581">
        <f>ROUND(C37*E37,20)</f>
        <v>8.85</v>
      </c>
    </row>
    <row r="38" spans="1:24" ht="14.25" customHeight="1">
      <c r="A38" s="3696"/>
      <c r="B38" s="3696"/>
      <c r="C38" s="3700">
        <v>21.8</v>
      </c>
      <c r="D38" s="3701">
        <v>8</v>
      </c>
      <c r="E38" s="3625">
        <f t="shared" ref="E38:E56" si="19">IF(D38=0,0,LOOKUP(D38,$X$7:$X$14,$Y$7:$Y$14))</f>
        <v>0.75</v>
      </c>
      <c r="F38" s="3626">
        <f t="shared" si="13"/>
        <v>7.4999999999999997E-2</v>
      </c>
      <c r="G38" s="3700">
        <v>1.1200000000000001</v>
      </c>
      <c r="H38" s="3702">
        <v>1.1200000000000001</v>
      </c>
      <c r="I38" s="3629">
        <f t="shared" si="14"/>
        <v>18.309999999999999</v>
      </c>
      <c r="J38" s="3625">
        <f t="shared" si="15"/>
        <v>0.71</v>
      </c>
      <c r="K38" s="3627">
        <f t="shared" si="16"/>
        <v>1.64</v>
      </c>
      <c r="L38" s="3627">
        <f t="shared" si="12"/>
        <v>19.95</v>
      </c>
      <c r="M38" s="3630">
        <f t="shared" si="17"/>
        <v>16.72</v>
      </c>
      <c r="N38" s="3631">
        <f t="shared" si="18"/>
        <v>3.88</v>
      </c>
      <c r="O38" s="3703"/>
      <c r="P38" s="3700"/>
      <c r="Q38" s="3700"/>
      <c r="R38" s="3702"/>
      <c r="S38" s="3632">
        <f t="shared" si="5"/>
        <v>19.95</v>
      </c>
      <c r="T38" s="3658">
        <f t="shared" si="6"/>
        <v>0</v>
      </c>
      <c r="U38" s="3581">
        <f t="shared" ref="U38:U56" si="20">ROUND(C38*E38,20)</f>
        <v>16.350000000000001</v>
      </c>
    </row>
    <row r="39" spans="1:24" ht="14.25" customHeight="1">
      <c r="A39" s="3696"/>
      <c r="B39" s="3696"/>
      <c r="C39" s="3700">
        <v>27.11</v>
      </c>
      <c r="D39" s="3701">
        <v>8</v>
      </c>
      <c r="E39" s="3625">
        <f t="shared" si="19"/>
        <v>0.75</v>
      </c>
      <c r="F39" s="3626">
        <f t="shared" si="13"/>
        <v>7.4999999999999997E-2</v>
      </c>
      <c r="G39" s="3700">
        <v>1.1200000000000001</v>
      </c>
      <c r="H39" s="3702">
        <v>1.5</v>
      </c>
      <c r="I39" s="3629">
        <f t="shared" si="14"/>
        <v>26.64</v>
      </c>
      <c r="J39" s="3625">
        <f t="shared" si="15"/>
        <v>0.88</v>
      </c>
      <c r="K39" s="3627">
        <f t="shared" si="16"/>
        <v>2.0299999999999998</v>
      </c>
      <c r="L39" s="3627">
        <f t="shared" si="12"/>
        <v>28.67</v>
      </c>
      <c r="M39" s="3630">
        <f t="shared" si="17"/>
        <v>24.47</v>
      </c>
      <c r="N39" s="3631">
        <f t="shared" si="18"/>
        <v>5.04</v>
      </c>
      <c r="O39" s="3703"/>
      <c r="P39" s="3700"/>
      <c r="Q39" s="3700"/>
      <c r="R39" s="3702"/>
      <c r="S39" s="3632">
        <f t="shared" si="5"/>
        <v>28.67</v>
      </c>
      <c r="T39" s="3658">
        <f t="shared" si="6"/>
        <v>0</v>
      </c>
      <c r="U39" s="3581">
        <f t="shared" si="20"/>
        <v>20.3325</v>
      </c>
    </row>
    <row r="40" spans="1:24" ht="14.25" customHeight="1">
      <c r="A40" s="3696"/>
      <c r="B40" s="3696"/>
      <c r="C40" s="3700">
        <v>7.67</v>
      </c>
      <c r="D40" s="3701">
        <v>8</v>
      </c>
      <c r="E40" s="3625">
        <f t="shared" si="19"/>
        <v>0.75</v>
      </c>
      <c r="F40" s="3626">
        <f t="shared" si="13"/>
        <v>7.4999999999999997E-2</v>
      </c>
      <c r="G40" s="3700">
        <v>1.5</v>
      </c>
      <c r="H40" s="3702">
        <v>1.1200000000000001</v>
      </c>
      <c r="I40" s="3629">
        <f t="shared" si="14"/>
        <v>7.54</v>
      </c>
      <c r="J40" s="3625">
        <f t="shared" si="15"/>
        <v>0.25</v>
      </c>
      <c r="K40" s="3627">
        <f t="shared" si="16"/>
        <v>0.57999999999999996</v>
      </c>
      <c r="L40" s="3627">
        <f t="shared" si="12"/>
        <v>8.1199999999999992</v>
      </c>
      <c r="M40" s="3630">
        <f t="shared" si="17"/>
        <v>6.93</v>
      </c>
      <c r="N40" s="3631">
        <f t="shared" si="18"/>
        <v>1.43</v>
      </c>
      <c r="O40" s="3703"/>
      <c r="P40" s="3700"/>
      <c r="Q40" s="3700"/>
      <c r="R40" s="3702"/>
      <c r="S40" s="3632">
        <f t="shared" si="5"/>
        <v>8.1199999999999992</v>
      </c>
      <c r="T40" s="3658">
        <f t="shared" si="6"/>
        <v>0</v>
      </c>
      <c r="U40" s="3581">
        <f t="shared" si="20"/>
        <v>5.7525000000000004</v>
      </c>
    </row>
    <row r="41" spans="1:24" ht="14.25" customHeight="1">
      <c r="A41" s="3696"/>
      <c r="B41" s="3696"/>
      <c r="C41" s="3700">
        <v>33.409999999999997</v>
      </c>
      <c r="D41" s="3701">
        <v>8</v>
      </c>
      <c r="E41" s="3625">
        <f t="shared" si="19"/>
        <v>0.75</v>
      </c>
      <c r="F41" s="3626">
        <f t="shared" si="13"/>
        <v>7.4999999999999997E-2</v>
      </c>
      <c r="G41" s="3700">
        <v>1.1200000000000001</v>
      </c>
      <c r="H41" s="3702">
        <v>1.1200000000000001</v>
      </c>
      <c r="I41" s="3629">
        <f t="shared" si="14"/>
        <v>28.06</v>
      </c>
      <c r="J41" s="3625">
        <f t="shared" si="15"/>
        <v>1.08</v>
      </c>
      <c r="K41" s="3627">
        <f t="shared" si="16"/>
        <v>2.5099999999999998</v>
      </c>
      <c r="L41" s="3627">
        <f t="shared" si="12"/>
        <v>30.57</v>
      </c>
      <c r="M41" s="3630">
        <f t="shared" si="17"/>
        <v>25.63</v>
      </c>
      <c r="N41" s="3631">
        <f t="shared" si="18"/>
        <v>5.93</v>
      </c>
      <c r="O41" s="3703"/>
      <c r="P41" s="3700"/>
      <c r="Q41" s="3700"/>
      <c r="R41" s="3702"/>
      <c r="S41" s="3632">
        <f t="shared" si="5"/>
        <v>30.57</v>
      </c>
      <c r="T41" s="3658">
        <f t="shared" si="6"/>
        <v>0</v>
      </c>
      <c r="U41" s="3581">
        <f t="shared" si="20"/>
        <v>25.057500000000001</v>
      </c>
    </row>
    <row r="42" spans="1:24" ht="14.25" customHeight="1">
      <c r="A42" s="3696"/>
      <c r="B42" s="3696"/>
      <c r="C42" s="3700">
        <v>27.9</v>
      </c>
      <c r="D42" s="3701">
        <v>8</v>
      </c>
      <c r="E42" s="3625">
        <f t="shared" si="19"/>
        <v>0.75</v>
      </c>
      <c r="F42" s="3626">
        <f t="shared" si="13"/>
        <v>7.4999999999999997E-2</v>
      </c>
      <c r="G42" s="3700">
        <v>1.1200000000000001</v>
      </c>
      <c r="H42" s="3702">
        <v>1.1200000000000001</v>
      </c>
      <c r="I42" s="3629">
        <f t="shared" si="14"/>
        <v>23.44</v>
      </c>
      <c r="J42" s="3625">
        <f t="shared" si="15"/>
        <v>0.9</v>
      </c>
      <c r="K42" s="3627">
        <f t="shared" si="16"/>
        <v>2.09</v>
      </c>
      <c r="L42" s="3627">
        <f t="shared" si="12"/>
        <v>25.53</v>
      </c>
      <c r="M42" s="3630">
        <f t="shared" si="17"/>
        <v>21.41</v>
      </c>
      <c r="N42" s="3631">
        <f t="shared" si="18"/>
        <v>4.9400000000000004</v>
      </c>
      <c r="O42" s="3703"/>
      <c r="P42" s="3700"/>
      <c r="Q42" s="3700"/>
      <c r="R42" s="3702"/>
      <c r="S42" s="3632">
        <f t="shared" si="5"/>
        <v>25.53</v>
      </c>
      <c r="T42" s="3658">
        <f t="shared" si="6"/>
        <v>0</v>
      </c>
      <c r="U42" s="3581">
        <f t="shared" si="20"/>
        <v>20.925000000000001</v>
      </c>
    </row>
    <row r="43" spans="1:24" ht="14.25" customHeight="1">
      <c r="A43" s="3696"/>
      <c r="B43" s="3696"/>
      <c r="C43" s="3700">
        <v>26.9</v>
      </c>
      <c r="D43" s="3701">
        <v>8</v>
      </c>
      <c r="E43" s="3625">
        <f t="shared" si="19"/>
        <v>0.75</v>
      </c>
      <c r="F43" s="3626">
        <f t="shared" si="13"/>
        <v>7.4999999999999997E-2</v>
      </c>
      <c r="G43" s="3700">
        <v>1.1200000000000001</v>
      </c>
      <c r="H43" s="3702">
        <v>1.1000000000000001</v>
      </c>
      <c r="I43" s="3629">
        <f t="shared" si="14"/>
        <v>22.39</v>
      </c>
      <c r="J43" s="3625">
        <f t="shared" si="15"/>
        <v>0.87</v>
      </c>
      <c r="K43" s="3627">
        <f t="shared" si="16"/>
        <v>2.02</v>
      </c>
      <c r="L43" s="3627">
        <f t="shared" si="12"/>
        <v>24.41</v>
      </c>
      <c r="M43" s="3630">
        <f t="shared" si="17"/>
        <v>20.440000000000001</v>
      </c>
      <c r="N43" s="3631">
        <f t="shared" si="18"/>
        <v>4.76</v>
      </c>
      <c r="O43" s="3703"/>
      <c r="P43" s="3700"/>
      <c r="Q43" s="3700"/>
      <c r="R43" s="3702"/>
      <c r="S43" s="3632">
        <f t="shared" si="5"/>
        <v>24.41</v>
      </c>
      <c r="T43" s="3658">
        <f t="shared" si="6"/>
        <v>0</v>
      </c>
      <c r="U43" s="3581">
        <f t="shared" si="20"/>
        <v>20.175000000000001</v>
      </c>
    </row>
    <row r="44" spans="1:24" ht="14.25" customHeight="1">
      <c r="A44" s="3696"/>
      <c r="B44" s="3696"/>
      <c r="C44" s="3700">
        <v>24.22</v>
      </c>
      <c r="D44" s="3701">
        <v>8</v>
      </c>
      <c r="E44" s="3625">
        <f t="shared" si="19"/>
        <v>0.75</v>
      </c>
      <c r="F44" s="3626">
        <f t="shared" si="13"/>
        <v>7.4999999999999997E-2</v>
      </c>
      <c r="G44" s="3700">
        <v>1.1000000000000001</v>
      </c>
      <c r="H44" s="3702">
        <v>1.1200000000000001</v>
      </c>
      <c r="I44" s="3629">
        <f t="shared" si="14"/>
        <v>20.16</v>
      </c>
      <c r="J44" s="3625">
        <f t="shared" si="15"/>
        <v>0.78</v>
      </c>
      <c r="K44" s="3627">
        <f t="shared" si="16"/>
        <v>1.82</v>
      </c>
      <c r="L44" s="3627">
        <f t="shared" si="12"/>
        <v>21.98</v>
      </c>
      <c r="M44" s="3630">
        <f t="shared" si="17"/>
        <v>18.41</v>
      </c>
      <c r="N44" s="3631">
        <f t="shared" si="18"/>
        <v>4.28</v>
      </c>
      <c r="O44" s="3703"/>
      <c r="P44" s="3700"/>
      <c r="Q44" s="3700"/>
      <c r="R44" s="3702"/>
      <c r="S44" s="3632">
        <f t="shared" si="5"/>
        <v>21.98</v>
      </c>
      <c r="T44" s="3658">
        <f t="shared" si="6"/>
        <v>0</v>
      </c>
      <c r="U44" s="3581">
        <f t="shared" si="20"/>
        <v>18.164999999999999</v>
      </c>
    </row>
    <row r="45" spans="1:24" ht="14.25" customHeight="1">
      <c r="A45" s="3696"/>
      <c r="B45" s="3696"/>
      <c r="C45" s="3700">
        <v>10.62</v>
      </c>
      <c r="D45" s="3701">
        <v>8</v>
      </c>
      <c r="E45" s="3625">
        <f t="shared" si="19"/>
        <v>0.75</v>
      </c>
      <c r="F45" s="3626">
        <f t="shared" si="13"/>
        <v>7.4999999999999997E-2</v>
      </c>
      <c r="G45" s="3700">
        <v>1.1200000000000001</v>
      </c>
      <c r="H45" s="3702">
        <v>0.95</v>
      </c>
      <c r="I45" s="3629">
        <f t="shared" si="14"/>
        <v>8.24</v>
      </c>
      <c r="J45" s="3625">
        <f t="shared" si="15"/>
        <v>0.34</v>
      </c>
      <c r="K45" s="3627">
        <f t="shared" si="16"/>
        <v>0.8</v>
      </c>
      <c r="L45" s="3627">
        <f t="shared" si="12"/>
        <v>9.0399999999999991</v>
      </c>
      <c r="M45" s="3630">
        <f t="shared" si="17"/>
        <v>7.51</v>
      </c>
      <c r="N45" s="3631">
        <f t="shared" si="18"/>
        <v>1.84</v>
      </c>
      <c r="O45" s="3703"/>
      <c r="P45" s="3700"/>
      <c r="Q45" s="3700"/>
      <c r="R45" s="3702"/>
      <c r="S45" s="3632">
        <f t="shared" si="5"/>
        <v>9.0399999999999991</v>
      </c>
      <c r="T45" s="3658">
        <f t="shared" si="6"/>
        <v>0</v>
      </c>
      <c r="U45" s="3581">
        <f t="shared" si="20"/>
        <v>7.9649999999999999</v>
      </c>
    </row>
    <row r="46" spans="1:24" ht="14.25" customHeight="1">
      <c r="A46" s="3696"/>
      <c r="B46" s="3696"/>
      <c r="C46" s="3700">
        <v>20.9</v>
      </c>
      <c r="D46" s="3701">
        <v>8</v>
      </c>
      <c r="E46" s="3625">
        <f t="shared" si="19"/>
        <v>0.75</v>
      </c>
      <c r="F46" s="3626">
        <f t="shared" si="13"/>
        <v>7.4999999999999997E-2</v>
      </c>
      <c r="G46" s="3700">
        <v>0.95</v>
      </c>
      <c r="H46" s="3702">
        <v>0.75</v>
      </c>
      <c r="I46" s="3629">
        <f t="shared" si="14"/>
        <v>13.32</v>
      </c>
      <c r="J46" s="3625">
        <f t="shared" si="15"/>
        <v>0.68</v>
      </c>
      <c r="K46" s="3627">
        <f t="shared" si="16"/>
        <v>1.57</v>
      </c>
      <c r="L46" s="3627">
        <f t="shared" si="12"/>
        <v>14.89</v>
      </c>
      <c r="M46" s="3630">
        <f t="shared" si="17"/>
        <v>12.01</v>
      </c>
      <c r="N46" s="3631">
        <f t="shared" si="18"/>
        <v>3.46</v>
      </c>
      <c r="O46" s="3703"/>
      <c r="P46" s="3700"/>
      <c r="Q46" s="3700"/>
      <c r="R46" s="3702"/>
      <c r="S46" s="3632">
        <f t="shared" si="5"/>
        <v>14.89</v>
      </c>
      <c r="T46" s="3658">
        <f t="shared" si="6"/>
        <v>0</v>
      </c>
      <c r="U46" s="3581">
        <f t="shared" si="20"/>
        <v>15.675000000000001</v>
      </c>
    </row>
    <row r="47" spans="1:24" ht="14.25" customHeight="1">
      <c r="A47" s="3696"/>
      <c r="B47" s="3696"/>
      <c r="C47" s="3700">
        <v>34.9</v>
      </c>
      <c r="D47" s="3701">
        <v>8</v>
      </c>
      <c r="E47" s="3625">
        <f t="shared" si="19"/>
        <v>0.75</v>
      </c>
      <c r="F47" s="3626">
        <f t="shared" si="13"/>
        <v>7.4999999999999997E-2</v>
      </c>
      <c r="G47" s="3700">
        <v>0.75</v>
      </c>
      <c r="H47" s="3702">
        <v>0.95</v>
      </c>
      <c r="I47" s="3629">
        <f t="shared" si="14"/>
        <v>22.25</v>
      </c>
      <c r="J47" s="3625">
        <f t="shared" si="15"/>
        <v>1.1299999999999999</v>
      </c>
      <c r="K47" s="3627">
        <f t="shared" si="16"/>
        <v>2.62</v>
      </c>
      <c r="L47" s="3627">
        <f t="shared" si="12"/>
        <v>24.87</v>
      </c>
      <c r="M47" s="3630">
        <f t="shared" si="17"/>
        <v>20.059999999999999</v>
      </c>
      <c r="N47" s="3631">
        <f t="shared" si="18"/>
        <v>5.77</v>
      </c>
      <c r="O47" s="3703"/>
      <c r="P47" s="3700"/>
      <c r="Q47" s="3700"/>
      <c r="R47" s="3702"/>
      <c r="S47" s="3632">
        <f t="shared" si="5"/>
        <v>24.87</v>
      </c>
      <c r="T47" s="3658">
        <f t="shared" si="6"/>
        <v>0</v>
      </c>
      <c r="U47" s="3581">
        <f t="shared" si="20"/>
        <v>26.175000000000001</v>
      </c>
    </row>
    <row r="48" spans="1:24" ht="14.25" customHeight="1">
      <c r="A48" s="3696"/>
      <c r="B48" s="3696"/>
      <c r="C48" s="3700">
        <v>14.7</v>
      </c>
      <c r="D48" s="3701">
        <v>8</v>
      </c>
      <c r="E48" s="3625">
        <f t="shared" si="19"/>
        <v>0.75</v>
      </c>
      <c r="F48" s="3704">
        <f t="shared" si="13"/>
        <v>7.4999999999999997E-2</v>
      </c>
      <c r="G48" s="3700">
        <v>0.93</v>
      </c>
      <c r="H48" s="3702">
        <v>0.95</v>
      </c>
      <c r="I48" s="3629">
        <f t="shared" si="14"/>
        <v>10.36</v>
      </c>
      <c r="J48" s="3625">
        <f t="shared" si="15"/>
        <v>0.48</v>
      </c>
      <c r="K48" s="3627">
        <f t="shared" si="16"/>
        <v>1.1000000000000001</v>
      </c>
      <c r="L48" s="3627">
        <f t="shared" si="12"/>
        <v>11.46</v>
      </c>
      <c r="M48" s="3630">
        <f t="shared" si="17"/>
        <v>9.39</v>
      </c>
      <c r="N48" s="3631">
        <f t="shared" si="18"/>
        <v>2.48</v>
      </c>
      <c r="O48" s="3703"/>
      <c r="P48" s="3700"/>
      <c r="Q48" s="3700"/>
      <c r="R48" s="3702"/>
      <c r="S48" s="3632">
        <f t="shared" si="5"/>
        <v>11.46</v>
      </c>
      <c r="T48" s="3658">
        <f t="shared" si="6"/>
        <v>0</v>
      </c>
      <c r="U48" s="3581">
        <f t="shared" si="20"/>
        <v>11.025</v>
      </c>
    </row>
    <row r="49" spans="1:21" ht="14.25" customHeight="1">
      <c r="A49" s="3696"/>
      <c r="B49" s="3696"/>
      <c r="C49" s="3700">
        <v>9.51</v>
      </c>
      <c r="D49" s="3701">
        <v>8</v>
      </c>
      <c r="E49" s="3625">
        <f t="shared" si="19"/>
        <v>0.75</v>
      </c>
      <c r="F49" s="3704">
        <f t="shared" si="13"/>
        <v>7.4999999999999997E-2</v>
      </c>
      <c r="G49" s="3700">
        <v>0.95</v>
      </c>
      <c r="H49" s="3702">
        <v>0.79</v>
      </c>
      <c r="I49" s="3629">
        <f t="shared" si="14"/>
        <v>6.21</v>
      </c>
      <c r="J49" s="3625">
        <f t="shared" si="15"/>
        <v>0.31</v>
      </c>
      <c r="K49" s="3627">
        <f t="shared" si="16"/>
        <v>0.71</v>
      </c>
      <c r="L49" s="3627">
        <f t="shared" si="12"/>
        <v>6.92</v>
      </c>
      <c r="M49" s="3630">
        <f t="shared" si="17"/>
        <v>5.61</v>
      </c>
      <c r="N49" s="3631">
        <f t="shared" si="18"/>
        <v>1.57</v>
      </c>
      <c r="O49" s="3703"/>
      <c r="P49" s="3700"/>
      <c r="Q49" s="3700"/>
      <c r="R49" s="3702"/>
      <c r="S49" s="3632">
        <f t="shared" si="5"/>
        <v>6.92</v>
      </c>
      <c r="T49" s="3658">
        <f t="shared" si="6"/>
        <v>0</v>
      </c>
      <c r="U49" s="3581">
        <f t="shared" si="20"/>
        <v>7.1325000000000003</v>
      </c>
    </row>
    <row r="50" spans="1:21" ht="14.25" customHeight="1">
      <c r="A50" s="3696"/>
      <c r="B50" s="3696"/>
      <c r="C50" s="3700">
        <v>18.75</v>
      </c>
      <c r="D50" s="3701">
        <v>8</v>
      </c>
      <c r="E50" s="3625">
        <f t="shared" si="19"/>
        <v>0.75</v>
      </c>
      <c r="F50" s="3704">
        <f t="shared" si="13"/>
        <v>7.4999999999999997E-2</v>
      </c>
      <c r="G50" s="3700">
        <v>0.79</v>
      </c>
      <c r="H50" s="3702">
        <v>1.1200000000000001</v>
      </c>
      <c r="I50" s="3629">
        <f t="shared" si="14"/>
        <v>13.43</v>
      </c>
      <c r="J50" s="3625">
        <f t="shared" si="15"/>
        <v>0.61</v>
      </c>
      <c r="K50" s="3627">
        <f t="shared" si="16"/>
        <v>1.41</v>
      </c>
      <c r="L50" s="3627">
        <f t="shared" si="12"/>
        <v>14.84</v>
      </c>
      <c r="M50" s="3630">
        <f t="shared" si="17"/>
        <v>12.18</v>
      </c>
      <c r="N50" s="3631">
        <f t="shared" si="18"/>
        <v>3.19</v>
      </c>
      <c r="O50" s="3703"/>
      <c r="P50" s="3700"/>
      <c r="Q50" s="3700"/>
      <c r="R50" s="3702"/>
      <c r="S50" s="3632">
        <f t="shared" si="5"/>
        <v>14.84</v>
      </c>
      <c r="T50" s="3658">
        <f t="shared" si="6"/>
        <v>0</v>
      </c>
      <c r="U50" s="3581">
        <f t="shared" si="20"/>
        <v>14.0625</v>
      </c>
    </row>
    <row r="51" spans="1:21" ht="14.25" customHeight="1">
      <c r="A51" s="3696"/>
      <c r="B51" s="3696"/>
      <c r="C51" s="3700">
        <v>23.7</v>
      </c>
      <c r="D51" s="3701">
        <v>8</v>
      </c>
      <c r="E51" s="3625">
        <f t="shared" si="19"/>
        <v>0.75</v>
      </c>
      <c r="F51" s="3704">
        <f t="shared" si="13"/>
        <v>7.4999999999999997E-2</v>
      </c>
      <c r="G51" s="3700">
        <v>1.1200000000000001</v>
      </c>
      <c r="H51" s="3702">
        <v>1.1200000000000001</v>
      </c>
      <c r="I51" s="3629">
        <f t="shared" si="14"/>
        <v>19.91</v>
      </c>
      <c r="J51" s="3625">
        <f t="shared" si="15"/>
        <v>0.77</v>
      </c>
      <c r="K51" s="3627">
        <f t="shared" si="16"/>
        <v>1.78</v>
      </c>
      <c r="L51" s="3627">
        <f t="shared" si="12"/>
        <v>21.69</v>
      </c>
      <c r="M51" s="3630">
        <f t="shared" si="17"/>
        <v>18.18</v>
      </c>
      <c r="N51" s="3631">
        <f t="shared" si="18"/>
        <v>4.21</v>
      </c>
      <c r="O51" s="3703"/>
      <c r="P51" s="3700"/>
      <c r="Q51" s="3700"/>
      <c r="R51" s="3702"/>
      <c r="S51" s="3632">
        <f t="shared" si="5"/>
        <v>21.69</v>
      </c>
      <c r="T51" s="3658">
        <f t="shared" si="6"/>
        <v>0</v>
      </c>
      <c r="U51" s="3581">
        <f t="shared" si="20"/>
        <v>17.774999999999999</v>
      </c>
    </row>
    <row r="52" spans="1:21" ht="14.25" customHeight="1">
      <c r="A52" s="3696"/>
      <c r="B52" s="3696"/>
      <c r="C52" s="3700">
        <v>21.9</v>
      </c>
      <c r="D52" s="3701">
        <v>8</v>
      </c>
      <c r="E52" s="3625">
        <f t="shared" si="19"/>
        <v>0.75</v>
      </c>
      <c r="F52" s="3704">
        <f t="shared" si="13"/>
        <v>7.4999999999999997E-2</v>
      </c>
      <c r="G52" s="3700">
        <v>1.1200000000000001</v>
      </c>
      <c r="H52" s="3702">
        <v>2.2000000000000002</v>
      </c>
      <c r="I52" s="3629">
        <f t="shared" si="14"/>
        <v>27.27</v>
      </c>
      <c r="J52" s="3625">
        <f t="shared" si="15"/>
        <v>0.71</v>
      </c>
      <c r="K52" s="3627">
        <f t="shared" si="16"/>
        <v>1.64</v>
      </c>
      <c r="L52" s="3627">
        <f t="shared" si="12"/>
        <v>28.91</v>
      </c>
      <c r="M52" s="3630">
        <f t="shared" si="17"/>
        <v>25.23</v>
      </c>
      <c r="N52" s="3631">
        <f t="shared" si="18"/>
        <v>4.42</v>
      </c>
      <c r="O52" s="3703"/>
      <c r="P52" s="3700"/>
      <c r="Q52" s="3700"/>
      <c r="R52" s="3702"/>
      <c r="S52" s="3632">
        <f t="shared" si="5"/>
        <v>21.52</v>
      </c>
      <c r="T52" s="3658">
        <f t="shared" si="6"/>
        <v>7.39</v>
      </c>
      <c r="U52" s="3581">
        <f t="shared" si="20"/>
        <v>16.425000000000001</v>
      </c>
    </row>
    <row r="53" spans="1:21" ht="14.25" customHeight="1">
      <c r="A53" s="3696"/>
      <c r="B53" s="3696"/>
      <c r="C53" s="3700">
        <v>13.04</v>
      </c>
      <c r="D53" s="3701">
        <v>8</v>
      </c>
      <c r="E53" s="3625">
        <f t="shared" si="19"/>
        <v>0.75</v>
      </c>
      <c r="F53" s="3704">
        <f t="shared" si="13"/>
        <v>7.4999999999999997E-2</v>
      </c>
      <c r="G53" s="3700">
        <v>2.2000000000000002</v>
      </c>
      <c r="H53" s="3702">
        <v>2.2000000000000002</v>
      </c>
      <c r="I53" s="3629">
        <f t="shared" si="14"/>
        <v>21.52</v>
      </c>
      <c r="J53" s="3625">
        <f t="shared" si="15"/>
        <v>0.42</v>
      </c>
      <c r="K53" s="3627">
        <f t="shared" si="16"/>
        <v>0.98</v>
      </c>
      <c r="L53" s="3627">
        <f t="shared" si="12"/>
        <v>22.5</v>
      </c>
      <c r="M53" s="3630">
        <f t="shared" si="17"/>
        <v>20.05</v>
      </c>
      <c r="N53" s="3631">
        <f t="shared" si="18"/>
        <v>2.94</v>
      </c>
      <c r="O53" s="3703"/>
      <c r="P53" s="3700"/>
      <c r="Q53" s="3700"/>
      <c r="R53" s="3702"/>
      <c r="S53" s="3632">
        <f t="shared" si="5"/>
        <v>14.67</v>
      </c>
      <c r="T53" s="3658">
        <f t="shared" si="6"/>
        <v>7.83</v>
      </c>
      <c r="U53" s="3581">
        <f t="shared" si="20"/>
        <v>9.7799999999999994</v>
      </c>
    </row>
    <row r="54" spans="1:21" ht="14.25" customHeight="1">
      <c r="A54" s="3696"/>
      <c r="B54" s="3696"/>
      <c r="C54" s="3700">
        <v>14.1</v>
      </c>
      <c r="D54" s="3701">
        <v>8</v>
      </c>
      <c r="E54" s="3625">
        <f t="shared" si="19"/>
        <v>0.75</v>
      </c>
      <c r="F54" s="3704">
        <f t="shared" si="13"/>
        <v>7.4999999999999997E-2</v>
      </c>
      <c r="G54" s="3700">
        <v>2.2000000000000002</v>
      </c>
      <c r="H54" s="3702">
        <v>1.1200000000000001</v>
      </c>
      <c r="I54" s="3629">
        <f t="shared" si="14"/>
        <v>17.55</v>
      </c>
      <c r="J54" s="3625">
        <f t="shared" si="15"/>
        <v>0.46</v>
      </c>
      <c r="K54" s="3627">
        <f t="shared" si="16"/>
        <v>1.06</v>
      </c>
      <c r="L54" s="3627">
        <f t="shared" si="12"/>
        <v>18.61</v>
      </c>
      <c r="M54" s="3630">
        <f t="shared" si="17"/>
        <v>16.239999999999998</v>
      </c>
      <c r="N54" s="3631">
        <f t="shared" si="18"/>
        <v>2.84</v>
      </c>
      <c r="O54" s="3703"/>
      <c r="P54" s="3700"/>
      <c r="Q54" s="3700"/>
      <c r="R54" s="3702"/>
      <c r="S54" s="3632">
        <f t="shared" si="5"/>
        <v>13.85</v>
      </c>
      <c r="T54" s="3658">
        <f t="shared" si="6"/>
        <v>4.76</v>
      </c>
      <c r="U54" s="3581">
        <f t="shared" si="20"/>
        <v>10.574999999999999</v>
      </c>
    </row>
    <row r="55" spans="1:21" ht="14.25" customHeight="1">
      <c r="A55" s="3696"/>
      <c r="B55" s="3696"/>
      <c r="C55" s="3700">
        <v>11.63</v>
      </c>
      <c r="D55" s="3701">
        <v>8</v>
      </c>
      <c r="E55" s="3625">
        <f t="shared" si="19"/>
        <v>0.75</v>
      </c>
      <c r="F55" s="3704">
        <f t="shared" si="13"/>
        <v>7.4999999999999997E-2</v>
      </c>
      <c r="G55" s="3700">
        <v>1.1200000000000001</v>
      </c>
      <c r="H55" s="3702">
        <v>2.2000000000000002</v>
      </c>
      <c r="I55" s="3629">
        <f t="shared" si="14"/>
        <v>14.48</v>
      </c>
      <c r="J55" s="3625">
        <f t="shared" si="15"/>
        <v>0.38</v>
      </c>
      <c r="K55" s="3627">
        <f t="shared" si="16"/>
        <v>0.87</v>
      </c>
      <c r="L55" s="3627">
        <f t="shared" si="12"/>
        <v>15.35</v>
      </c>
      <c r="M55" s="3630">
        <f t="shared" si="17"/>
        <v>13.4</v>
      </c>
      <c r="N55" s="3631">
        <f t="shared" si="18"/>
        <v>2.34</v>
      </c>
      <c r="O55" s="3703"/>
      <c r="P55" s="3700"/>
      <c r="Q55" s="3700"/>
      <c r="R55" s="3702"/>
      <c r="S55" s="3632">
        <f t="shared" si="5"/>
        <v>11.43</v>
      </c>
      <c r="T55" s="3658">
        <f t="shared" si="6"/>
        <v>3.92</v>
      </c>
      <c r="U55" s="3581">
        <f t="shared" si="20"/>
        <v>8.7225000000000001</v>
      </c>
    </row>
    <row r="56" spans="1:21" ht="14.25" customHeight="1" thickBot="1">
      <c r="A56" s="3696"/>
      <c r="B56" s="3696"/>
      <c r="C56" s="3700">
        <v>13.04</v>
      </c>
      <c r="D56" s="3701">
        <v>8</v>
      </c>
      <c r="E56" s="3625">
        <f t="shared" si="19"/>
        <v>0.75</v>
      </c>
      <c r="F56" s="3704">
        <f t="shared" si="13"/>
        <v>7.4999999999999997E-2</v>
      </c>
      <c r="G56" s="3700">
        <v>2.2000000000000002</v>
      </c>
      <c r="H56" s="3702">
        <v>1.1000000000000001</v>
      </c>
      <c r="I56" s="3629">
        <f t="shared" si="14"/>
        <v>16.14</v>
      </c>
      <c r="J56" s="3625">
        <f t="shared" si="15"/>
        <v>0.42</v>
      </c>
      <c r="K56" s="3627">
        <f t="shared" si="16"/>
        <v>0.98</v>
      </c>
      <c r="L56" s="3627">
        <f t="shared" si="12"/>
        <v>17.12</v>
      </c>
      <c r="M56" s="3630">
        <f t="shared" si="17"/>
        <v>14.93</v>
      </c>
      <c r="N56" s="3631">
        <f t="shared" si="18"/>
        <v>2.63</v>
      </c>
      <c r="O56" s="3703"/>
      <c r="P56" s="3700"/>
      <c r="Q56" s="3700"/>
      <c r="R56" s="3702"/>
      <c r="S56" s="3632">
        <f t="shared" si="5"/>
        <v>12.71</v>
      </c>
      <c r="T56" s="3658">
        <f t="shared" si="6"/>
        <v>4.41</v>
      </c>
      <c r="U56" s="3581">
        <f t="shared" si="20"/>
        <v>9.7799999999999994</v>
      </c>
    </row>
    <row r="57" spans="1:21" ht="14.25" customHeight="1" thickTop="1" thickBot="1">
      <c r="A57" s="3705"/>
      <c r="B57" s="3705"/>
      <c r="C57" s="3706">
        <f>SUM(C37:C56)</f>
        <v>387.6</v>
      </c>
      <c r="D57" s="3707"/>
      <c r="E57" s="3708"/>
      <c r="F57" s="3708"/>
      <c r="G57" s="3708"/>
      <c r="H57" s="3709"/>
      <c r="I57" s="3710"/>
      <c r="J57" s="3708"/>
      <c r="K57" s="3667">
        <f>SUM(K37:K56)</f>
        <v>29.1</v>
      </c>
      <c r="L57" s="3668">
        <f>SUM(L37:L56)</f>
        <v>376.14</v>
      </c>
      <c r="M57" s="3668">
        <f>SUM(M37:M56)</f>
        <v>317.77</v>
      </c>
      <c r="N57" s="3669">
        <f>SUM(N37:N56)</f>
        <v>70.040000000000006</v>
      </c>
      <c r="O57" s="3710"/>
      <c r="P57" s="3708"/>
      <c r="Q57" s="3708"/>
      <c r="R57" s="3709"/>
      <c r="S57" s="3711">
        <f>SUM(S37:S56)</f>
        <v>347.83</v>
      </c>
      <c r="T57" s="3712">
        <f>SUM(T37:T56)</f>
        <v>28.31</v>
      </c>
      <c r="U57" s="3712">
        <f>SUM(U37:U56)</f>
        <v>290.7</v>
      </c>
    </row>
    <row r="58" spans="1:21" ht="14.25" customHeight="1" thickTop="1">
      <c r="A58" s="3713"/>
      <c r="B58" s="3713"/>
      <c r="C58" s="3713"/>
      <c r="D58" s="3713"/>
      <c r="E58" s="3713"/>
      <c r="F58" s="3713"/>
      <c r="G58" s="3713"/>
      <c r="H58" s="3713"/>
      <c r="I58" s="3713"/>
      <c r="J58" s="3713"/>
      <c r="K58" s="3713"/>
      <c r="L58" s="3713"/>
      <c r="M58" s="3713"/>
      <c r="N58" s="3713"/>
      <c r="O58" s="3713"/>
      <c r="P58" s="3713"/>
      <c r="Q58" s="3713"/>
      <c r="R58" s="3713"/>
      <c r="S58" s="3713"/>
      <c r="T58" s="3713"/>
    </row>
    <row r="59" spans="1:21" ht="14.25" customHeight="1">
      <c r="A59" s="3713"/>
      <c r="B59" s="3713"/>
      <c r="C59" s="3713"/>
      <c r="D59" s="3713"/>
      <c r="E59" s="3713"/>
      <c r="F59" s="3713"/>
      <c r="G59" s="3713"/>
      <c r="H59" s="3713"/>
      <c r="I59" s="3713"/>
      <c r="J59" s="3713"/>
      <c r="K59" s="3713"/>
      <c r="L59" s="3713"/>
      <c r="M59" s="3713"/>
      <c r="N59" s="3713"/>
      <c r="O59" s="3713"/>
      <c r="P59" s="3713"/>
      <c r="Q59" s="3713"/>
      <c r="R59" s="3713"/>
      <c r="S59" s="3713"/>
      <c r="T59" s="3713"/>
    </row>
    <row r="60" spans="1:21">
      <c r="A60" s="3713"/>
      <c r="B60" s="3713"/>
      <c r="C60" s="3713"/>
      <c r="D60" s="3713"/>
      <c r="E60" s="3713"/>
      <c r="F60" s="3713"/>
      <c r="G60" s="3713"/>
      <c r="H60" s="3713"/>
      <c r="I60" s="3714" t="s">
        <v>3102</v>
      </c>
      <c r="J60" s="3715">
        <f>C57</f>
        <v>387.6</v>
      </c>
      <c r="K60" s="3716" t="s">
        <v>1</v>
      </c>
      <c r="L60" s="3717">
        <v>76.55</v>
      </c>
      <c r="M60" s="3718">
        <f>ROUND(J60*L60,20)</f>
        <v>29670.78</v>
      </c>
      <c r="N60" s="3719"/>
      <c r="O60" s="3713"/>
      <c r="P60" s="3713"/>
      <c r="Q60" s="3713"/>
      <c r="R60" s="3713"/>
      <c r="S60" s="3713"/>
      <c r="T60" s="3713"/>
    </row>
    <row r="61" spans="1:21">
      <c r="A61" s="3713"/>
      <c r="B61" s="3713" t="s">
        <v>3103</v>
      </c>
      <c r="C61" s="3713"/>
      <c r="D61" s="3713"/>
      <c r="E61" s="3713"/>
      <c r="F61" s="3714"/>
      <c r="G61" s="3713"/>
      <c r="H61" s="3713"/>
      <c r="I61" s="3720" t="s">
        <v>3104</v>
      </c>
      <c r="J61" s="3715">
        <f>L57</f>
        <v>376.14</v>
      </c>
      <c r="K61" s="3716" t="s">
        <v>2</v>
      </c>
      <c r="L61" s="3718">
        <v>110.69</v>
      </c>
      <c r="M61" s="3718">
        <f t="shared" ref="M61:M67" si="21">ROUND(J61*L61,20)</f>
        <v>41634.94</v>
      </c>
      <c r="N61" s="3719"/>
      <c r="O61" s="3713"/>
      <c r="P61" s="3713"/>
      <c r="Q61" s="3713"/>
      <c r="R61" s="3713"/>
      <c r="S61" s="3713"/>
      <c r="T61" s="3713"/>
    </row>
    <row r="62" spans="1:21">
      <c r="A62" s="3713"/>
      <c r="B62" s="3714" t="s">
        <v>3105</v>
      </c>
      <c r="C62" s="3721">
        <f>SUM(C37:C46,C49:C56)</f>
        <v>338</v>
      </c>
      <c r="D62" s="3713">
        <f>C62*1.03</f>
        <v>348.14</v>
      </c>
      <c r="E62" s="3713"/>
      <c r="F62" s="3713"/>
      <c r="G62" s="3713"/>
      <c r="H62" s="3713"/>
      <c r="I62" s="3714" t="s">
        <v>3106</v>
      </c>
      <c r="J62" s="3722">
        <f>U57</f>
        <v>290.7</v>
      </c>
      <c r="K62" s="3716" t="s">
        <v>11</v>
      </c>
      <c r="L62" s="3723">
        <v>17.850000000000001</v>
      </c>
      <c r="M62" s="3718">
        <f t="shared" si="21"/>
        <v>5189</v>
      </c>
      <c r="N62" s="3719"/>
      <c r="O62" s="3713"/>
      <c r="P62" s="3713"/>
      <c r="Q62" s="3713"/>
      <c r="R62" s="3713"/>
      <c r="S62" s="3713"/>
      <c r="T62" s="3713"/>
    </row>
    <row r="63" spans="1:21">
      <c r="A63" s="3713"/>
      <c r="B63" s="3714" t="s">
        <v>3107</v>
      </c>
      <c r="C63" s="3721">
        <f>C47</f>
        <v>34.9</v>
      </c>
      <c r="D63" s="3713">
        <f>C63*1.05</f>
        <v>36.645000000000003</v>
      </c>
      <c r="E63" s="3713"/>
      <c r="F63" s="3713"/>
      <c r="G63" s="3713"/>
      <c r="H63" s="3713"/>
      <c r="I63" s="3714" t="s">
        <v>3108</v>
      </c>
      <c r="J63" s="3722">
        <f>K57</f>
        <v>29.1</v>
      </c>
      <c r="K63" s="3716" t="s">
        <v>2</v>
      </c>
      <c r="L63" s="3717">
        <v>1941.69</v>
      </c>
      <c r="M63" s="3718">
        <f t="shared" si="21"/>
        <v>56503.18</v>
      </c>
      <c r="N63" s="3719"/>
      <c r="O63" s="3713"/>
      <c r="P63" s="3713"/>
      <c r="Q63" s="3713"/>
      <c r="R63" s="3713"/>
      <c r="S63" s="3713"/>
      <c r="T63" s="3713"/>
    </row>
    <row r="64" spans="1:21">
      <c r="A64" s="3713"/>
      <c r="B64" s="3714" t="s">
        <v>3109</v>
      </c>
      <c r="C64" s="3721">
        <f>C48</f>
        <v>14.7</v>
      </c>
      <c r="D64" s="3713">
        <f>C64*1.05</f>
        <v>15.435</v>
      </c>
      <c r="E64" s="3713"/>
      <c r="F64" s="3713"/>
      <c r="G64" s="3713"/>
      <c r="H64" s="3713"/>
      <c r="I64" s="3714" t="s">
        <v>3110</v>
      </c>
      <c r="J64" s="3722">
        <f>M57</f>
        <v>317.77</v>
      </c>
      <c r="K64" s="3716" t="s">
        <v>2</v>
      </c>
      <c r="L64" s="3717">
        <v>183.13</v>
      </c>
      <c r="M64" s="3718">
        <f t="shared" si="21"/>
        <v>58193.22</v>
      </c>
      <c r="N64" s="3719"/>
      <c r="O64" s="3713"/>
      <c r="P64" s="3713"/>
      <c r="Q64" s="3713"/>
      <c r="R64" s="3713"/>
      <c r="S64" s="3713"/>
      <c r="T64" s="3713"/>
    </row>
    <row r="65" spans="1:20">
      <c r="A65" s="3713"/>
      <c r="B65" s="3713"/>
      <c r="C65" s="3713"/>
      <c r="D65" s="3713"/>
      <c r="E65" s="3713"/>
      <c r="F65" s="3713"/>
      <c r="G65" s="3713"/>
      <c r="H65" s="3713"/>
      <c r="I65" s="3714" t="s">
        <v>3111</v>
      </c>
      <c r="J65" s="3722">
        <f>N57</f>
        <v>70.040000000000006</v>
      </c>
      <c r="K65" s="3716" t="s">
        <v>2</v>
      </c>
      <c r="L65" s="3717">
        <v>210</v>
      </c>
      <c r="M65" s="3718">
        <f t="shared" si="21"/>
        <v>14708.4</v>
      </c>
      <c r="N65" s="3719"/>
      <c r="O65" s="3713"/>
      <c r="P65" s="3713"/>
      <c r="Q65" s="3713"/>
      <c r="R65" s="3713"/>
      <c r="S65" s="3713"/>
      <c r="T65" s="3713"/>
    </row>
    <row r="66" spans="1:20">
      <c r="A66" s="3724"/>
      <c r="B66" s="3724"/>
      <c r="C66" s="3724"/>
      <c r="D66" s="3724"/>
      <c r="E66" s="3724"/>
      <c r="F66" s="3724"/>
      <c r="G66" s="3724"/>
      <c r="H66" s="3724"/>
      <c r="I66" s="3725" t="s">
        <v>3112</v>
      </c>
      <c r="J66" s="3726">
        <f>C57*1.03</f>
        <v>399.22800000000001</v>
      </c>
      <c r="K66" s="3727" t="s">
        <v>1</v>
      </c>
      <c r="L66" s="3728">
        <v>2496.0500000000002</v>
      </c>
      <c r="M66" s="3718">
        <f t="shared" si="21"/>
        <v>996493.05</v>
      </c>
      <c r="N66" s="3729"/>
      <c r="O66" s="3724"/>
      <c r="P66" s="3724"/>
      <c r="Q66" s="3724"/>
      <c r="R66" s="3724"/>
      <c r="S66" s="3724"/>
      <c r="T66" s="3724"/>
    </row>
    <row r="67" spans="1:20">
      <c r="A67" s="3724"/>
      <c r="B67" s="3724"/>
      <c r="C67" s="3724"/>
      <c r="D67" s="3724"/>
      <c r="E67" s="3724"/>
      <c r="F67" s="3724"/>
      <c r="G67" s="3724"/>
      <c r="H67" s="3724"/>
      <c r="I67" s="3725" t="s">
        <v>3113</v>
      </c>
      <c r="J67" s="3730">
        <f>J66</f>
        <v>399.22800000000001</v>
      </c>
      <c r="K67" s="3727" t="s">
        <v>1</v>
      </c>
      <c r="L67" s="3728">
        <v>90.38</v>
      </c>
      <c r="M67" s="3718">
        <f t="shared" si="21"/>
        <v>36082.230000000003</v>
      </c>
      <c r="N67" s="3729"/>
      <c r="O67" s="3724"/>
      <c r="P67" s="3724"/>
      <c r="Q67" s="3724"/>
      <c r="R67" s="3724"/>
      <c r="S67" s="3724"/>
      <c r="T67" s="3724"/>
    </row>
    <row r="68" spans="1:20">
      <c r="A68" s="3724"/>
      <c r="B68" s="3724"/>
      <c r="C68" s="3724"/>
      <c r="D68" s="3724"/>
      <c r="E68" s="3724"/>
      <c r="F68" s="3724"/>
      <c r="G68" s="3724"/>
      <c r="H68" s="3724"/>
      <c r="I68" s="3729"/>
      <c r="J68" s="3729"/>
      <c r="K68" s="3729"/>
      <c r="L68" s="3729"/>
      <c r="M68" s="3731">
        <f>SUM(M60:M67)</f>
        <v>1238474.8</v>
      </c>
      <c r="N68" s="3729"/>
      <c r="O68" s="3724"/>
      <c r="P68" s="3724"/>
      <c r="Q68" s="3724"/>
      <c r="R68" s="3724"/>
      <c r="S68" s="3724"/>
      <c r="T68" s="3724"/>
    </row>
    <row r="69" spans="1:20">
      <c r="A69" s="3724"/>
      <c r="B69" s="3724"/>
      <c r="C69" s="3724"/>
      <c r="D69" s="3724"/>
      <c r="E69" s="3724"/>
      <c r="F69" s="3724"/>
      <c r="G69" s="3724"/>
      <c r="H69" s="3724"/>
      <c r="I69" s="3725"/>
      <c r="J69" s="3732"/>
      <c r="K69" s="3727" t="s">
        <v>3</v>
      </c>
      <c r="L69" s="3729"/>
      <c r="M69" s="3729"/>
      <c r="N69" s="3729"/>
      <c r="O69" s="3724"/>
      <c r="P69" s="3724"/>
      <c r="Q69" s="3724"/>
      <c r="R69" s="3724"/>
      <c r="S69" s="3724"/>
      <c r="T69" s="3724"/>
    </row>
    <row r="70" spans="1:20">
      <c r="A70" s="3724"/>
      <c r="B70" s="3724"/>
      <c r="C70" s="3724"/>
      <c r="D70" s="3724"/>
      <c r="E70" s="3724"/>
      <c r="F70" s="3724"/>
      <c r="G70" s="3724"/>
      <c r="H70" s="3724"/>
      <c r="I70" s="3725" t="s">
        <v>3114</v>
      </c>
      <c r="J70" s="3732">
        <f>ROUND(INT(C57/85),2)</f>
        <v>4</v>
      </c>
      <c r="K70" s="3727" t="s">
        <v>3</v>
      </c>
      <c r="L70" s="3728">
        <v>8680.9500000000007</v>
      </c>
      <c r="M70" s="3731">
        <f>ROUND(J70*L70,20)</f>
        <v>34723.800000000003</v>
      </c>
      <c r="N70" s="3729"/>
      <c r="O70" s="3724"/>
      <c r="P70" s="3724"/>
      <c r="Q70" s="3724"/>
      <c r="R70" s="3724"/>
      <c r="S70" s="3724"/>
      <c r="T70" s="3724"/>
    </row>
    <row r="71" spans="1:20">
      <c r="A71" s="3724"/>
      <c r="B71" s="3724"/>
      <c r="C71" s="3724"/>
      <c r="D71" s="3724"/>
      <c r="E71" s="3724"/>
      <c r="F71" s="3724"/>
      <c r="G71" s="3724"/>
      <c r="H71" s="3724"/>
      <c r="I71" s="3725" t="s">
        <v>3115</v>
      </c>
      <c r="J71" s="3732">
        <v>15</v>
      </c>
      <c r="K71" s="3727" t="s">
        <v>3</v>
      </c>
      <c r="L71" s="3728">
        <v>2316.87</v>
      </c>
      <c r="M71" s="3731">
        <f>ROUND(J71*L71,20)</f>
        <v>34753.050000000003</v>
      </c>
      <c r="N71" s="3729"/>
      <c r="O71" s="3724"/>
      <c r="P71" s="3724"/>
      <c r="Q71" s="3724"/>
      <c r="R71" s="3724"/>
      <c r="S71" s="3724"/>
      <c r="T71" s="3724"/>
    </row>
    <row r="72" spans="1:20">
      <c r="A72" s="3724"/>
      <c r="B72" s="3724"/>
      <c r="C72" s="3724"/>
      <c r="D72" s="3724"/>
      <c r="E72" s="3724"/>
      <c r="F72" s="3724"/>
      <c r="G72" s="3724"/>
      <c r="H72" s="3724"/>
      <c r="I72" s="3725" t="s">
        <v>3116</v>
      </c>
      <c r="J72" s="3732">
        <f>J71</f>
        <v>15</v>
      </c>
      <c r="K72" s="3727" t="s">
        <v>3</v>
      </c>
      <c r="L72" s="3728">
        <v>63467.01</v>
      </c>
      <c r="M72" s="3731">
        <f>ROUND(J72*L72,20)</f>
        <v>952005.15</v>
      </c>
      <c r="N72" s="3729"/>
      <c r="O72" s="3724"/>
      <c r="P72" s="3724"/>
      <c r="Q72" s="3724"/>
      <c r="R72" s="3724"/>
      <c r="S72" s="3724"/>
      <c r="T72" s="3724"/>
    </row>
    <row r="73" spans="1:20" ht="15.75">
      <c r="A73" s="3724"/>
      <c r="B73" s="3724"/>
      <c r="C73" s="3724"/>
      <c r="D73" s="3724"/>
      <c r="E73" s="3724"/>
      <c r="F73" s="3724"/>
      <c r="G73" s="3724"/>
      <c r="H73" s="3724"/>
      <c r="I73" s="3729"/>
      <c r="J73" s="3729"/>
      <c r="K73" s="3729"/>
      <c r="L73" s="3729"/>
      <c r="M73" s="4779">
        <f>ROUND(SUM(M68,M70:M72),2)</f>
        <v>2259956.7999999998</v>
      </c>
      <c r="N73" s="4779"/>
      <c r="O73" s="3724"/>
      <c r="P73" s="3724"/>
      <c r="Q73" s="3724"/>
      <c r="R73" s="3724"/>
      <c r="S73" s="3724"/>
      <c r="T73" s="3724"/>
    </row>
    <row r="74" spans="1:20">
      <c r="A74" s="3724"/>
      <c r="B74" s="3724"/>
      <c r="C74" s="3724"/>
      <c r="D74" s="3724"/>
      <c r="E74" s="3724"/>
      <c r="F74" s="3724"/>
      <c r="G74" s="3724"/>
      <c r="H74" s="3724"/>
      <c r="I74" s="3724"/>
      <c r="J74" s="3724"/>
      <c r="K74" s="3724"/>
      <c r="L74" s="3724"/>
      <c r="M74" s="3724"/>
      <c r="N74" s="3724"/>
      <c r="O74" s="3724"/>
      <c r="P74" s="3724"/>
      <c r="Q74" s="3724"/>
      <c r="R74" s="3724"/>
      <c r="S74" s="3724"/>
      <c r="T74" s="3724"/>
    </row>
    <row r="75" spans="1:20">
      <c r="A75" s="3724"/>
      <c r="B75" s="3724"/>
      <c r="C75" s="3724"/>
      <c r="D75" s="3724"/>
      <c r="E75" s="3724"/>
      <c r="F75" s="3724"/>
      <c r="G75" s="3724"/>
      <c r="H75" s="3724"/>
      <c r="I75" s="3724"/>
      <c r="J75" s="3724"/>
      <c r="K75" s="3724"/>
      <c r="L75" s="3724"/>
      <c r="M75" s="3724"/>
      <c r="N75" s="3724"/>
      <c r="O75" s="3724"/>
      <c r="P75" s="3724"/>
      <c r="Q75" s="3724"/>
      <c r="R75" s="3724"/>
      <c r="S75" s="3724"/>
      <c r="T75" s="3724"/>
    </row>
    <row r="76" spans="1:20">
      <c r="A76" s="3724"/>
      <c r="B76" s="3724"/>
      <c r="C76" s="3724"/>
      <c r="D76" s="3724"/>
      <c r="E76" s="3724"/>
      <c r="F76" s="3724"/>
      <c r="G76" s="3724"/>
      <c r="H76" s="3724"/>
      <c r="I76" s="3724"/>
      <c r="J76" s="3724"/>
      <c r="K76" s="3724"/>
      <c r="L76" s="3724"/>
      <c r="M76" s="3724"/>
      <c r="N76" s="3724"/>
      <c r="O76" s="3724"/>
      <c r="P76" s="3724"/>
      <c r="Q76" s="3724"/>
      <c r="R76" s="3724"/>
      <c r="S76" s="3724"/>
      <c r="T76" s="3724"/>
    </row>
    <row r="77" spans="1:20">
      <c r="A77" s="3724"/>
      <c r="B77" s="3724"/>
      <c r="C77" s="3724"/>
      <c r="D77" s="3724"/>
      <c r="E77" s="3724"/>
      <c r="F77" s="3724"/>
      <c r="G77" s="3724"/>
      <c r="H77" s="3724"/>
      <c r="I77" s="3724"/>
      <c r="J77" s="3724"/>
      <c r="K77" s="3724"/>
      <c r="L77" s="3724"/>
      <c r="M77" s="3724"/>
      <c r="N77" s="3724"/>
      <c r="O77" s="3724"/>
      <c r="P77" s="3724"/>
      <c r="Q77" s="3724"/>
      <c r="R77" s="3724"/>
      <c r="S77" s="3724"/>
      <c r="T77" s="3724"/>
    </row>
    <row r="78" spans="1:20" ht="15">
      <c r="A78" s="4776" t="s">
        <v>5</v>
      </c>
      <c r="B78" s="4776"/>
      <c r="C78" s="4776"/>
      <c r="D78" s="4776"/>
      <c r="E78" s="4776"/>
      <c r="F78" s="4776"/>
      <c r="G78" s="4776"/>
      <c r="H78" s="4776"/>
      <c r="I78" s="4776"/>
      <c r="J78" s="4776"/>
      <c r="K78" s="4776"/>
      <c r="L78" s="4776"/>
      <c r="M78" s="4776"/>
      <c r="N78" s="4776"/>
      <c r="O78" s="4776"/>
      <c r="P78" s="4776"/>
      <c r="Q78" s="4776"/>
      <c r="R78" s="4776"/>
      <c r="S78" s="4776"/>
      <c r="T78" s="4776"/>
    </row>
    <row r="79" spans="1:20" ht="15">
      <c r="A79" s="4777" t="s">
        <v>2559</v>
      </c>
      <c r="B79" s="4777"/>
      <c r="C79" s="4777"/>
      <c r="D79" s="4777"/>
      <c r="E79" s="4777"/>
      <c r="F79" s="4777"/>
      <c r="G79" s="4777"/>
      <c r="H79" s="4777"/>
      <c r="I79" s="4777"/>
      <c r="J79" s="4777"/>
      <c r="K79" s="4777"/>
      <c r="L79" s="4777"/>
      <c r="M79" s="4777"/>
      <c r="N79" s="4777"/>
      <c r="O79" s="4777"/>
      <c r="P79" s="4777"/>
      <c r="Q79" s="4777"/>
      <c r="R79" s="4777"/>
      <c r="S79" s="4777"/>
      <c r="T79" s="4777"/>
    </row>
    <row r="80" spans="1:20" ht="15">
      <c r="A80" s="4776" t="s">
        <v>7</v>
      </c>
      <c r="B80" s="4776"/>
      <c r="C80" s="4776"/>
      <c r="D80" s="4776"/>
      <c r="E80" s="4776"/>
      <c r="F80" s="4776"/>
      <c r="G80" s="4776"/>
      <c r="H80" s="4776"/>
      <c r="I80" s="4776"/>
      <c r="J80" s="4776"/>
      <c r="K80" s="4776"/>
      <c r="L80" s="4776"/>
      <c r="M80" s="4776"/>
      <c r="N80" s="4776"/>
      <c r="O80" s="4776"/>
      <c r="P80" s="4776"/>
      <c r="Q80" s="4776"/>
      <c r="R80" s="4776"/>
      <c r="S80" s="4776"/>
      <c r="T80" s="4776"/>
    </row>
    <row r="81" spans="1:26" ht="15">
      <c r="A81" s="4776" t="s">
        <v>2560</v>
      </c>
      <c r="B81" s="4776"/>
      <c r="C81" s="4776"/>
      <c r="D81" s="4776"/>
      <c r="E81" s="4776"/>
      <c r="F81" s="4776"/>
      <c r="G81" s="4776"/>
      <c r="H81" s="4776"/>
      <c r="I81" s="4776"/>
      <c r="J81" s="4776"/>
      <c r="K81" s="4776"/>
      <c r="L81" s="4776"/>
      <c r="M81" s="4776"/>
      <c r="N81" s="4776"/>
      <c r="O81" s="4776"/>
      <c r="P81" s="4776"/>
      <c r="Q81" s="4776"/>
      <c r="R81" s="4776"/>
      <c r="S81" s="4776"/>
      <c r="T81" s="4776"/>
    </row>
    <row r="82" spans="1:26" ht="15.75" thickBot="1">
      <c r="A82" s="4778" t="s">
        <v>3117</v>
      </c>
      <c r="B82" s="4778"/>
      <c r="C82" s="4778"/>
      <c r="D82" s="4778"/>
      <c r="E82" s="4778"/>
      <c r="F82" s="4778"/>
      <c r="G82" s="4778"/>
      <c r="H82" s="4778"/>
      <c r="I82" s="4778"/>
      <c r="J82" s="4778"/>
      <c r="K82" s="4778"/>
      <c r="L82" s="4778"/>
      <c r="M82" s="4778"/>
      <c r="N82" s="4778"/>
      <c r="O82" s="4778"/>
      <c r="P82" s="4778"/>
      <c r="Q82" s="4778"/>
      <c r="R82" s="4778"/>
      <c r="S82" s="4778"/>
      <c r="T82" s="4778"/>
      <c r="U82" s="3582"/>
      <c r="V82" s="3582"/>
      <c r="W82" s="3582"/>
      <c r="X82" s="3582"/>
    </row>
    <row r="83" spans="1:26" ht="29.25" customHeight="1" thickBot="1">
      <c r="A83" s="3583" t="s">
        <v>3059</v>
      </c>
      <c r="B83" s="3583" t="s">
        <v>3060</v>
      </c>
      <c r="C83" s="3584" t="s">
        <v>3061</v>
      </c>
      <c r="D83" s="3585" t="s">
        <v>3062</v>
      </c>
      <c r="E83" s="3586" t="s">
        <v>3063</v>
      </c>
      <c r="F83" s="3586" t="s">
        <v>3064</v>
      </c>
      <c r="G83" s="3586" t="s">
        <v>3065</v>
      </c>
      <c r="H83" s="3586" t="s">
        <v>3066</v>
      </c>
      <c r="I83" s="3587" t="s">
        <v>3067</v>
      </c>
      <c r="J83" s="3586" t="s">
        <v>3068</v>
      </c>
      <c r="K83" s="3588" t="s">
        <v>3069</v>
      </c>
      <c r="L83" s="3589" t="s">
        <v>3070</v>
      </c>
      <c r="M83" s="3588" t="s">
        <v>3071</v>
      </c>
      <c r="N83" s="3589" t="s">
        <v>3072</v>
      </c>
      <c r="O83" s="3585" t="s">
        <v>3073</v>
      </c>
      <c r="P83" s="3585" t="s">
        <v>3074</v>
      </c>
      <c r="Q83" s="3585" t="s">
        <v>3075</v>
      </c>
      <c r="R83" s="3585" t="s">
        <v>3076</v>
      </c>
      <c r="S83" s="3589" t="s">
        <v>3077</v>
      </c>
      <c r="T83" s="3589" t="s">
        <v>3078</v>
      </c>
      <c r="U83" s="3590" t="s">
        <v>3079</v>
      </c>
      <c r="V83" s="3591"/>
      <c r="W83" s="3591"/>
      <c r="X83" s="3591" t="s">
        <v>3080</v>
      </c>
      <c r="Y83" s="3592" t="s">
        <v>3063</v>
      </c>
      <c r="Z83" s="3581" t="s">
        <v>3081</v>
      </c>
    </row>
    <row r="84" spans="1:26" s="3604" customFormat="1" ht="15.75" customHeight="1" thickBot="1">
      <c r="A84" s="3593" t="s">
        <v>3082</v>
      </c>
      <c r="B84" s="3594"/>
      <c r="C84" s="3594"/>
      <c r="D84" s="3595"/>
      <c r="E84" s="3595"/>
      <c r="F84" s="3595"/>
      <c r="G84" s="3595"/>
      <c r="H84" s="3595"/>
      <c r="I84" s="3596"/>
      <c r="J84" s="3597"/>
      <c r="K84" s="3598"/>
      <c r="L84" s="3598"/>
      <c r="M84" s="3598"/>
      <c r="N84" s="3599"/>
      <c r="O84" s="3597"/>
      <c r="P84" s="3597"/>
      <c r="Q84" s="3597"/>
      <c r="R84" s="3597"/>
      <c r="S84" s="3600"/>
      <c r="T84" s="3600"/>
      <c r="U84" s="3600"/>
      <c r="V84" s="3591"/>
      <c r="W84" s="3601"/>
      <c r="X84" s="3601">
        <v>4</v>
      </c>
      <c r="Y84" s="3602">
        <v>0.6</v>
      </c>
      <c r="Z84" s="3603">
        <f t="shared" ref="Z84:Z91" si="22">X84^2/1974</f>
        <v>8.0999999999999996E-3</v>
      </c>
    </row>
    <row r="85" spans="1:26" ht="14.25" customHeight="1">
      <c r="A85" s="3605" t="s">
        <v>3083</v>
      </c>
      <c r="B85" s="3606" t="s">
        <v>3084</v>
      </c>
      <c r="C85" s="3607">
        <v>75.569999999999993</v>
      </c>
      <c r="D85" s="3608">
        <v>12</v>
      </c>
      <c r="E85" s="3609">
        <f>IF(D85=0,0,LOOKUP(D85,$X$7:$X$14,$Y$7:$Y$14))</f>
        <v>0.85</v>
      </c>
      <c r="F85" s="3610">
        <f>E85*0.1</f>
        <v>8.5000000000000006E-2</v>
      </c>
      <c r="G85" s="3611">
        <f>O85-P85</f>
        <v>1.39</v>
      </c>
      <c r="H85" s="3611">
        <f>Q85-R85</f>
        <v>1.9</v>
      </c>
      <c r="I85" s="3612">
        <f t="shared" ref="I85:I88" si="23">(G85+H85)/2*E85*C85</f>
        <v>105.67</v>
      </c>
      <c r="J85" s="3609">
        <f>IF(D85=0,0,LOOKUP(D85,$X$7:$X$14,$Z$7:$Z$14)*C85)</f>
        <v>5.51</v>
      </c>
      <c r="K85" s="3613">
        <f t="shared" ref="K85:K86" si="24">C85*F85</f>
        <v>6.42</v>
      </c>
      <c r="L85" s="3613">
        <f>I85+K85</f>
        <v>112.09</v>
      </c>
      <c r="M85" s="3613">
        <f t="shared" ref="M85:M86" si="25">(L85-K85-J85)*0.95</f>
        <v>95.15</v>
      </c>
      <c r="N85" s="3614">
        <f t="shared" ref="N85:N86" si="26">(L85-M85)*1.2</f>
        <v>20.329999999999998</v>
      </c>
      <c r="O85" s="3615">
        <v>30.77</v>
      </c>
      <c r="P85" s="3605">
        <v>29.38</v>
      </c>
      <c r="Q85" s="3605">
        <v>30.4</v>
      </c>
      <c r="R85" s="3616">
        <v>28.5</v>
      </c>
      <c r="S85" s="3615">
        <f>IF(AND(G85&lt;=1.5,H85&lt;=1.5),L85,IF(AND(G85&lt;=1.5,H85&gt;1.5),(((G85+1.5)*C85)/2)*E85,IF(AND(G85&gt;1.5,H85&lt;=1.5),(((H85+1.5)*C85)/2)*E85,IF(AND(G85&gt;1.5,H85&gt;1.5),(((1.5+1.5)*C85)/2)*E85,0))))</f>
        <v>92.82</v>
      </c>
      <c r="T85" s="3617">
        <f>(L85-S85)</f>
        <v>19.27</v>
      </c>
      <c r="U85" s="3618"/>
      <c r="V85" s="3619"/>
      <c r="W85" s="3620"/>
      <c r="X85" s="3620">
        <v>6</v>
      </c>
      <c r="Y85" s="3621">
        <v>0.7</v>
      </c>
      <c r="Z85" s="3603">
        <f t="shared" si="22"/>
        <v>1.8200000000000001E-2</v>
      </c>
    </row>
    <row r="86" spans="1:26" ht="14.25" customHeight="1" thickBot="1">
      <c r="A86" s="3622"/>
      <c r="B86" s="3622"/>
      <c r="C86" s="3623"/>
      <c r="D86" s="3624"/>
      <c r="E86" s="3625">
        <f>IF(D86=0,0,LOOKUP(D86,$X$7:$X$14,$Y$7:$Y$14))</f>
        <v>0</v>
      </c>
      <c r="F86" s="3626">
        <f>E86*0.1</f>
        <v>0</v>
      </c>
      <c r="G86" s="3627">
        <f>O86-P86</f>
        <v>0</v>
      </c>
      <c r="H86" s="3628">
        <f>Q86-R86</f>
        <v>0</v>
      </c>
      <c r="I86" s="3629">
        <f t="shared" si="23"/>
        <v>0</v>
      </c>
      <c r="J86" s="3625">
        <f>IF(D86=0,0,LOOKUP(D86,$X$7:$X$14,$Z$7:$Z$14)*C86)</f>
        <v>0</v>
      </c>
      <c r="K86" s="3630">
        <f t="shared" si="24"/>
        <v>0</v>
      </c>
      <c r="L86" s="3630">
        <f>I86+K86</f>
        <v>0</v>
      </c>
      <c r="M86" s="3630">
        <f t="shared" si="25"/>
        <v>0</v>
      </c>
      <c r="N86" s="3631">
        <f t="shared" si="26"/>
        <v>0</v>
      </c>
      <c r="O86" s="3632"/>
      <c r="P86" s="3633"/>
      <c r="Q86" s="3622"/>
      <c r="R86" s="3634"/>
      <c r="S86" s="3632">
        <f t="shared" ref="S86" si="27">IF(AND(G86&lt;=1.5,H86&lt;=1.5),L86,IF(AND(G86&lt;=1.5,H86&gt;1.5),(((G86+1.5)*C86)/2)*E86,IF(AND(G86&gt;1.5,H86&lt;=1.5),(((H86+1.5)*C86)/2)*E86,IF(AND(G86&gt;1.5,H86&gt;1.5),(((1.5+1.5)*C86)/2)*E86,0))))</f>
        <v>0</v>
      </c>
      <c r="T86" s="3635">
        <f t="shared" ref="T86" si="28">(L86-S86)</f>
        <v>0</v>
      </c>
      <c r="U86" s="3636"/>
      <c r="V86" s="3619"/>
      <c r="W86" s="3620"/>
      <c r="X86" s="3620">
        <v>8</v>
      </c>
      <c r="Y86" s="3621">
        <v>0.75</v>
      </c>
      <c r="Z86" s="3603">
        <f t="shared" si="22"/>
        <v>3.2399999999999998E-2</v>
      </c>
    </row>
    <row r="87" spans="1:26" ht="14.25" customHeight="1" thickTop="1" thickBot="1">
      <c r="A87" s="3637" t="s">
        <v>289</v>
      </c>
      <c r="B87" s="3638"/>
      <c r="C87" s="3639">
        <f>SUM(C85:C86)</f>
        <v>75.569999999999993</v>
      </c>
      <c r="D87" s="3640"/>
      <c r="E87" s="3641">
        <f t="shared" ref="E87:E88" si="29">IF(D87=0,0,LOOKUP(D87,$X$7:$X$14,$Y$7:$Y$14))</f>
        <v>0</v>
      </c>
      <c r="F87" s="3642">
        <f>E87*0.1</f>
        <v>0</v>
      </c>
      <c r="G87" s="3643">
        <f t="shared" ref="G87:G88" si="30">O87-P87</f>
        <v>0</v>
      </c>
      <c r="H87" s="3644">
        <f t="shared" ref="H87:H88" si="31">Q87-R87</f>
        <v>0</v>
      </c>
      <c r="I87" s="3645">
        <f t="shared" si="23"/>
        <v>0</v>
      </c>
      <c r="J87" s="3646">
        <f t="shared" ref="J87:J88" si="32">IF(D87=0,0,LOOKUP(D87,$X$7:$X$14,$Z$7:$Z$14)*C87)</f>
        <v>0</v>
      </c>
      <c r="K87" s="3647">
        <f>SUM(K85:K86)</f>
        <v>6.42</v>
      </c>
      <c r="L87" s="3648">
        <f>SUM(L85:L86)</f>
        <v>112.09</v>
      </c>
      <c r="M87" s="3648">
        <f>SUM(M85:M86)</f>
        <v>95.15</v>
      </c>
      <c r="N87" s="3649">
        <f>SUM(N85:N86)</f>
        <v>20.329999999999998</v>
      </c>
      <c r="O87" s="3650"/>
      <c r="P87" s="3651"/>
      <c r="Q87" s="3638"/>
      <c r="R87" s="3651"/>
      <c r="S87" s="3639">
        <f>SUM(S85:S86)</f>
        <v>92.82</v>
      </c>
      <c r="T87" s="3652">
        <f>SUM(T85:T86)</f>
        <v>19.27</v>
      </c>
      <c r="U87" s="3636"/>
      <c r="V87" s="3619"/>
      <c r="W87" s="3620"/>
      <c r="X87" s="3620">
        <v>10</v>
      </c>
      <c r="Y87" s="3621">
        <v>0.8</v>
      </c>
      <c r="Z87" s="3603">
        <f t="shared" si="22"/>
        <v>5.0700000000000002E-2</v>
      </c>
    </row>
    <row r="88" spans="1:26" ht="14.25" customHeight="1" thickTop="1" thickBot="1">
      <c r="A88" s="3622"/>
      <c r="B88" s="3622"/>
      <c r="C88" s="3623"/>
      <c r="D88" s="3624"/>
      <c r="E88" s="3625">
        <f t="shared" si="29"/>
        <v>0</v>
      </c>
      <c r="F88" s="3626">
        <f t="shared" ref="F88" si="33">E88*0.1</f>
        <v>0</v>
      </c>
      <c r="G88" s="3627">
        <f t="shared" si="30"/>
        <v>0</v>
      </c>
      <c r="H88" s="3628">
        <f t="shared" si="31"/>
        <v>0</v>
      </c>
      <c r="I88" s="3629">
        <f t="shared" si="23"/>
        <v>0</v>
      </c>
      <c r="J88" s="3625">
        <f t="shared" si="32"/>
        <v>0</v>
      </c>
      <c r="K88" s="3630">
        <f>C88*F88</f>
        <v>0</v>
      </c>
      <c r="L88" s="3630">
        <f t="shared" ref="L88" si="34">I88+K88</f>
        <v>0</v>
      </c>
      <c r="M88" s="3630">
        <f t="shared" ref="M88" si="35">(L88-K88-J88)*0.95</f>
        <v>0</v>
      </c>
      <c r="N88" s="3631">
        <f t="shared" ref="N88" si="36">(L88-M88)*1.2</f>
        <v>0</v>
      </c>
      <c r="O88" s="3632"/>
      <c r="P88" s="3633"/>
      <c r="Q88" s="3622"/>
      <c r="R88" s="3634"/>
      <c r="S88" s="3632">
        <f t="shared" ref="S88" si="37">IF(AND(G88&lt;=1.5,H88&lt;=1.5),L88,IF(AND(G88&lt;=1.5,H88&gt;1.5),(((G88+1.5)*C88)/2)*E88,IF(AND(G88&gt;1.5,H88&lt;=1.5),(((H88+1.5)*C88)/2)*E88,IF(AND(G88&gt;1.5,H88&gt;1.5),(((1.5+1.5)*C88)/2)*E88,0))))</f>
        <v>0</v>
      </c>
      <c r="T88" s="3635">
        <f t="shared" ref="T88:T109" si="38">(L88-S88)</f>
        <v>0</v>
      </c>
      <c r="U88" s="3636"/>
      <c r="V88" s="3619"/>
      <c r="W88" s="3620"/>
      <c r="X88" s="3620">
        <v>12</v>
      </c>
      <c r="Y88" s="3621">
        <v>0.85</v>
      </c>
      <c r="Z88" s="3603">
        <f t="shared" si="22"/>
        <v>7.2900000000000006E-2</v>
      </c>
    </row>
    <row r="89" spans="1:26" ht="14.25" customHeight="1" thickBot="1">
      <c r="A89" s="3653" t="s">
        <v>3085</v>
      </c>
      <c r="B89" s="3654" t="s">
        <v>3086</v>
      </c>
      <c r="C89" s="3655">
        <f>C87*1.04</f>
        <v>78.59</v>
      </c>
      <c r="D89" s="3656"/>
      <c r="E89" s="3657" t="s">
        <v>3087</v>
      </c>
      <c r="F89" s="3626"/>
      <c r="G89" s="3658"/>
      <c r="H89" s="3659">
        <f>C87*Y88</f>
        <v>64.23</v>
      </c>
      <c r="I89" s="3629"/>
      <c r="J89" s="3625"/>
      <c r="K89" s="3630"/>
      <c r="L89" s="3630"/>
      <c r="M89" s="3630"/>
      <c r="N89" s="3631"/>
      <c r="O89" s="3632"/>
      <c r="P89" s="3633"/>
      <c r="Q89" s="3622"/>
      <c r="R89" s="3634"/>
      <c r="S89" s="3632"/>
      <c r="T89" s="3635">
        <f t="shared" si="38"/>
        <v>0</v>
      </c>
      <c r="U89" s="3636"/>
      <c r="V89" s="3619"/>
      <c r="W89" s="3620"/>
      <c r="X89" s="3620">
        <v>16</v>
      </c>
      <c r="Y89" s="3621">
        <v>1</v>
      </c>
      <c r="Z89" s="3603">
        <f t="shared" si="22"/>
        <v>0.12970000000000001</v>
      </c>
    </row>
    <row r="90" spans="1:26" ht="14.25" customHeight="1">
      <c r="A90" s="3622"/>
      <c r="B90" s="3622"/>
      <c r="C90" s="3623"/>
      <c r="D90" s="3624"/>
      <c r="E90" s="3625">
        <f t="shared" ref="E90:E92" si="39">IF(D90=0,0,LOOKUP(D90,$X$7:$X$14,$Y$7:$Y$14))</f>
        <v>0</v>
      </c>
      <c r="F90" s="3626">
        <f t="shared" ref="F90:F92" si="40">E90*0.1</f>
        <v>0</v>
      </c>
      <c r="G90" s="3627">
        <f t="shared" ref="G90:G92" si="41">O90-P90</f>
        <v>0</v>
      </c>
      <c r="H90" s="3628">
        <f t="shared" ref="H90:H104" si="42">Q90-R90</f>
        <v>0</v>
      </c>
      <c r="I90" s="3629">
        <f t="shared" ref="I90:I104" si="43">(G90+H90)/2*E90*C90</f>
        <v>0</v>
      </c>
      <c r="J90" s="3625">
        <f t="shared" ref="J90:J111" si="44">IF(D90=0,0,LOOKUP(D90,$X$7:$X$14,$Z$7:$Z$14)*C90)</f>
        <v>0</v>
      </c>
      <c r="K90" s="3630">
        <f t="shared" ref="K90:K102" si="45">C90*F90</f>
        <v>0</v>
      </c>
      <c r="L90" s="3630">
        <f t="shared" ref="L90:L102" si="46">I90+K90</f>
        <v>0</v>
      </c>
      <c r="M90" s="3630">
        <f t="shared" ref="M90:M102" si="47">(L90-K90-J90)*0.95</f>
        <v>0</v>
      </c>
      <c r="N90" s="3631">
        <f t="shared" ref="N90:N102" si="48">(L90-M90)*1.2</f>
        <v>0</v>
      </c>
      <c r="O90" s="3632"/>
      <c r="P90" s="3633"/>
      <c r="Q90" s="3622"/>
      <c r="R90" s="3634"/>
      <c r="S90" s="3632">
        <f t="shared" ref="S90:S102" si="49">IF(AND(G90&lt;=1.5,H90&lt;=1.5),L90,IF(AND(G90&lt;=1.5,H90&gt;1.5),(((G90+1.5)*C90)/2)*E90,IF(AND(G90&gt;1.5,H90&lt;=1.5),(((H90+1.5)*C90)/2)*E90,IF(AND(G90&gt;1.5,H90&gt;1.5),(((1.5+1.5)*C90)/2)*E90,0))))</f>
        <v>0</v>
      </c>
      <c r="T90" s="3635">
        <f t="shared" si="38"/>
        <v>0</v>
      </c>
      <c r="U90" s="3636"/>
      <c r="V90" s="3619"/>
      <c r="W90" s="3620"/>
      <c r="X90" s="3620">
        <v>20</v>
      </c>
      <c r="Y90" s="3621">
        <v>1.2</v>
      </c>
      <c r="Z90" s="3603">
        <f t="shared" si="22"/>
        <v>0.2026</v>
      </c>
    </row>
    <row r="91" spans="1:26" ht="14.25" customHeight="1">
      <c r="A91" s="3622"/>
      <c r="B91" s="3622"/>
      <c r="C91" s="3623"/>
      <c r="D91" s="3624"/>
      <c r="E91" s="3625">
        <f t="shared" si="39"/>
        <v>0</v>
      </c>
      <c r="F91" s="3626">
        <f t="shared" si="40"/>
        <v>0</v>
      </c>
      <c r="G91" s="3627">
        <f t="shared" si="41"/>
        <v>0</v>
      </c>
      <c r="H91" s="3628">
        <f t="shared" si="42"/>
        <v>0</v>
      </c>
      <c r="I91" s="3629">
        <f t="shared" si="43"/>
        <v>0</v>
      </c>
      <c r="J91" s="3625">
        <f t="shared" si="44"/>
        <v>0</v>
      </c>
      <c r="K91" s="3630">
        <f t="shared" si="45"/>
        <v>0</v>
      </c>
      <c r="L91" s="3630">
        <f t="shared" si="46"/>
        <v>0</v>
      </c>
      <c r="M91" s="3630">
        <f t="shared" si="47"/>
        <v>0</v>
      </c>
      <c r="N91" s="3631">
        <f t="shared" si="48"/>
        <v>0</v>
      </c>
      <c r="O91" s="3632"/>
      <c r="P91" s="3633"/>
      <c r="Q91" s="3622"/>
      <c r="R91" s="3634"/>
      <c r="S91" s="3632">
        <f t="shared" si="49"/>
        <v>0</v>
      </c>
      <c r="T91" s="3635">
        <f t="shared" si="38"/>
        <v>0</v>
      </c>
      <c r="U91" s="3636"/>
      <c r="V91" s="3619"/>
      <c r="W91" s="3620"/>
      <c r="X91" s="3620">
        <v>24</v>
      </c>
      <c r="Y91" s="3621">
        <v>1.3</v>
      </c>
      <c r="Z91" s="3603">
        <f t="shared" si="22"/>
        <v>0.2918</v>
      </c>
    </row>
    <row r="92" spans="1:26" ht="14.25" customHeight="1">
      <c r="A92" s="3622"/>
      <c r="B92" s="3622"/>
      <c r="C92" s="3623"/>
      <c r="D92" s="3624"/>
      <c r="E92" s="3625">
        <f t="shared" si="39"/>
        <v>0</v>
      </c>
      <c r="F92" s="3626">
        <f t="shared" si="40"/>
        <v>0</v>
      </c>
      <c r="G92" s="3627">
        <f t="shared" si="41"/>
        <v>0</v>
      </c>
      <c r="H92" s="3628">
        <f t="shared" si="42"/>
        <v>0</v>
      </c>
      <c r="I92" s="3629">
        <f t="shared" si="43"/>
        <v>0</v>
      </c>
      <c r="J92" s="3625">
        <f t="shared" si="44"/>
        <v>0</v>
      </c>
      <c r="K92" s="3630">
        <f t="shared" si="45"/>
        <v>0</v>
      </c>
      <c r="L92" s="3630">
        <f t="shared" si="46"/>
        <v>0</v>
      </c>
      <c r="M92" s="3630">
        <f t="shared" si="47"/>
        <v>0</v>
      </c>
      <c r="N92" s="3631">
        <f t="shared" si="48"/>
        <v>0</v>
      </c>
      <c r="O92" s="3632"/>
      <c r="P92" s="3633"/>
      <c r="Q92" s="3622"/>
      <c r="R92" s="3634"/>
      <c r="S92" s="3632">
        <f t="shared" si="49"/>
        <v>0</v>
      </c>
      <c r="T92" s="3635">
        <f t="shared" si="38"/>
        <v>0</v>
      </c>
      <c r="U92" s="3636"/>
      <c r="V92" s="3619"/>
      <c r="W92" s="3620"/>
      <c r="X92" s="3660"/>
    </row>
    <row r="93" spans="1:26" ht="14.25" customHeight="1">
      <c r="A93" s="3593" t="s">
        <v>3088</v>
      </c>
      <c r="B93" s="3661"/>
      <c r="C93" s="3662"/>
      <c r="D93" s="3663"/>
      <c r="E93" s="3664"/>
      <c r="F93" s="3665"/>
      <c r="G93" s="3666"/>
      <c r="H93" s="3628">
        <f t="shared" si="42"/>
        <v>0</v>
      </c>
      <c r="I93" s="3629">
        <f t="shared" si="43"/>
        <v>0</v>
      </c>
      <c r="J93" s="3625">
        <f t="shared" si="44"/>
        <v>0</v>
      </c>
      <c r="K93" s="3630">
        <f t="shared" si="45"/>
        <v>0</v>
      </c>
      <c r="L93" s="3630">
        <f t="shared" si="46"/>
        <v>0</v>
      </c>
      <c r="M93" s="3630">
        <f t="shared" si="47"/>
        <v>0</v>
      </c>
      <c r="N93" s="3631">
        <f t="shared" si="48"/>
        <v>0</v>
      </c>
      <c r="O93" s="3632"/>
      <c r="P93" s="3633"/>
      <c r="Q93" s="3622"/>
      <c r="R93" s="3634"/>
      <c r="S93" s="3632">
        <f t="shared" si="49"/>
        <v>0</v>
      </c>
      <c r="T93" s="3635">
        <f t="shared" si="38"/>
        <v>0</v>
      </c>
      <c r="U93" s="3636"/>
      <c r="V93" s="3619"/>
      <c r="W93" s="3620"/>
      <c r="X93" s="3660"/>
    </row>
    <row r="94" spans="1:26" ht="14.25" customHeight="1">
      <c r="A94" s="3622" t="s">
        <v>3089</v>
      </c>
      <c r="B94" s="3622" t="s">
        <v>3090</v>
      </c>
      <c r="C94" s="3623">
        <v>5.3</v>
      </c>
      <c r="D94" s="3624">
        <v>12</v>
      </c>
      <c r="E94" s="3625">
        <f t="shared" ref="E94:E104" si="50">IF(D94=0,0,LOOKUP(D94,$X$7:$X$14,$Y$7:$Y$14))</f>
        <v>0.85</v>
      </c>
      <c r="F94" s="3626">
        <f t="shared" ref="F94:F104" si="51">E94*0.1</f>
        <v>8.5000000000000006E-2</v>
      </c>
      <c r="G94" s="3627">
        <f t="shared" ref="G94:G104" si="52">O94-P94</f>
        <v>1.1000000000000001</v>
      </c>
      <c r="H94" s="3628">
        <f t="shared" si="42"/>
        <v>1.1100000000000001</v>
      </c>
      <c r="I94" s="3629">
        <f t="shared" si="43"/>
        <v>4.9800000000000004</v>
      </c>
      <c r="J94" s="3625">
        <f t="shared" si="44"/>
        <v>0.39</v>
      </c>
      <c r="K94" s="3630">
        <f t="shared" si="45"/>
        <v>0.45</v>
      </c>
      <c r="L94" s="3630">
        <f t="shared" si="46"/>
        <v>5.43</v>
      </c>
      <c r="M94" s="3630">
        <f t="shared" si="47"/>
        <v>4.3600000000000003</v>
      </c>
      <c r="N94" s="3631">
        <f t="shared" si="48"/>
        <v>1.28</v>
      </c>
      <c r="O94" s="3632">
        <v>30.4</v>
      </c>
      <c r="P94" s="3633">
        <v>29.3</v>
      </c>
      <c r="Q94" s="3622">
        <v>30.4</v>
      </c>
      <c r="R94" s="3634">
        <v>29.29</v>
      </c>
      <c r="S94" s="3632">
        <f t="shared" si="49"/>
        <v>5.43</v>
      </c>
      <c r="T94" s="3635">
        <f t="shared" si="38"/>
        <v>0</v>
      </c>
      <c r="U94" s="3636"/>
      <c r="V94" s="3619"/>
      <c r="W94" s="3620"/>
      <c r="X94" s="3660"/>
    </row>
    <row r="95" spans="1:26" ht="14.25" customHeight="1">
      <c r="A95" s="3622" t="s">
        <v>3089</v>
      </c>
      <c r="B95" s="3622" t="s">
        <v>3091</v>
      </c>
      <c r="C95" s="3623">
        <v>5.3</v>
      </c>
      <c r="D95" s="3624">
        <v>12</v>
      </c>
      <c r="E95" s="3625">
        <f t="shared" si="50"/>
        <v>0.85</v>
      </c>
      <c r="F95" s="3626">
        <f t="shared" si="51"/>
        <v>8.5000000000000006E-2</v>
      </c>
      <c r="G95" s="3627">
        <f t="shared" si="52"/>
        <v>1.1000000000000001</v>
      </c>
      <c r="H95" s="3628">
        <f t="shared" si="42"/>
        <v>1.1299999999999999</v>
      </c>
      <c r="I95" s="3629">
        <f t="shared" si="43"/>
        <v>5.0199999999999996</v>
      </c>
      <c r="J95" s="3625">
        <f t="shared" si="44"/>
        <v>0.39</v>
      </c>
      <c r="K95" s="3630">
        <f t="shared" si="45"/>
        <v>0.45</v>
      </c>
      <c r="L95" s="3630">
        <f t="shared" si="46"/>
        <v>5.47</v>
      </c>
      <c r="M95" s="3630">
        <f t="shared" si="47"/>
        <v>4.4000000000000004</v>
      </c>
      <c r="N95" s="3631">
        <f t="shared" si="48"/>
        <v>1.28</v>
      </c>
      <c r="O95" s="3632">
        <v>30.4</v>
      </c>
      <c r="P95" s="3633">
        <v>29.3</v>
      </c>
      <c r="Q95" s="3622">
        <v>30.4</v>
      </c>
      <c r="R95" s="3634">
        <v>29.27</v>
      </c>
      <c r="S95" s="3632">
        <f t="shared" si="49"/>
        <v>5.47</v>
      </c>
      <c r="T95" s="3635">
        <f t="shared" si="38"/>
        <v>0</v>
      </c>
      <c r="U95" s="3636"/>
      <c r="V95" s="3619"/>
      <c r="W95" s="3620"/>
      <c r="X95" s="3660"/>
    </row>
    <row r="96" spans="1:26" ht="14.25" customHeight="1">
      <c r="A96" s="3622" t="s">
        <v>3090</v>
      </c>
      <c r="B96" s="3622" t="s">
        <v>3091</v>
      </c>
      <c r="C96" s="3623">
        <v>8.25</v>
      </c>
      <c r="D96" s="3624">
        <v>12</v>
      </c>
      <c r="E96" s="3625">
        <f t="shared" si="50"/>
        <v>0.85</v>
      </c>
      <c r="F96" s="3626">
        <f t="shared" si="51"/>
        <v>8.5000000000000006E-2</v>
      </c>
      <c r="G96" s="3627">
        <f t="shared" si="52"/>
        <v>1.1100000000000001</v>
      </c>
      <c r="H96" s="3628">
        <f t="shared" si="42"/>
        <v>1.1299999999999999</v>
      </c>
      <c r="I96" s="3629">
        <f t="shared" si="43"/>
        <v>7.85</v>
      </c>
      <c r="J96" s="3625">
        <f t="shared" si="44"/>
        <v>0.6</v>
      </c>
      <c r="K96" s="3630">
        <f t="shared" si="45"/>
        <v>0.7</v>
      </c>
      <c r="L96" s="3630">
        <f t="shared" si="46"/>
        <v>8.5500000000000007</v>
      </c>
      <c r="M96" s="3630">
        <f t="shared" si="47"/>
        <v>6.89</v>
      </c>
      <c r="N96" s="3631">
        <f t="shared" si="48"/>
        <v>1.99</v>
      </c>
      <c r="O96" s="3632">
        <v>30.4</v>
      </c>
      <c r="P96" s="3633">
        <v>29.29</v>
      </c>
      <c r="Q96" s="3622">
        <v>30.4</v>
      </c>
      <c r="R96" s="3634">
        <v>29.27</v>
      </c>
      <c r="S96" s="3632">
        <f t="shared" si="49"/>
        <v>8.5500000000000007</v>
      </c>
      <c r="T96" s="3635">
        <f t="shared" si="38"/>
        <v>0</v>
      </c>
      <c r="U96" s="3636"/>
      <c r="V96" s="3636"/>
      <c r="W96" s="3620"/>
      <c r="X96" s="3660"/>
    </row>
    <row r="97" spans="1:24" ht="14.25" customHeight="1">
      <c r="A97" s="3622" t="s">
        <v>3091</v>
      </c>
      <c r="B97" s="3622" t="s">
        <v>3092</v>
      </c>
      <c r="C97" s="3623">
        <v>10.25</v>
      </c>
      <c r="D97" s="3624">
        <v>12</v>
      </c>
      <c r="E97" s="3625">
        <f t="shared" si="50"/>
        <v>0.85</v>
      </c>
      <c r="F97" s="3626">
        <f t="shared" si="51"/>
        <v>8.5000000000000006E-2</v>
      </c>
      <c r="G97" s="3627">
        <f t="shared" si="52"/>
        <v>1.1299999999999999</v>
      </c>
      <c r="H97" s="3628">
        <f t="shared" si="42"/>
        <v>1.1499999999999999</v>
      </c>
      <c r="I97" s="3629">
        <f t="shared" si="43"/>
        <v>9.93</v>
      </c>
      <c r="J97" s="3625">
        <f t="shared" si="44"/>
        <v>0.75</v>
      </c>
      <c r="K97" s="3630">
        <f t="shared" si="45"/>
        <v>0.87</v>
      </c>
      <c r="L97" s="3630">
        <f t="shared" si="46"/>
        <v>10.8</v>
      </c>
      <c r="M97" s="3630">
        <f t="shared" si="47"/>
        <v>8.7200000000000006</v>
      </c>
      <c r="N97" s="3631">
        <f t="shared" si="48"/>
        <v>2.5</v>
      </c>
      <c r="O97" s="3632">
        <v>30.4</v>
      </c>
      <c r="P97" s="3633">
        <v>29.27</v>
      </c>
      <c r="Q97" s="3622">
        <v>30.4</v>
      </c>
      <c r="R97" s="3634">
        <v>29.25</v>
      </c>
      <c r="S97" s="3632">
        <f t="shared" si="49"/>
        <v>10.8</v>
      </c>
      <c r="T97" s="3635">
        <f t="shared" si="38"/>
        <v>0</v>
      </c>
      <c r="U97" s="3636"/>
      <c r="V97" s="3636"/>
      <c r="W97" s="3619"/>
      <c r="X97" s="3660"/>
    </row>
    <row r="98" spans="1:24" ht="14.25" customHeight="1">
      <c r="A98" s="3622" t="s">
        <v>3092</v>
      </c>
      <c r="B98" s="3622" t="s">
        <v>3093</v>
      </c>
      <c r="C98" s="3623">
        <v>4.0599999999999996</v>
      </c>
      <c r="D98" s="3624">
        <v>12</v>
      </c>
      <c r="E98" s="3625">
        <f t="shared" si="50"/>
        <v>0.85</v>
      </c>
      <c r="F98" s="3626">
        <f t="shared" si="51"/>
        <v>8.5000000000000006E-2</v>
      </c>
      <c r="G98" s="3627">
        <f t="shared" si="52"/>
        <v>0.9</v>
      </c>
      <c r="H98" s="3628">
        <f t="shared" si="42"/>
        <v>1.1599999999999999</v>
      </c>
      <c r="I98" s="3629">
        <f t="shared" si="43"/>
        <v>3.55</v>
      </c>
      <c r="J98" s="3625">
        <f t="shared" si="44"/>
        <v>0.3</v>
      </c>
      <c r="K98" s="3630">
        <f t="shared" si="45"/>
        <v>0.35</v>
      </c>
      <c r="L98" s="3630">
        <f t="shared" si="46"/>
        <v>3.9</v>
      </c>
      <c r="M98" s="3630">
        <f t="shared" si="47"/>
        <v>3.09</v>
      </c>
      <c r="N98" s="3631">
        <f t="shared" si="48"/>
        <v>0.97</v>
      </c>
      <c r="O98" s="3632">
        <v>30.4</v>
      </c>
      <c r="P98" s="3633">
        <v>29.5</v>
      </c>
      <c r="Q98" s="3622">
        <v>30.4</v>
      </c>
      <c r="R98" s="3634">
        <v>29.24</v>
      </c>
      <c r="S98" s="3632">
        <f t="shared" si="49"/>
        <v>3.9</v>
      </c>
      <c r="T98" s="3635">
        <f t="shared" si="38"/>
        <v>0</v>
      </c>
      <c r="U98" s="3636"/>
      <c r="V98" s="3619"/>
      <c r="W98" s="3619"/>
      <c r="X98" s="3660"/>
    </row>
    <row r="99" spans="1:24" ht="14.25" customHeight="1">
      <c r="A99" s="3622" t="s">
        <v>3093</v>
      </c>
      <c r="B99" s="3622" t="s">
        <v>3094</v>
      </c>
      <c r="C99" s="3623">
        <v>10.3</v>
      </c>
      <c r="D99" s="3624">
        <v>10</v>
      </c>
      <c r="E99" s="3625">
        <f t="shared" si="50"/>
        <v>0.8</v>
      </c>
      <c r="F99" s="3626">
        <f t="shared" si="51"/>
        <v>0.08</v>
      </c>
      <c r="G99" s="3627">
        <f t="shared" si="52"/>
        <v>1.1599999999999999</v>
      </c>
      <c r="H99" s="3628">
        <f t="shared" si="42"/>
        <v>1.19</v>
      </c>
      <c r="I99" s="3629">
        <f t="shared" si="43"/>
        <v>9.68</v>
      </c>
      <c r="J99" s="3625">
        <f t="shared" si="44"/>
        <v>0.52</v>
      </c>
      <c r="K99" s="3630">
        <f t="shared" si="45"/>
        <v>0.82</v>
      </c>
      <c r="L99" s="3630">
        <f t="shared" si="46"/>
        <v>10.5</v>
      </c>
      <c r="M99" s="3630">
        <f t="shared" si="47"/>
        <v>8.6999999999999993</v>
      </c>
      <c r="N99" s="3631">
        <f t="shared" si="48"/>
        <v>2.16</v>
      </c>
      <c r="O99" s="3632">
        <v>30.4</v>
      </c>
      <c r="P99" s="3633">
        <v>29.24</v>
      </c>
      <c r="Q99" s="3622">
        <v>30.4</v>
      </c>
      <c r="R99" s="3634">
        <v>29.21</v>
      </c>
      <c r="S99" s="3632">
        <f t="shared" si="49"/>
        <v>10.5</v>
      </c>
      <c r="T99" s="3635">
        <f t="shared" si="38"/>
        <v>0</v>
      </c>
      <c r="U99" s="3636"/>
      <c r="V99" s="3619"/>
      <c r="W99" s="3619"/>
      <c r="X99" s="3660"/>
    </row>
    <row r="100" spans="1:24" ht="14.25" customHeight="1">
      <c r="A100" s="3622" t="s">
        <v>3093</v>
      </c>
      <c r="B100" s="3622" t="s">
        <v>3095</v>
      </c>
      <c r="C100" s="3623">
        <v>10</v>
      </c>
      <c r="D100" s="3624">
        <v>10</v>
      </c>
      <c r="E100" s="3625">
        <f t="shared" si="50"/>
        <v>0.8</v>
      </c>
      <c r="F100" s="3626">
        <f t="shared" si="51"/>
        <v>0.08</v>
      </c>
      <c r="G100" s="3627">
        <f t="shared" si="52"/>
        <v>1.1599999999999999</v>
      </c>
      <c r="H100" s="3628">
        <f t="shared" si="42"/>
        <v>1.18</v>
      </c>
      <c r="I100" s="3629">
        <f t="shared" si="43"/>
        <v>9.36</v>
      </c>
      <c r="J100" s="3625">
        <f t="shared" si="44"/>
        <v>0.51</v>
      </c>
      <c r="K100" s="3630">
        <f t="shared" si="45"/>
        <v>0.8</v>
      </c>
      <c r="L100" s="3630">
        <f t="shared" si="46"/>
        <v>10.16</v>
      </c>
      <c r="M100" s="3630">
        <f t="shared" si="47"/>
        <v>8.41</v>
      </c>
      <c r="N100" s="3631">
        <f t="shared" si="48"/>
        <v>2.1</v>
      </c>
      <c r="O100" s="3632">
        <v>30.4</v>
      </c>
      <c r="P100" s="3633">
        <v>29.24</v>
      </c>
      <c r="Q100" s="3622">
        <v>30.4</v>
      </c>
      <c r="R100" s="3634">
        <v>29.22</v>
      </c>
      <c r="S100" s="3632">
        <f t="shared" si="49"/>
        <v>10.16</v>
      </c>
      <c r="T100" s="3635">
        <f t="shared" si="38"/>
        <v>0</v>
      </c>
      <c r="U100" s="3636"/>
      <c r="V100" s="3619"/>
      <c r="W100" s="3619"/>
      <c r="X100" s="3660"/>
    </row>
    <row r="101" spans="1:24" ht="14.25" customHeight="1">
      <c r="A101" s="3622" t="s">
        <v>3093</v>
      </c>
      <c r="B101" s="3622" t="s">
        <v>3096</v>
      </c>
      <c r="C101" s="3623">
        <v>10.3</v>
      </c>
      <c r="D101" s="3624">
        <v>10</v>
      </c>
      <c r="E101" s="3625">
        <f t="shared" si="50"/>
        <v>0.8</v>
      </c>
      <c r="F101" s="3626">
        <f t="shared" si="51"/>
        <v>0.08</v>
      </c>
      <c r="G101" s="3627">
        <f t="shared" si="52"/>
        <v>1.1599999999999999</v>
      </c>
      <c r="H101" s="3628">
        <f t="shared" si="42"/>
        <v>1.19</v>
      </c>
      <c r="I101" s="3629">
        <f t="shared" si="43"/>
        <v>9.68</v>
      </c>
      <c r="J101" s="3625">
        <f t="shared" si="44"/>
        <v>0.52</v>
      </c>
      <c r="K101" s="3630">
        <f t="shared" si="45"/>
        <v>0.82</v>
      </c>
      <c r="L101" s="3630">
        <f t="shared" si="46"/>
        <v>10.5</v>
      </c>
      <c r="M101" s="3630">
        <f t="shared" si="47"/>
        <v>8.6999999999999993</v>
      </c>
      <c r="N101" s="3631">
        <f t="shared" si="48"/>
        <v>2.16</v>
      </c>
      <c r="O101" s="3632">
        <v>30.4</v>
      </c>
      <c r="P101" s="3633">
        <v>29.24</v>
      </c>
      <c r="Q101" s="3622">
        <v>30.4</v>
      </c>
      <c r="R101" s="3634">
        <v>29.21</v>
      </c>
      <c r="S101" s="3632">
        <f t="shared" si="49"/>
        <v>10.5</v>
      </c>
      <c r="T101" s="3635">
        <f t="shared" si="38"/>
        <v>0</v>
      </c>
      <c r="U101" s="3636"/>
      <c r="V101" s="3619"/>
      <c r="W101" s="3619"/>
      <c r="X101" s="3660"/>
    </row>
    <row r="102" spans="1:24" ht="14.25" customHeight="1" thickBot="1">
      <c r="A102" s="3622"/>
      <c r="B102" s="3622"/>
      <c r="C102" s="3623"/>
      <c r="D102" s="3624"/>
      <c r="E102" s="3625">
        <f t="shared" si="50"/>
        <v>0</v>
      </c>
      <c r="F102" s="3626">
        <f t="shared" si="51"/>
        <v>0</v>
      </c>
      <c r="G102" s="3627">
        <f t="shared" si="52"/>
        <v>0</v>
      </c>
      <c r="H102" s="3628">
        <f t="shared" si="42"/>
        <v>0</v>
      </c>
      <c r="I102" s="3629">
        <f t="shared" si="43"/>
        <v>0</v>
      </c>
      <c r="J102" s="3625">
        <f t="shared" si="44"/>
        <v>0</v>
      </c>
      <c r="K102" s="3630">
        <f t="shared" si="45"/>
        <v>0</v>
      </c>
      <c r="L102" s="3630">
        <f t="shared" si="46"/>
        <v>0</v>
      </c>
      <c r="M102" s="3630">
        <f t="shared" si="47"/>
        <v>0</v>
      </c>
      <c r="N102" s="3631">
        <f t="shared" si="48"/>
        <v>0</v>
      </c>
      <c r="O102" s="3632"/>
      <c r="P102" s="3633"/>
      <c r="Q102" s="3622"/>
      <c r="R102" s="3634"/>
      <c r="S102" s="3632">
        <f t="shared" si="49"/>
        <v>0</v>
      </c>
      <c r="T102" s="3635">
        <f t="shared" si="38"/>
        <v>0</v>
      </c>
      <c r="U102" s="3636"/>
      <c r="V102" s="3619"/>
      <c r="W102" s="3619"/>
      <c r="X102" s="3660"/>
    </row>
    <row r="103" spans="1:24" ht="14.25" customHeight="1" thickTop="1" thickBot="1">
      <c r="A103" s="3637" t="s">
        <v>289</v>
      </c>
      <c r="B103" s="3638" t="s">
        <v>3097</v>
      </c>
      <c r="C103" s="3639">
        <f>SUM(C94:C101)</f>
        <v>63.76</v>
      </c>
      <c r="D103" s="3640"/>
      <c r="E103" s="3641">
        <f t="shared" si="50"/>
        <v>0</v>
      </c>
      <c r="F103" s="3642">
        <f t="shared" si="51"/>
        <v>0</v>
      </c>
      <c r="G103" s="3643">
        <f t="shared" si="52"/>
        <v>0</v>
      </c>
      <c r="H103" s="3644">
        <f t="shared" si="42"/>
        <v>0</v>
      </c>
      <c r="I103" s="3645">
        <f t="shared" si="43"/>
        <v>0</v>
      </c>
      <c r="J103" s="3646">
        <f t="shared" si="44"/>
        <v>0</v>
      </c>
      <c r="K103" s="3667">
        <f>SUM(K94:K101)</f>
        <v>5.26</v>
      </c>
      <c r="L103" s="3668">
        <f>SUM(L94:L101)</f>
        <v>65.31</v>
      </c>
      <c r="M103" s="3668">
        <f>SUM(M94:M101)</f>
        <v>53.27</v>
      </c>
      <c r="N103" s="3669">
        <f>SUM(N94:N101)</f>
        <v>14.44</v>
      </c>
      <c r="O103" s="3650"/>
      <c r="P103" s="3650"/>
      <c r="Q103" s="3638"/>
      <c r="R103" s="3651"/>
      <c r="S103" s="3637">
        <f>SUM(S94:S101)</f>
        <v>65.31</v>
      </c>
      <c r="T103" s="3670">
        <f t="shared" si="38"/>
        <v>0</v>
      </c>
      <c r="U103" s="3636"/>
      <c r="V103" s="3619"/>
      <c r="W103" s="3619"/>
      <c r="X103" s="3660"/>
    </row>
    <row r="104" spans="1:24" ht="14.25" customHeight="1" thickTop="1">
      <c r="A104" s="3622"/>
      <c r="B104" s="3622"/>
      <c r="C104" s="3623"/>
      <c r="D104" s="3624"/>
      <c r="E104" s="3625">
        <f t="shared" si="50"/>
        <v>0</v>
      </c>
      <c r="F104" s="3626">
        <f t="shared" si="51"/>
        <v>0</v>
      </c>
      <c r="G104" s="3627">
        <f t="shared" si="52"/>
        <v>0</v>
      </c>
      <c r="H104" s="3628">
        <f t="shared" si="42"/>
        <v>0</v>
      </c>
      <c r="I104" s="3629">
        <f t="shared" si="43"/>
        <v>0</v>
      </c>
      <c r="J104" s="3625">
        <f t="shared" si="44"/>
        <v>0</v>
      </c>
      <c r="K104" s="3630">
        <f t="shared" ref="K104:K109" si="53">C104*F104</f>
        <v>0</v>
      </c>
      <c r="L104" s="3630">
        <f t="shared" ref="L104:L133" si="54">I104+K104</f>
        <v>0</v>
      </c>
      <c r="M104" s="3630">
        <f t="shared" ref="M104:M109" si="55">(L104-K104-J104)*0.95</f>
        <v>0</v>
      </c>
      <c r="N104" s="3631">
        <f t="shared" ref="N104:N109" si="56">(L104-M104)*1.2</f>
        <v>0</v>
      </c>
      <c r="O104" s="3632"/>
      <c r="P104" s="3633"/>
      <c r="Q104" s="3622"/>
      <c r="R104" s="3634"/>
      <c r="S104" s="3632">
        <f t="shared" ref="S104" si="57">IF(AND(G104&lt;=1.5,H104&lt;=1.5),L104,IF(AND(G104&lt;=1.5,H104&gt;1.5),(((G104+1.5)*C104)/2)*E104,IF(AND(G104&gt;1.5,H104&lt;=1.5),(((H104+1.5)*C104)/2)*E104,IF(AND(G104&gt;1.5,H104&gt;1.5),(((1.5+1.5)*C104)/2)*E104,0))))</f>
        <v>0</v>
      </c>
      <c r="T104" s="3635">
        <f t="shared" si="38"/>
        <v>0</v>
      </c>
      <c r="U104" s="3636"/>
      <c r="V104" s="3619"/>
      <c r="W104" s="3619"/>
      <c r="X104" s="3660"/>
    </row>
    <row r="105" spans="1:24" ht="14.25" customHeight="1" thickBot="1">
      <c r="A105" s="3622"/>
      <c r="B105" s="3622" t="s">
        <v>3097</v>
      </c>
      <c r="C105" s="3623">
        <f>SUM(C94:C98)</f>
        <v>33.159999999999997</v>
      </c>
      <c r="D105" s="3624"/>
      <c r="E105" s="3657" t="s">
        <v>3087</v>
      </c>
      <c r="F105" s="3626"/>
      <c r="G105" s="3627"/>
      <c r="H105" s="3628">
        <f>C105*Y88</f>
        <v>28.19</v>
      </c>
      <c r="I105" s="3629"/>
      <c r="J105" s="3625">
        <f t="shared" si="44"/>
        <v>0</v>
      </c>
      <c r="K105" s="3630">
        <f t="shared" si="53"/>
        <v>0</v>
      </c>
      <c r="L105" s="3630">
        <f t="shared" si="54"/>
        <v>0</v>
      </c>
      <c r="M105" s="3630">
        <f t="shared" si="55"/>
        <v>0</v>
      </c>
      <c r="N105" s="3631">
        <f t="shared" si="56"/>
        <v>0</v>
      </c>
      <c r="O105" s="3632"/>
      <c r="P105" s="3633"/>
      <c r="Q105" s="3622"/>
      <c r="R105" s="3634"/>
      <c r="S105" s="3632"/>
      <c r="T105" s="3635">
        <f t="shared" si="38"/>
        <v>0</v>
      </c>
      <c r="U105" s="3636"/>
      <c r="V105" s="3619"/>
      <c r="W105" s="3619"/>
      <c r="X105" s="3660"/>
    </row>
    <row r="106" spans="1:24" ht="14.25" customHeight="1" thickBot="1">
      <c r="A106" s="3653" t="s">
        <v>3085</v>
      </c>
      <c r="B106" s="3654" t="s">
        <v>3098</v>
      </c>
      <c r="C106" s="3671">
        <f>C105*1.04</f>
        <v>34.49</v>
      </c>
      <c r="D106" s="3656"/>
      <c r="E106" s="3625">
        <f t="shared" ref="E106" si="58">IF(D106=0,0,LOOKUP(D106,$X$7:$X$14,$Y$7:$Y$14))</f>
        <v>0</v>
      </c>
      <c r="F106" s="3626">
        <f t="shared" ref="F106" si="59">E106*0.1</f>
        <v>0</v>
      </c>
      <c r="G106" s="3627">
        <f t="shared" ref="G106" si="60">O106-P106</f>
        <v>0</v>
      </c>
      <c r="H106" s="3628">
        <f t="shared" ref="H106" si="61">Q106-R106</f>
        <v>0</v>
      </c>
      <c r="I106" s="3629">
        <f t="shared" ref="I106" si="62">(G106+H106)/2*E106*C106</f>
        <v>0</v>
      </c>
      <c r="J106" s="3625">
        <f t="shared" si="44"/>
        <v>0</v>
      </c>
      <c r="K106" s="3630">
        <f t="shared" si="53"/>
        <v>0</v>
      </c>
      <c r="L106" s="3630">
        <f t="shared" si="54"/>
        <v>0</v>
      </c>
      <c r="M106" s="3630">
        <f t="shared" si="55"/>
        <v>0</v>
      </c>
      <c r="N106" s="3631">
        <f t="shared" si="56"/>
        <v>0</v>
      </c>
      <c r="O106" s="3632"/>
      <c r="P106" s="3633"/>
      <c r="Q106" s="3622"/>
      <c r="R106" s="3622"/>
      <c r="S106" s="3632">
        <f t="shared" ref="S106" si="63">IF(AND(G106&lt;=1.5,H106&lt;=1.5),L106,IF(AND(G106&lt;=1.5,H106&gt;1.5),(((G106+1.5)*C106)/2)*E106,IF(AND(G106&gt;1.5,H106&lt;=1.5),(((H106+1.5)*C106)/2)*E106,IF(AND(G106&gt;1.5,H106&gt;1.5),(((1.5+1.5)*C106)/2)*E106,0))))</f>
        <v>0</v>
      </c>
      <c r="T106" s="3635">
        <f t="shared" si="38"/>
        <v>0</v>
      </c>
      <c r="U106" s="3636"/>
      <c r="V106" s="3619"/>
      <c r="W106" s="3619"/>
      <c r="X106" s="3660"/>
    </row>
    <row r="107" spans="1:24" ht="14.25" customHeight="1" thickBot="1">
      <c r="A107" s="3622"/>
      <c r="B107" s="3622" t="s">
        <v>3099</v>
      </c>
      <c r="C107" s="3623">
        <f>SUM(C99:C101)</f>
        <v>30.6</v>
      </c>
      <c r="D107" s="3624"/>
      <c r="E107" s="3657" t="s">
        <v>3087</v>
      </c>
      <c r="F107" s="3626"/>
      <c r="G107" s="3627"/>
      <c r="H107" s="3628">
        <f>C107*Y87</f>
        <v>24.48</v>
      </c>
      <c r="I107" s="3629"/>
      <c r="J107" s="3625">
        <f t="shared" si="44"/>
        <v>0</v>
      </c>
      <c r="K107" s="3630">
        <f t="shared" si="53"/>
        <v>0</v>
      </c>
      <c r="L107" s="3630">
        <f t="shared" si="54"/>
        <v>0</v>
      </c>
      <c r="M107" s="3630">
        <f t="shared" si="55"/>
        <v>0</v>
      </c>
      <c r="N107" s="3631">
        <f t="shared" si="56"/>
        <v>0</v>
      </c>
      <c r="O107" s="3632"/>
      <c r="P107" s="3633"/>
      <c r="Q107" s="3622"/>
      <c r="R107" s="3622"/>
      <c r="S107" s="3632"/>
      <c r="T107" s="3635">
        <f t="shared" si="38"/>
        <v>0</v>
      </c>
      <c r="U107" s="3636"/>
      <c r="V107" s="3619"/>
      <c r="W107" s="3619"/>
      <c r="X107" s="3660"/>
    </row>
    <row r="108" spans="1:24" ht="14.25" customHeight="1" thickBot="1">
      <c r="A108" s="3653" t="s">
        <v>3100</v>
      </c>
      <c r="B108" s="3654" t="s">
        <v>3086</v>
      </c>
      <c r="C108" s="3671">
        <f>C107*1.03</f>
        <v>31.52</v>
      </c>
      <c r="D108" s="3656"/>
      <c r="E108" s="3625">
        <f t="shared" ref="E108:E110" si="64">IF(D108=0,0,LOOKUP(D108,$X$7:$X$14,$Y$7:$Y$14))</f>
        <v>0</v>
      </c>
      <c r="F108" s="3626">
        <f t="shared" ref="F108:F110" si="65">E108*0.1</f>
        <v>0</v>
      </c>
      <c r="G108" s="3627">
        <f t="shared" ref="G108:G110" si="66">O108-P108</f>
        <v>0</v>
      </c>
      <c r="H108" s="3659">
        <f>SUM(H105:H107)</f>
        <v>52.67</v>
      </c>
      <c r="I108" s="3629">
        <f t="shared" ref="I108:I110" si="67">(G108+H108)/2*E108*C108</f>
        <v>0</v>
      </c>
      <c r="J108" s="3625">
        <f t="shared" si="44"/>
        <v>0</v>
      </c>
      <c r="K108" s="3630">
        <f t="shared" si="53"/>
        <v>0</v>
      </c>
      <c r="L108" s="3630">
        <f t="shared" si="54"/>
        <v>0</v>
      </c>
      <c r="M108" s="3630">
        <f t="shared" si="55"/>
        <v>0</v>
      </c>
      <c r="N108" s="3631">
        <f t="shared" si="56"/>
        <v>0</v>
      </c>
      <c r="O108" s="3632"/>
      <c r="P108" s="3633"/>
      <c r="Q108" s="3622"/>
      <c r="R108" s="3622"/>
      <c r="S108" s="3632">
        <f t="shared" ref="S108:S109" si="68">IF(AND(G108&lt;=1.5,H108&lt;=1.5),L108,IF(AND(G108&lt;=1.5,H108&gt;1.5),(((G108+1.5)*C108)/2)*E108,IF(AND(G108&gt;1.5,H108&lt;=1.5),(((H108+1.5)*C108)/2)*E108,IF(AND(G108&gt;1.5,H108&gt;1.5),(((1.5+1.5)*C108)/2)*E108,0))))</f>
        <v>0</v>
      </c>
      <c r="T108" s="3635">
        <f t="shared" si="38"/>
        <v>0</v>
      </c>
      <c r="U108" s="3636"/>
      <c r="V108" s="3619"/>
      <c r="W108" s="3619"/>
      <c r="X108" s="3660"/>
    </row>
    <row r="109" spans="1:24" ht="14.25" customHeight="1">
      <c r="A109" s="3622"/>
      <c r="B109" s="3622"/>
      <c r="C109" s="3623"/>
      <c r="D109" s="3624"/>
      <c r="E109" s="3625">
        <f t="shared" si="64"/>
        <v>0</v>
      </c>
      <c r="F109" s="3626">
        <f t="shared" si="65"/>
        <v>0</v>
      </c>
      <c r="G109" s="3627">
        <f t="shared" si="66"/>
        <v>0</v>
      </c>
      <c r="H109" s="3628">
        <f t="shared" ref="H109:H110" si="69">Q109-R109</f>
        <v>0</v>
      </c>
      <c r="I109" s="3629">
        <f t="shared" si="67"/>
        <v>0</v>
      </c>
      <c r="J109" s="3625">
        <f t="shared" si="44"/>
        <v>0</v>
      </c>
      <c r="K109" s="3630">
        <f t="shared" si="53"/>
        <v>0</v>
      </c>
      <c r="L109" s="3630">
        <f t="shared" si="54"/>
        <v>0</v>
      </c>
      <c r="M109" s="3630">
        <f t="shared" si="55"/>
        <v>0</v>
      </c>
      <c r="N109" s="3672">
        <f t="shared" si="56"/>
        <v>0</v>
      </c>
      <c r="O109" s="3632"/>
      <c r="P109" s="3633"/>
      <c r="Q109" s="3622"/>
      <c r="R109" s="3673"/>
      <c r="S109" s="3632">
        <f t="shared" si="68"/>
        <v>0</v>
      </c>
      <c r="T109" s="3635">
        <f t="shared" si="38"/>
        <v>0</v>
      </c>
      <c r="U109" s="3636"/>
      <c r="V109" s="3619"/>
      <c r="W109" s="3619"/>
      <c r="X109" s="3660"/>
    </row>
    <row r="110" spans="1:24" ht="14.25" customHeight="1">
      <c r="A110" s="3622"/>
      <c r="B110" s="3622"/>
      <c r="C110" s="3674"/>
      <c r="D110" s="3624"/>
      <c r="E110" s="3625">
        <f t="shared" si="64"/>
        <v>0</v>
      </c>
      <c r="F110" s="3626">
        <f t="shared" si="65"/>
        <v>0</v>
      </c>
      <c r="G110" s="3627">
        <f t="shared" si="66"/>
        <v>0</v>
      </c>
      <c r="H110" s="3675">
        <f t="shared" si="69"/>
        <v>0</v>
      </c>
      <c r="I110" s="3629">
        <f t="shared" si="67"/>
        <v>0</v>
      </c>
      <c r="J110" s="3625">
        <f t="shared" si="44"/>
        <v>0</v>
      </c>
      <c r="K110" s="3674"/>
      <c r="L110" s="3630">
        <f t="shared" si="54"/>
        <v>0</v>
      </c>
      <c r="M110" s="3674"/>
      <c r="N110" s="3676"/>
      <c r="O110" s="3632"/>
      <c r="P110" s="3622"/>
      <c r="Q110" s="3622"/>
      <c r="R110" s="3673"/>
      <c r="S110" s="3677"/>
      <c r="T110" s="3674"/>
      <c r="U110" s="3636"/>
      <c r="V110" s="3619"/>
      <c r="W110" s="3619"/>
      <c r="X110" s="3660"/>
    </row>
    <row r="111" spans="1:24" ht="14.25" customHeight="1">
      <c r="A111" s="3678"/>
      <c r="B111" s="3678"/>
      <c r="C111" s="3679"/>
      <c r="D111" s="3680"/>
      <c r="E111" s="3678"/>
      <c r="F111" s="3681"/>
      <c r="G111" s="3682"/>
      <c r="H111" s="3683"/>
      <c r="I111" s="3684"/>
      <c r="J111" s="3625">
        <f t="shared" si="44"/>
        <v>0</v>
      </c>
      <c r="K111" s="3685"/>
      <c r="L111" s="3630">
        <f t="shared" si="54"/>
        <v>0</v>
      </c>
      <c r="M111" s="3686"/>
      <c r="N111" s="3687"/>
      <c r="O111" s="3684"/>
      <c r="P111" s="3678"/>
      <c r="Q111" s="3678"/>
      <c r="R111" s="3688"/>
      <c r="S111" s="3632">
        <f t="shared" ref="S111:S133" si="70">IF(AND(G111&lt;=1.5,H111&lt;=1.5),L111,IF(AND(G111&lt;=1.5,H111&gt;1.5),(((G111+1.5)*C111)/2)*E111,IF(AND(G111&gt;1.5,H111&lt;=1.5),(((H111+1.5)*C111)/2)*E111,IF(AND(G111&gt;1.5,H111&gt;1.5),(((1.5+1.5)*C111)/2)*E111,0))))</f>
        <v>0</v>
      </c>
      <c r="T111" s="3635">
        <f t="shared" ref="T111:T133" si="71">(L111-S111)</f>
        <v>0</v>
      </c>
      <c r="U111" s="3636"/>
      <c r="V111" s="3619"/>
      <c r="W111" s="3619"/>
      <c r="X111" s="3660"/>
    </row>
    <row r="112" spans="1:24" ht="14.25" customHeight="1">
      <c r="A112" s="3593" t="s">
        <v>3101</v>
      </c>
      <c r="B112" s="3689"/>
      <c r="C112" s="3689"/>
      <c r="D112" s="3689"/>
      <c r="E112" s="3689"/>
      <c r="F112" s="3689"/>
      <c r="G112" s="3689"/>
      <c r="H112" s="3690"/>
      <c r="I112" s="3691"/>
      <c r="J112" s="3689"/>
      <c r="K112" s="3689"/>
      <c r="L112" s="3692">
        <f t="shared" si="54"/>
        <v>0</v>
      </c>
      <c r="M112" s="3689"/>
      <c r="N112" s="3690"/>
      <c r="O112" s="3693"/>
      <c r="P112" s="3694"/>
      <c r="Q112" s="3694"/>
      <c r="R112" s="3695"/>
      <c r="S112" s="3632">
        <f t="shared" si="70"/>
        <v>0</v>
      </c>
      <c r="T112" s="3635">
        <f t="shared" si="71"/>
        <v>0</v>
      </c>
    </row>
    <row r="113" spans="1:21" ht="14.25" customHeight="1">
      <c r="A113" s="3696"/>
      <c r="B113" s="3696"/>
      <c r="C113" s="3696"/>
      <c r="D113" s="3696"/>
      <c r="E113" s="3696"/>
      <c r="F113" s="3696"/>
      <c r="G113" s="3696"/>
      <c r="H113" s="3697"/>
      <c r="I113" s="3698"/>
      <c r="J113" s="3696"/>
      <c r="K113" s="3696"/>
      <c r="L113" s="3630">
        <f t="shared" si="54"/>
        <v>0</v>
      </c>
      <c r="M113" s="3696"/>
      <c r="N113" s="3697"/>
      <c r="O113" s="3698"/>
      <c r="P113" s="3696"/>
      <c r="Q113" s="3696"/>
      <c r="R113" s="3697"/>
      <c r="S113" s="3632">
        <f t="shared" si="70"/>
        <v>0</v>
      </c>
      <c r="T113" s="3699">
        <f t="shared" si="71"/>
        <v>0</v>
      </c>
    </row>
    <row r="114" spans="1:21" ht="14.25" customHeight="1">
      <c r="A114" s="3696"/>
      <c r="B114" s="3696"/>
      <c r="C114" s="3739">
        <v>9.35</v>
      </c>
      <c r="D114" s="3738">
        <v>12</v>
      </c>
      <c r="E114" s="3740">
        <v>1</v>
      </c>
      <c r="F114" s="3665">
        <f t="shared" ref="F114:F132" si="72">E114*0.1</f>
        <v>0.1</v>
      </c>
      <c r="G114" s="3666">
        <f>380-377.7</f>
        <v>2.2999999999999998</v>
      </c>
      <c r="H114" s="3734">
        <f>380-377.3</f>
        <v>2.7</v>
      </c>
      <c r="I114" s="3735">
        <f t="shared" ref="I114:I133" si="73">(G114+H114)/2*E114*C114</f>
        <v>23.38</v>
      </c>
      <c r="J114" s="3664">
        <f t="shared" ref="J114:J133" si="74">IF(D114=0,0,LOOKUP(D114,$X$7:$X$14,$Z$7:$Z$14)*C114)</f>
        <v>0.68</v>
      </c>
      <c r="K114" s="3666">
        <f t="shared" ref="K114:K133" si="75">C114*F114</f>
        <v>0.94</v>
      </c>
      <c r="L114" s="3666">
        <f t="shared" si="54"/>
        <v>24.32</v>
      </c>
      <c r="M114" s="3692">
        <f t="shared" ref="M114:M133" si="76">(L114-K114-J114)*0.95</f>
        <v>21.57</v>
      </c>
      <c r="N114" s="3736">
        <f t="shared" ref="N114:N133" si="77">(L114-M114)*1.2</f>
        <v>3.3</v>
      </c>
      <c r="O114" s="3703"/>
      <c r="P114" s="3700"/>
      <c r="Q114" s="3700"/>
      <c r="R114" s="3702"/>
      <c r="S114" s="3632">
        <f t="shared" si="70"/>
        <v>14.03</v>
      </c>
      <c r="T114" s="3658">
        <f t="shared" si="71"/>
        <v>10.29</v>
      </c>
      <c r="U114" s="3581">
        <f>ROUND(C114*E114,20)</f>
        <v>9.35</v>
      </c>
    </row>
    <row r="115" spans="1:21" ht="14.25" customHeight="1">
      <c r="A115" s="3696"/>
      <c r="B115" s="3696"/>
      <c r="C115" s="3666">
        <v>55</v>
      </c>
      <c r="D115" s="3733">
        <v>8</v>
      </c>
      <c r="E115" s="3664">
        <f t="shared" ref="E115:E122" si="78">IF(D115=0,0,LOOKUP(D115,$X$7:$X$14,$Y$7:$Y$14))</f>
        <v>0.75</v>
      </c>
      <c r="F115" s="3665">
        <f t="shared" si="72"/>
        <v>7.4999999999999997E-2</v>
      </c>
      <c r="G115" s="3666">
        <v>1.1200000000000001</v>
      </c>
      <c r="H115" s="3734">
        <v>1.22</v>
      </c>
      <c r="I115" s="3735">
        <f t="shared" si="73"/>
        <v>48.26</v>
      </c>
      <c r="J115" s="3664">
        <f t="shared" si="74"/>
        <v>1.78</v>
      </c>
      <c r="K115" s="3666">
        <f t="shared" si="75"/>
        <v>4.13</v>
      </c>
      <c r="L115" s="3666">
        <f t="shared" si="54"/>
        <v>52.39</v>
      </c>
      <c r="M115" s="3692">
        <f t="shared" si="76"/>
        <v>44.16</v>
      </c>
      <c r="N115" s="3736">
        <f t="shared" si="77"/>
        <v>9.8800000000000008</v>
      </c>
      <c r="O115" s="3703"/>
      <c r="P115" s="3700"/>
      <c r="Q115" s="3700"/>
      <c r="R115" s="3702"/>
      <c r="S115" s="3632">
        <f t="shared" si="70"/>
        <v>52.39</v>
      </c>
      <c r="T115" s="3658">
        <f t="shared" si="71"/>
        <v>0</v>
      </c>
      <c r="U115" s="3581">
        <f t="shared" ref="U115:U133" si="79">ROUND(C115*E115,20)</f>
        <v>41.25</v>
      </c>
    </row>
    <row r="116" spans="1:21" ht="14.25" customHeight="1">
      <c r="A116" s="3696"/>
      <c r="B116" s="3696"/>
      <c r="C116" s="3666">
        <v>70</v>
      </c>
      <c r="D116" s="3733">
        <v>8</v>
      </c>
      <c r="E116" s="3664">
        <f t="shared" si="78"/>
        <v>0.75</v>
      </c>
      <c r="F116" s="3665">
        <f t="shared" si="72"/>
        <v>7.4999999999999997E-2</v>
      </c>
      <c r="G116" s="3666">
        <v>1.1000000000000001</v>
      </c>
      <c r="H116" s="3734">
        <v>1.1599999999999999</v>
      </c>
      <c r="I116" s="3735">
        <f t="shared" si="73"/>
        <v>59.33</v>
      </c>
      <c r="J116" s="3664">
        <f t="shared" si="74"/>
        <v>2.27</v>
      </c>
      <c r="K116" s="3666">
        <f t="shared" si="75"/>
        <v>5.25</v>
      </c>
      <c r="L116" s="3666">
        <f t="shared" si="54"/>
        <v>64.58</v>
      </c>
      <c r="M116" s="3692">
        <f t="shared" si="76"/>
        <v>54.21</v>
      </c>
      <c r="N116" s="3736">
        <f t="shared" si="77"/>
        <v>12.44</v>
      </c>
      <c r="O116" s="3703"/>
      <c r="P116" s="3700"/>
      <c r="Q116" s="3700"/>
      <c r="R116" s="3702"/>
      <c r="S116" s="3632">
        <f t="shared" si="70"/>
        <v>64.58</v>
      </c>
      <c r="T116" s="3658">
        <f t="shared" si="71"/>
        <v>0</v>
      </c>
      <c r="U116" s="3581">
        <f t="shared" si="79"/>
        <v>52.5</v>
      </c>
    </row>
    <row r="117" spans="1:21" ht="14.25" customHeight="1">
      <c r="A117" s="3696"/>
      <c r="B117" s="3696"/>
      <c r="C117" s="3666">
        <v>195</v>
      </c>
      <c r="D117" s="3733">
        <v>8</v>
      </c>
      <c r="E117" s="3664">
        <f t="shared" si="78"/>
        <v>0.75</v>
      </c>
      <c r="F117" s="3665">
        <f t="shared" si="72"/>
        <v>7.4999999999999997E-2</v>
      </c>
      <c r="G117" s="3666">
        <v>1.1599999999999999</v>
      </c>
      <c r="H117" s="3734">
        <v>1.22</v>
      </c>
      <c r="I117" s="3735">
        <f t="shared" si="73"/>
        <v>174.04</v>
      </c>
      <c r="J117" s="3664">
        <f t="shared" si="74"/>
        <v>6.32</v>
      </c>
      <c r="K117" s="3666">
        <f t="shared" si="75"/>
        <v>14.63</v>
      </c>
      <c r="L117" s="3666">
        <f t="shared" si="54"/>
        <v>188.67</v>
      </c>
      <c r="M117" s="3692">
        <f t="shared" si="76"/>
        <v>159.33000000000001</v>
      </c>
      <c r="N117" s="3736">
        <f t="shared" si="77"/>
        <v>35.21</v>
      </c>
      <c r="O117" s="3703"/>
      <c r="P117" s="3700"/>
      <c r="Q117" s="3700"/>
      <c r="R117" s="3702"/>
      <c r="S117" s="3632">
        <f t="shared" si="70"/>
        <v>188.67</v>
      </c>
      <c r="T117" s="3658">
        <f t="shared" si="71"/>
        <v>0</v>
      </c>
      <c r="U117" s="3581">
        <f t="shared" si="79"/>
        <v>146.25</v>
      </c>
    </row>
    <row r="118" spans="1:21" ht="14.25" customHeight="1">
      <c r="A118" s="3696"/>
      <c r="B118" s="3696"/>
      <c r="C118" s="3666">
        <v>186</v>
      </c>
      <c r="D118" s="3733">
        <v>8</v>
      </c>
      <c r="E118" s="3664">
        <f t="shared" si="78"/>
        <v>0.75</v>
      </c>
      <c r="F118" s="3665">
        <f t="shared" si="72"/>
        <v>7.4999999999999997E-2</v>
      </c>
      <c r="G118" s="3666">
        <v>1.22</v>
      </c>
      <c r="H118" s="3734">
        <v>1.23</v>
      </c>
      <c r="I118" s="3735">
        <f t="shared" si="73"/>
        <v>170.89</v>
      </c>
      <c r="J118" s="3664">
        <f t="shared" si="74"/>
        <v>6.03</v>
      </c>
      <c r="K118" s="3666">
        <f t="shared" si="75"/>
        <v>13.95</v>
      </c>
      <c r="L118" s="3666">
        <f t="shared" si="54"/>
        <v>184.84</v>
      </c>
      <c r="M118" s="3692">
        <f t="shared" si="76"/>
        <v>156.62</v>
      </c>
      <c r="N118" s="3736">
        <f t="shared" si="77"/>
        <v>33.86</v>
      </c>
      <c r="O118" s="3703"/>
      <c r="P118" s="3700"/>
      <c r="Q118" s="3700"/>
      <c r="R118" s="3702"/>
      <c r="S118" s="3632">
        <f t="shared" si="70"/>
        <v>184.84</v>
      </c>
      <c r="T118" s="3658">
        <f t="shared" si="71"/>
        <v>0</v>
      </c>
      <c r="U118" s="3581">
        <f t="shared" si="79"/>
        <v>139.5</v>
      </c>
    </row>
    <row r="119" spans="1:21" ht="14.25" customHeight="1">
      <c r="A119" s="3696"/>
      <c r="B119" s="3696"/>
      <c r="C119" s="3666">
        <v>40</v>
      </c>
      <c r="D119" s="3733">
        <v>8</v>
      </c>
      <c r="E119" s="3664">
        <f t="shared" si="78"/>
        <v>0.75</v>
      </c>
      <c r="F119" s="3665">
        <f t="shared" si="72"/>
        <v>7.4999999999999997E-2</v>
      </c>
      <c r="G119" s="3666">
        <v>1.23</v>
      </c>
      <c r="H119" s="3734">
        <v>1.26</v>
      </c>
      <c r="I119" s="3735">
        <f t="shared" si="73"/>
        <v>37.35</v>
      </c>
      <c r="J119" s="3664">
        <f t="shared" si="74"/>
        <v>1.3</v>
      </c>
      <c r="K119" s="3666">
        <f t="shared" si="75"/>
        <v>3</v>
      </c>
      <c r="L119" s="3666">
        <f t="shared" si="54"/>
        <v>40.35</v>
      </c>
      <c r="M119" s="3692">
        <f t="shared" si="76"/>
        <v>34.25</v>
      </c>
      <c r="N119" s="3736">
        <f t="shared" si="77"/>
        <v>7.32</v>
      </c>
      <c r="O119" s="3703"/>
      <c r="P119" s="3700"/>
      <c r="Q119" s="3700"/>
      <c r="R119" s="3702"/>
      <c r="S119" s="3632">
        <f t="shared" si="70"/>
        <v>40.35</v>
      </c>
      <c r="T119" s="3658">
        <f t="shared" si="71"/>
        <v>0</v>
      </c>
      <c r="U119" s="3581">
        <f t="shared" si="79"/>
        <v>30</v>
      </c>
    </row>
    <row r="120" spans="1:21" ht="14.25" customHeight="1">
      <c r="A120" s="3696"/>
      <c r="B120" s="3696"/>
      <c r="C120" s="3666">
        <v>68</v>
      </c>
      <c r="D120" s="3733">
        <v>8</v>
      </c>
      <c r="E120" s="3664">
        <f t="shared" si="78"/>
        <v>0.75</v>
      </c>
      <c r="F120" s="3665">
        <f t="shared" si="72"/>
        <v>7.4999999999999997E-2</v>
      </c>
      <c r="G120" s="3666">
        <v>1.26</v>
      </c>
      <c r="H120" s="3734">
        <v>1.37</v>
      </c>
      <c r="I120" s="3735">
        <f t="shared" si="73"/>
        <v>67.069999999999993</v>
      </c>
      <c r="J120" s="3664">
        <f t="shared" si="74"/>
        <v>2.2000000000000002</v>
      </c>
      <c r="K120" s="3666">
        <f t="shared" si="75"/>
        <v>5.0999999999999996</v>
      </c>
      <c r="L120" s="3666">
        <f t="shared" si="54"/>
        <v>72.17</v>
      </c>
      <c r="M120" s="3692">
        <f t="shared" si="76"/>
        <v>61.63</v>
      </c>
      <c r="N120" s="3736">
        <f t="shared" si="77"/>
        <v>12.65</v>
      </c>
      <c r="O120" s="3703"/>
      <c r="P120" s="3700"/>
      <c r="Q120" s="3700"/>
      <c r="R120" s="3702"/>
      <c r="S120" s="3632">
        <f t="shared" si="70"/>
        <v>72.17</v>
      </c>
      <c r="T120" s="3658">
        <f t="shared" si="71"/>
        <v>0</v>
      </c>
      <c r="U120" s="3581">
        <f t="shared" si="79"/>
        <v>51</v>
      </c>
    </row>
    <row r="121" spans="1:21" ht="14.25" customHeight="1">
      <c r="A121" s="3696"/>
      <c r="B121" s="3696"/>
      <c r="C121" s="3666">
        <v>53</v>
      </c>
      <c r="D121" s="3733">
        <v>8</v>
      </c>
      <c r="E121" s="3664">
        <f t="shared" si="78"/>
        <v>0.75</v>
      </c>
      <c r="F121" s="3665">
        <f t="shared" si="72"/>
        <v>7.4999999999999997E-2</v>
      </c>
      <c r="G121" s="3666">
        <v>1.1000000000000001</v>
      </c>
      <c r="H121" s="3734">
        <v>1.1200000000000001</v>
      </c>
      <c r="I121" s="3735">
        <f t="shared" si="73"/>
        <v>44.12</v>
      </c>
      <c r="J121" s="3664">
        <f t="shared" si="74"/>
        <v>1.72</v>
      </c>
      <c r="K121" s="3666">
        <f t="shared" si="75"/>
        <v>3.98</v>
      </c>
      <c r="L121" s="3666">
        <f t="shared" si="54"/>
        <v>48.1</v>
      </c>
      <c r="M121" s="3692">
        <f t="shared" si="76"/>
        <v>40.28</v>
      </c>
      <c r="N121" s="3736">
        <f t="shared" si="77"/>
        <v>9.3800000000000008</v>
      </c>
      <c r="O121" s="3703"/>
      <c r="P121" s="3700"/>
      <c r="Q121" s="3700"/>
      <c r="R121" s="3702"/>
      <c r="S121" s="3632">
        <f t="shared" si="70"/>
        <v>48.1</v>
      </c>
      <c r="T121" s="3658">
        <f t="shared" si="71"/>
        <v>0</v>
      </c>
      <c r="U121" s="3581">
        <f t="shared" si="79"/>
        <v>39.75</v>
      </c>
    </row>
    <row r="122" spans="1:21" ht="14.25" customHeight="1">
      <c r="A122" s="3696"/>
      <c r="B122" s="3696"/>
      <c r="C122" s="3666">
        <v>50</v>
      </c>
      <c r="D122" s="3733">
        <v>8</v>
      </c>
      <c r="E122" s="3664">
        <f t="shared" si="78"/>
        <v>0.75</v>
      </c>
      <c r="F122" s="3665">
        <f t="shared" si="72"/>
        <v>7.4999999999999997E-2</v>
      </c>
      <c r="G122" s="3666">
        <v>1.1200000000000001</v>
      </c>
      <c r="H122" s="3734">
        <v>1.23</v>
      </c>
      <c r="I122" s="3735">
        <f t="shared" si="73"/>
        <v>44.06</v>
      </c>
      <c r="J122" s="3664">
        <f t="shared" si="74"/>
        <v>1.62</v>
      </c>
      <c r="K122" s="3666">
        <f t="shared" si="75"/>
        <v>3.75</v>
      </c>
      <c r="L122" s="3666">
        <f t="shared" si="54"/>
        <v>47.81</v>
      </c>
      <c r="M122" s="3692">
        <f t="shared" si="76"/>
        <v>40.32</v>
      </c>
      <c r="N122" s="3736">
        <f t="shared" si="77"/>
        <v>8.99</v>
      </c>
      <c r="O122" s="3703"/>
      <c r="P122" s="3700"/>
      <c r="Q122" s="3700"/>
      <c r="R122" s="3702"/>
      <c r="S122" s="3632">
        <f t="shared" si="70"/>
        <v>47.81</v>
      </c>
      <c r="T122" s="3658">
        <f t="shared" si="71"/>
        <v>0</v>
      </c>
      <c r="U122" s="3581">
        <f t="shared" si="79"/>
        <v>37.5</v>
      </c>
    </row>
    <row r="123" spans="1:21" ht="14.25" customHeight="1">
      <c r="A123" s="3696"/>
      <c r="B123" s="3696"/>
      <c r="C123" s="3666"/>
      <c r="D123" s="3733"/>
      <c r="E123" s="3664"/>
      <c r="F123" s="3665">
        <f t="shared" si="72"/>
        <v>0</v>
      </c>
      <c r="G123" s="3666"/>
      <c r="H123" s="3734"/>
      <c r="I123" s="3735">
        <f t="shared" si="73"/>
        <v>0</v>
      </c>
      <c r="J123" s="3664">
        <f t="shared" si="74"/>
        <v>0</v>
      </c>
      <c r="K123" s="3666">
        <f t="shared" si="75"/>
        <v>0</v>
      </c>
      <c r="L123" s="3666">
        <f t="shared" si="54"/>
        <v>0</v>
      </c>
      <c r="M123" s="3692">
        <f t="shared" si="76"/>
        <v>0</v>
      </c>
      <c r="N123" s="3736">
        <f t="shared" si="77"/>
        <v>0</v>
      </c>
      <c r="O123" s="3703"/>
      <c r="P123" s="3700"/>
      <c r="Q123" s="3700"/>
      <c r="R123" s="3702"/>
      <c r="S123" s="3632">
        <f t="shared" si="70"/>
        <v>0</v>
      </c>
      <c r="T123" s="3658">
        <f t="shared" si="71"/>
        <v>0</v>
      </c>
      <c r="U123" s="3581">
        <f t="shared" si="79"/>
        <v>0</v>
      </c>
    </row>
    <row r="124" spans="1:21" ht="14.25" customHeight="1">
      <c r="A124" s="3696"/>
      <c r="B124" s="3696"/>
      <c r="C124" s="3666">
        <v>100</v>
      </c>
      <c r="D124" s="3733">
        <v>16</v>
      </c>
      <c r="E124" s="3664">
        <v>0.95</v>
      </c>
      <c r="F124" s="3665">
        <v>0.95</v>
      </c>
      <c r="G124" s="3666">
        <v>2.5</v>
      </c>
      <c r="H124" s="3734">
        <v>3</v>
      </c>
      <c r="I124" s="3735">
        <f t="shared" si="73"/>
        <v>261.25</v>
      </c>
      <c r="J124" s="3664">
        <f t="shared" si="74"/>
        <v>12.97</v>
      </c>
      <c r="K124" s="3666">
        <f t="shared" si="75"/>
        <v>95</v>
      </c>
      <c r="L124" s="3666">
        <f t="shared" si="54"/>
        <v>356.25</v>
      </c>
      <c r="M124" s="3692">
        <f t="shared" si="76"/>
        <v>235.87</v>
      </c>
      <c r="N124" s="3736">
        <f t="shared" si="77"/>
        <v>144.46</v>
      </c>
      <c r="O124" s="3703"/>
      <c r="P124" s="3700"/>
      <c r="Q124" s="3700"/>
      <c r="R124" s="3702"/>
      <c r="S124" s="3632">
        <f t="shared" si="70"/>
        <v>142.5</v>
      </c>
      <c r="T124" s="3658">
        <f t="shared" si="71"/>
        <v>213.75</v>
      </c>
      <c r="U124" s="3581">
        <f t="shared" si="79"/>
        <v>95</v>
      </c>
    </row>
    <row r="125" spans="1:21" ht="14.25" customHeight="1">
      <c r="A125" s="3696"/>
      <c r="B125" s="3696"/>
      <c r="C125" s="3666"/>
      <c r="D125" s="3733"/>
      <c r="E125" s="3664">
        <v>0</v>
      </c>
      <c r="F125" s="3737">
        <f t="shared" si="72"/>
        <v>0</v>
      </c>
      <c r="G125" s="3666">
        <v>0</v>
      </c>
      <c r="H125" s="3734">
        <v>0</v>
      </c>
      <c r="I125" s="3735">
        <f t="shared" si="73"/>
        <v>0</v>
      </c>
      <c r="J125" s="3664">
        <f t="shared" si="74"/>
        <v>0</v>
      </c>
      <c r="K125" s="3666">
        <f t="shared" si="75"/>
        <v>0</v>
      </c>
      <c r="L125" s="3666">
        <f t="shared" si="54"/>
        <v>0</v>
      </c>
      <c r="M125" s="3692">
        <f t="shared" si="76"/>
        <v>0</v>
      </c>
      <c r="N125" s="3736">
        <f t="shared" si="77"/>
        <v>0</v>
      </c>
      <c r="O125" s="3703"/>
      <c r="P125" s="3700"/>
      <c r="Q125" s="3700"/>
      <c r="R125" s="3702"/>
      <c r="S125" s="3632">
        <f t="shared" si="70"/>
        <v>0</v>
      </c>
      <c r="T125" s="3658">
        <f t="shared" si="71"/>
        <v>0</v>
      </c>
      <c r="U125" s="3581">
        <f t="shared" si="79"/>
        <v>0</v>
      </c>
    </row>
    <row r="126" spans="1:21" ht="14.25" customHeight="1">
      <c r="A126" s="3696"/>
      <c r="B126" s="3696"/>
      <c r="C126" s="3700">
        <v>0</v>
      </c>
      <c r="D126" s="3701">
        <v>0</v>
      </c>
      <c r="E126" s="3625">
        <v>0</v>
      </c>
      <c r="F126" s="3704">
        <v>0</v>
      </c>
      <c r="G126" s="3700">
        <v>0</v>
      </c>
      <c r="H126" s="3702">
        <v>0</v>
      </c>
      <c r="I126" s="3629">
        <f t="shared" si="73"/>
        <v>0</v>
      </c>
      <c r="J126" s="3625">
        <f t="shared" si="74"/>
        <v>0</v>
      </c>
      <c r="K126" s="3627">
        <f t="shared" si="75"/>
        <v>0</v>
      </c>
      <c r="L126" s="3627">
        <f t="shared" si="54"/>
        <v>0</v>
      </c>
      <c r="M126" s="3630">
        <f t="shared" si="76"/>
        <v>0</v>
      </c>
      <c r="N126" s="3631">
        <f t="shared" si="77"/>
        <v>0</v>
      </c>
      <c r="O126" s="3703"/>
      <c r="P126" s="3700"/>
      <c r="Q126" s="3700"/>
      <c r="R126" s="3702"/>
      <c r="S126" s="3632">
        <f t="shared" si="70"/>
        <v>0</v>
      </c>
      <c r="T126" s="3658">
        <f t="shared" si="71"/>
        <v>0</v>
      </c>
      <c r="U126" s="3581">
        <f t="shared" si="79"/>
        <v>0</v>
      </c>
    </row>
    <row r="127" spans="1:21" ht="14.25" customHeight="1">
      <c r="A127" s="3696"/>
      <c r="B127" s="3696"/>
      <c r="C127" s="3700">
        <v>0</v>
      </c>
      <c r="D127" s="3701">
        <v>0</v>
      </c>
      <c r="E127" s="3625">
        <v>0</v>
      </c>
      <c r="F127" s="3704">
        <v>0</v>
      </c>
      <c r="G127" s="3700">
        <v>0</v>
      </c>
      <c r="H127" s="3702">
        <v>0</v>
      </c>
      <c r="I127" s="3629">
        <f t="shared" si="73"/>
        <v>0</v>
      </c>
      <c r="J127" s="3625">
        <f t="shared" si="74"/>
        <v>0</v>
      </c>
      <c r="K127" s="3627">
        <f t="shared" si="75"/>
        <v>0</v>
      </c>
      <c r="L127" s="3627">
        <f t="shared" si="54"/>
        <v>0</v>
      </c>
      <c r="M127" s="3630">
        <f t="shared" si="76"/>
        <v>0</v>
      </c>
      <c r="N127" s="3631">
        <f t="shared" si="77"/>
        <v>0</v>
      </c>
      <c r="O127" s="3703"/>
      <c r="P127" s="3700"/>
      <c r="Q127" s="3700"/>
      <c r="R127" s="3702"/>
      <c r="S127" s="3632">
        <f t="shared" si="70"/>
        <v>0</v>
      </c>
      <c r="T127" s="3658">
        <f t="shared" si="71"/>
        <v>0</v>
      </c>
      <c r="U127" s="3581">
        <f t="shared" si="79"/>
        <v>0</v>
      </c>
    </row>
    <row r="128" spans="1:21" ht="14.25" customHeight="1">
      <c r="A128" s="3696"/>
      <c r="B128" s="3696"/>
      <c r="C128" s="3700">
        <v>0</v>
      </c>
      <c r="D128" s="3701">
        <v>0</v>
      </c>
      <c r="E128" s="3625">
        <v>0</v>
      </c>
      <c r="F128" s="3704">
        <v>0</v>
      </c>
      <c r="G128" s="3700">
        <v>0</v>
      </c>
      <c r="H128" s="3702">
        <v>0</v>
      </c>
      <c r="I128" s="3629">
        <f t="shared" si="73"/>
        <v>0</v>
      </c>
      <c r="J128" s="3625">
        <f t="shared" si="74"/>
        <v>0</v>
      </c>
      <c r="K128" s="3627">
        <f t="shared" si="75"/>
        <v>0</v>
      </c>
      <c r="L128" s="3627">
        <f t="shared" si="54"/>
        <v>0</v>
      </c>
      <c r="M128" s="3630">
        <f t="shared" si="76"/>
        <v>0</v>
      </c>
      <c r="N128" s="3631">
        <f t="shared" si="77"/>
        <v>0</v>
      </c>
      <c r="O128" s="3703"/>
      <c r="P128" s="3700"/>
      <c r="Q128" s="3700"/>
      <c r="R128" s="3702"/>
      <c r="S128" s="3632">
        <f t="shared" si="70"/>
        <v>0</v>
      </c>
      <c r="T128" s="3658">
        <f t="shared" si="71"/>
        <v>0</v>
      </c>
      <c r="U128" s="3581">
        <f t="shared" si="79"/>
        <v>0</v>
      </c>
    </row>
    <row r="129" spans="1:21" ht="14.25" customHeight="1">
      <c r="A129" s="3696"/>
      <c r="B129" s="3696"/>
      <c r="C129" s="3700">
        <v>0</v>
      </c>
      <c r="D129" s="3701">
        <v>0</v>
      </c>
      <c r="E129" s="3625">
        <v>0</v>
      </c>
      <c r="F129" s="3704">
        <v>0</v>
      </c>
      <c r="G129" s="3700">
        <v>0</v>
      </c>
      <c r="H129" s="3702">
        <v>0</v>
      </c>
      <c r="I129" s="3629">
        <f t="shared" si="73"/>
        <v>0</v>
      </c>
      <c r="J129" s="3625">
        <f t="shared" si="74"/>
        <v>0</v>
      </c>
      <c r="K129" s="3627">
        <f t="shared" si="75"/>
        <v>0</v>
      </c>
      <c r="L129" s="3627">
        <f t="shared" si="54"/>
        <v>0</v>
      </c>
      <c r="M129" s="3630">
        <f t="shared" si="76"/>
        <v>0</v>
      </c>
      <c r="N129" s="3631">
        <f t="shared" si="77"/>
        <v>0</v>
      </c>
      <c r="O129" s="3703"/>
      <c r="P129" s="3700"/>
      <c r="Q129" s="3700"/>
      <c r="R129" s="3702"/>
      <c r="S129" s="3632">
        <f t="shared" si="70"/>
        <v>0</v>
      </c>
      <c r="T129" s="3658">
        <f t="shared" si="71"/>
        <v>0</v>
      </c>
      <c r="U129" s="3581">
        <f t="shared" si="79"/>
        <v>0</v>
      </c>
    </row>
    <row r="130" spans="1:21" ht="14.25" customHeight="1">
      <c r="A130" s="3696"/>
      <c r="B130" s="3696"/>
      <c r="C130" s="3700">
        <v>0</v>
      </c>
      <c r="D130" s="3701">
        <v>0</v>
      </c>
      <c r="E130" s="3625">
        <v>0</v>
      </c>
      <c r="F130" s="3704">
        <f t="shared" si="72"/>
        <v>0</v>
      </c>
      <c r="G130" s="3700">
        <v>0</v>
      </c>
      <c r="H130" s="3702">
        <v>0</v>
      </c>
      <c r="I130" s="3629">
        <f t="shared" si="73"/>
        <v>0</v>
      </c>
      <c r="J130" s="3625">
        <f t="shared" si="74"/>
        <v>0</v>
      </c>
      <c r="K130" s="3627">
        <f t="shared" si="75"/>
        <v>0</v>
      </c>
      <c r="L130" s="3627">
        <f t="shared" si="54"/>
        <v>0</v>
      </c>
      <c r="M130" s="3630">
        <f t="shared" si="76"/>
        <v>0</v>
      </c>
      <c r="N130" s="3631">
        <f t="shared" si="77"/>
        <v>0</v>
      </c>
      <c r="O130" s="3703"/>
      <c r="P130" s="3700"/>
      <c r="Q130" s="3700"/>
      <c r="R130" s="3702"/>
      <c r="S130" s="3632">
        <f t="shared" si="70"/>
        <v>0</v>
      </c>
      <c r="T130" s="3658">
        <f t="shared" si="71"/>
        <v>0</v>
      </c>
      <c r="U130" s="3581">
        <f t="shared" si="79"/>
        <v>0</v>
      </c>
    </row>
    <row r="131" spans="1:21" ht="14.25" customHeight="1">
      <c r="A131" s="3696"/>
      <c r="B131" s="3696"/>
      <c r="C131" s="3700">
        <v>0</v>
      </c>
      <c r="D131" s="3701">
        <v>8</v>
      </c>
      <c r="E131" s="3625">
        <v>0</v>
      </c>
      <c r="F131" s="3704">
        <f t="shared" si="72"/>
        <v>0</v>
      </c>
      <c r="G131" s="3700">
        <v>0</v>
      </c>
      <c r="H131" s="3702">
        <v>0</v>
      </c>
      <c r="I131" s="3629">
        <f t="shared" si="73"/>
        <v>0</v>
      </c>
      <c r="J131" s="3625">
        <f t="shared" si="74"/>
        <v>0</v>
      </c>
      <c r="K131" s="3627">
        <f t="shared" si="75"/>
        <v>0</v>
      </c>
      <c r="L131" s="3627">
        <f t="shared" si="54"/>
        <v>0</v>
      </c>
      <c r="M131" s="3630">
        <f t="shared" si="76"/>
        <v>0</v>
      </c>
      <c r="N131" s="3631">
        <f t="shared" si="77"/>
        <v>0</v>
      </c>
      <c r="O131" s="3703"/>
      <c r="P131" s="3700"/>
      <c r="Q131" s="3700"/>
      <c r="R131" s="3702"/>
      <c r="S131" s="3632">
        <f t="shared" si="70"/>
        <v>0</v>
      </c>
      <c r="T131" s="3658">
        <f t="shared" si="71"/>
        <v>0</v>
      </c>
      <c r="U131" s="3581">
        <f t="shared" si="79"/>
        <v>0</v>
      </c>
    </row>
    <row r="132" spans="1:21" ht="14.25" customHeight="1">
      <c r="A132" s="3696"/>
      <c r="B132" s="3696"/>
      <c r="C132" s="3700">
        <v>0</v>
      </c>
      <c r="D132" s="3701">
        <v>0</v>
      </c>
      <c r="E132" s="3625">
        <v>0</v>
      </c>
      <c r="F132" s="3704">
        <f t="shared" si="72"/>
        <v>0</v>
      </c>
      <c r="G132" s="3700">
        <v>0</v>
      </c>
      <c r="H132" s="3702">
        <v>0</v>
      </c>
      <c r="I132" s="3629">
        <f t="shared" si="73"/>
        <v>0</v>
      </c>
      <c r="J132" s="3625">
        <f t="shared" si="74"/>
        <v>0</v>
      </c>
      <c r="K132" s="3627">
        <f t="shared" si="75"/>
        <v>0</v>
      </c>
      <c r="L132" s="3627">
        <f t="shared" si="54"/>
        <v>0</v>
      </c>
      <c r="M132" s="3630">
        <f t="shared" si="76"/>
        <v>0</v>
      </c>
      <c r="N132" s="3631">
        <f t="shared" si="77"/>
        <v>0</v>
      </c>
      <c r="O132" s="3703"/>
      <c r="P132" s="3700"/>
      <c r="Q132" s="3700"/>
      <c r="R132" s="3702"/>
      <c r="S132" s="3632">
        <f t="shared" si="70"/>
        <v>0</v>
      </c>
      <c r="T132" s="3658">
        <f t="shared" si="71"/>
        <v>0</v>
      </c>
      <c r="U132" s="3581">
        <f t="shared" si="79"/>
        <v>0</v>
      </c>
    </row>
    <row r="133" spans="1:21" ht="14.25" customHeight="1" thickBot="1">
      <c r="A133" s="3696"/>
      <c r="B133" s="3696"/>
      <c r="C133" s="3700">
        <v>0</v>
      </c>
      <c r="D133" s="3701">
        <v>0</v>
      </c>
      <c r="E133" s="3625">
        <v>0</v>
      </c>
      <c r="F133" s="3704">
        <v>0</v>
      </c>
      <c r="G133" s="3700">
        <v>0</v>
      </c>
      <c r="H133" s="3702">
        <v>0</v>
      </c>
      <c r="I133" s="3629">
        <f t="shared" si="73"/>
        <v>0</v>
      </c>
      <c r="J133" s="3625">
        <f t="shared" si="74"/>
        <v>0</v>
      </c>
      <c r="K133" s="3627">
        <f t="shared" si="75"/>
        <v>0</v>
      </c>
      <c r="L133" s="3627">
        <f t="shared" si="54"/>
        <v>0</v>
      </c>
      <c r="M133" s="3630">
        <f t="shared" si="76"/>
        <v>0</v>
      </c>
      <c r="N133" s="3631">
        <f t="shared" si="77"/>
        <v>0</v>
      </c>
      <c r="O133" s="3703"/>
      <c r="P133" s="3700"/>
      <c r="Q133" s="3700"/>
      <c r="R133" s="3702"/>
      <c r="S133" s="3632">
        <f t="shared" si="70"/>
        <v>0</v>
      </c>
      <c r="T133" s="3658">
        <f t="shared" si="71"/>
        <v>0</v>
      </c>
      <c r="U133" s="3581">
        <f t="shared" si="79"/>
        <v>0</v>
      </c>
    </row>
    <row r="134" spans="1:21" ht="14.25" customHeight="1" thickTop="1" thickBot="1">
      <c r="A134" s="3705"/>
      <c r="B134" s="3705"/>
      <c r="C134" s="3706">
        <f>SUM(C114:C133)</f>
        <v>826.35</v>
      </c>
      <c r="D134" s="3707"/>
      <c r="E134" s="3708"/>
      <c r="F134" s="3708"/>
      <c r="G134" s="3708"/>
      <c r="H134" s="3709"/>
      <c r="I134" s="3710"/>
      <c r="J134" s="3708"/>
      <c r="K134" s="3667">
        <f>SUM(K114:K133)</f>
        <v>149.72999999999999</v>
      </c>
      <c r="L134" s="3668">
        <f>SUM(L114:L133)</f>
        <v>1079.48</v>
      </c>
      <c r="M134" s="3668">
        <f>SUM(M114:M133)</f>
        <v>848.24</v>
      </c>
      <c r="N134" s="3669">
        <f>SUM(N114:N133)</f>
        <v>277.49</v>
      </c>
      <c r="O134" s="3710"/>
      <c r="P134" s="3708"/>
      <c r="Q134" s="3708"/>
      <c r="R134" s="3709"/>
      <c r="S134" s="3711">
        <f>SUM(S114:S133)</f>
        <v>855.44</v>
      </c>
      <c r="T134" s="3712">
        <f>SUM(T114:T133)</f>
        <v>224.04</v>
      </c>
      <c r="U134" s="3712">
        <f>SUM(U114:U133)</f>
        <v>642.1</v>
      </c>
    </row>
    <row r="135" spans="1:21" ht="14.25" customHeight="1" thickTop="1">
      <c r="A135" s="3713"/>
      <c r="B135" s="3713"/>
      <c r="C135" s="3713"/>
      <c r="D135" s="3713"/>
      <c r="E135" s="3713"/>
      <c r="F135" s="3713"/>
      <c r="G135" s="3713"/>
      <c r="H135" s="3713"/>
      <c r="I135" s="3713"/>
      <c r="J135" s="3713"/>
      <c r="K135" s="3713"/>
      <c r="L135" s="3713"/>
      <c r="M135" s="3713"/>
      <c r="N135" s="3713"/>
      <c r="O135" s="3713"/>
      <c r="P135" s="3713"/>
      <c r="Q135" s="3713"/>
      <c r="R135" s="3713"/>
      <c r="S135" s="3713"/>
      <c r="T135" s="3713"/>
    </row>
    <row r="136" spans="1:21" ht="14.25" customHeight="1">
      <c r="A136" s="3713"/>
      <c r="B136" s="3713"/>
      <c r="C136" s="3713"/>
      <c r="D136" s="3713"/>
      <c r="E136" s="3713"/>
      <c r="F136" s="3713"/>
      <c r="G136" s="3713"/>
      <c r="H136" s="3713"/>
      <c r="I136" s="3713"/>
      <c r="J136" s="3713"/>
      <c r="K136" s="3713"/>
      <c r="L136" s="3713"/>
      <c r="M136" s="3713"/>
      <c r="N136" s="3713"/>
      <c r="O136" s="3713"/>
      <c r="P136" s="3713"/>
      <c r="Q136" s="3713"/>
      <c r="R136" s="3713"/>
      <c r="S136" s="3713"/>
      <c r="T136" s="3713"/>
    </row>
    <row r="137" spans="1:21">
      <c r="A137" s="3713"/>
      <c r="B137" s="3713"/>
      <c r="C137" s="3713"/>
      <c r="D137" s="3713"/>
      <c r="E137" s="3713"/>
      <c r="F137" s="3713"/>
      <c r="G137" s="3713"/>
      <c r="H137" s="3713"/>
      <c r="I137" s="3714" t="s">
        <v>3102</v>
      </c>
      <c r="J137" s="3715">
        <f>C134</f>
        <v>826.35</v>
      </c>
      <c r="K137" s="3716" t="s">
        <v>1</v>
      </c>
      <c r="L137" s="3717">
        <v>181.71</v>
      </c>
      <c r="M137" s="3718">
        <f>ROUND(J137*L137,20)</f>
        <v>150156.06</v>
      </c>
      <c r="N137" s="3719"/>
      <c r="O137" s="3713"/>
      <c r="P137" s="3713"/>
      <c r="Q137" s="3713"/>
      <c r="R137" s="3713"/>
      <c r="S137" s="3713"/>
      <c r="T137" s="3713"/>
    </row>
    <row r="138" spans="1:21">
      <c r="A138" s="3713"/>
      <c r="B138" s="3713" t="s">
        <v>3103</v>
      </c>
      <c r="C138" s="3713"/>
      <c r="D138" s="3713"/>
      <c r="E138" s="3713"/>
      <c r="F138" s="3714"/>
      <c r="G138" s="3713"/>
      <c r="H138" s="3713"/>
      <c r="I138" s="3720" t="s">
        <v>3104</v>
      </c>
      <c r="J138" s="3715">
        <f>L134</f>
        <v>1079.48</v>
      </c>
      <c r="K138" s="3716" t="s">
        <v>2</v>
      </c>
      <c r="L138" s="3718">
        <v>16.22</v>
      </c>
      <c r="M138" s="3718">
        <f t="shared" ref="M138:M144" si="80">ROUND(J138*L138,20)</f>
        <v>17509.169999999998</v>
      </c>
      <c r="N138" s="3719"/>
      <c r="O138" s="3713"/>
      <c r="P138" s="3713"/>
      <c r="Q138" s="3713"/>
      <c r="R138" s="3713"/>
      <c r="S138" s="3713"/>
      <c r="T138" s="3713"/>
    </row>
    <row r="139" spans="1:21">
      <c r="A139" s="3713"/>
      <c r="B139" s="3714" t="s">
        <v>3105</v>
      </c>
      <c r="C139" s="3721">
        <f>SUM(C114:C123,C126:C133)</f>
        <v>726.35</v>
      </c>
      <c r="D139" s="3713">
        <f>C139*1.03</f>
        <v>748.14049999999997</v>
      </c>
      <c r="E139" s="3713"/>
      <c r="F139" s="3713"/>
      <c r="G139" s="3713"/>
      <c r="H139" s="3713"/>
      <c r="I139" s="3714" t="s">
        <v>3106</v>
      </c>
      <c r="J139" s="3722">
        <f>U134</f>
        <v>642.1</v>
      </c>
      <c r="K139" s="3716" t="s">
        <v>11</v>
      </c>
      <c r="L139" s="3723">
        <v>58.5</v>
      </c>
      <c r="M139" s="3718">
        <f t="shared" si="80"/>
        <v>37562.85</v>
      </c>
      <c r="N139" s="3719"/>
      <c r="O139" s="3713"/>
      <c r="P139" s="3713"/>
      <c r="Q139" s="3713"/>
      <c r="R139" s="3713"/>
      <c r="S139" s="3713"/>
      <c r="T139" s="3713"/>
    </row>
    <row r="140" spans="1:21">
      <c r="A140" s="3713"/>
      <c r="B140" s="3714" t="s">
        <v>3107</v>
      </c>
      <c r="C140" s="3721">
        <f>C124</f>
        <v>100</v>
      </c>
      <c r="D140" s="3713">
        <f>C140*1.05</f>
        <v>105</v>
      </c>
      <c r="E140" s="3713"/>
      <c r="F140" s="3713"/>
      <c r="G140" s="3713"/>
      <c r="H140" s="3713"/>
      <c r="I140" s="3714" t="s">
        <v>3108</v>
      </c>
      <c r="J140" s="3722">
        <f>K134</f>
        <v>149.72999999999999</v>
      </c>
      <c r="K140" s="3716" t="s">
        <v>2</v>
      </c>
      <c r="L140" s="3717">
        <v>6002.95</v>
      </c>
      <c r="M140" s="3718">
        <f t="shared" si="80"/>
        <v>898821.7</v>
      </c>
      <c r="N140" s="3719"/>
      <c r="O140" s="3713"/>
      <c r="P140" s="3713"/>
      <c r="Q140" s="3713"/>
      <c r="R140" s="3713"/>
      <c r="S140" s="3713"/>
      <c r="T140" s="3713"/>
    </row>
    <row r="141" spans="1:21">
      <c r="A141" s="3713"/>
      <c r="B141" s="3714" t="s">
        <v>3109</v>
      </c>
      <c r="C141" s="3721">
        <f>C125</f>
        <v>0</v>
      </c>
      <c r="D141" s="3713">
        <f>C141*1.05</f>
        <v>0</v>
      </c>
      <c r="E141" s="3713"/>
      <c r="F141" s="3713"/>
      <c r="G141" s="3713"/>
      <c r="H141" s="3713"/>
      <c r="I141" s="3714" t="s">
        <v>3110</v>
      </c>
      <c r="J141" s="3722">
        <f>M134</f>
        <v>848.24</v>
      </c>
      <c r="K141" s="3716" t="s">
        <v>2</v>
      </c>
      <c r="L141" s="3717">
        <v>9.7100000000000009</v>
      </c>
      <c r="M141" s="3718">
        <f t="shared" si="80"/>
        <v>8236.41</v>
      </c>
      <c r="N141" s="3719"/>
      <c r="O141" s="3713"/>
      <c r="P141" s="3713"/>
      <c r="Q141" s="3713"/>
      <c r="R141" s="3713"/>
      <c r="S141" s="3713"/>
      <c r="T141" s="3713"/>
    </row>
    <row r="142" spans="1:21">
      <c r="A142" s="3713"/>
      <c r="B142" s="3713"/>
      <c r="C142" s="3713"/>
      <c r="D142" s="3713"/>
      <c r="E142" s="3713"/>
      <c r="F142" s="3713"/>
      <c r="G142" s="3713"/>
      <c r="H142" s="3713"/>
      <c r="I142" s="3714" t="s">
        <v>3111</v>
      </c>
      <c r="J142" s="3722">
        <f>N134</f>
        <v>277.49</v>
      </c>
      <c r="K142" s="3716" t="s">
        <v>2</v>
      </c>
      <c r="L142" s="3717">
        <v>0</v>
      </c>
      <c r="M142" s="3718">
        <f t="shared" si="80"/>
        <v>0</v>
      </c>
      <c r="N142" s="3719"/>
      <c r="O142" s="3713"/>
      <c r="P142" s="3713"/>
      <c r="Q142" s="3713"/>
      <c r="R142" s="3713"/>
      <c r="S142" s="3713"/>
      <c r="T142" s="3713"/>
    </row>
    <row r="143" spans="1:21">
      <c r="A143" s="3724"/>
      <c r="B143" s="3724"/>
      <c r="C143" s="3724"/>
      <c r="D143" s="3724"/>
      <c r="E143" s="3724"/>
      <c r="F143" s="3724"/>
      <c r="G143" s="3724"/>
      <c r="H143" s="3724"/>
      <c r="I143" s="3725" t="s">
        <v>3112</v>
      </c>
      <c r="J143" s="3726">
        <f>+D139</f>
        <v>748.14049999999997</v>
      </c>
      <c r="K143" s="3727" t="s">
        <v>1</v>
      </c>
      <c r="L143" s="3728">
        <v>125</v>
      </c>
      <c r="M143" s="3718">
        <f t="shared" si="80"/>
        <v>93517.56</v>
      </c>
      <c r="N143" s="3729"/>
      <c r="O143" s="3724"/>
      <c r="P143" s="3724"/>
      <c r="Q143" s="3724"/>
      <c r="R143" s="3724"/>
      <c r="S143" s="3724"/>
      <c r="T143" s="3724"/>
    </row>
    <row r="144" spans="1:21">
      <c r="A144" s="3724"/>
      <c r="B144" s="3724"/>
      <c r="C144" s="3724"/>
      <c r="D144" s="3724"/>
      <c r="E144" s="3724"/>
      <c r="F144" s="3724"/>
      <c r="G144" s="3724"/>
      <c r="H144" s="3724"/>
      <c r="I144" s="3725" t="s">
        <v>3113</v>
      </c>
      <c r="J144" s="3726">
        <f>J143</f>
        <v>748.14049999999997</v>
      </c>
      <c r="K144" s="3727" t="s">
        <v>1</v>
      </c>
      <c r="L144" s="3728">
        <v>0</v>
      </c>
      <c r="M144" s="3718">
        <f t="shared" si="80"/>
        <v>0</v>
      </c>
      <c r="N144" s="3729"/>
      <c r="O144" s="3724"/>
      <c r="P144" s="3724"/>
      <c r="Q144" s="3724"/>
      <c r="R144" s="3724"/>
      <c r="S144" s="3724"/>
      <c r="T144" s="3724"/>
    </row>
    <row r="145" spans="1:20">
      <c r="A145" s="3724"/>
      <c r="B145" s="3724">
        <f>+C139*0.75</f>
        <v>544.76250000000005</v>
      </c>
      <c r="C145" s="3724"/>
      <c r="D145" s="3724"/>
      <c r="E145" s="3724"/>
      <c r="F145" s="3724"/>
      <c r="G145" s="3724"/>
      <c r="H145" s="3724"/>
      <c r="I145" s="3729"/>
      <c r="J145" s="3729"/>
      <c r="K145" s="3729"/>
      <c r="L145" s="3729"/>
      <c r="M145" s="3731">
        <f>SUM(M137:M144)</f>
        <v>1205803.75</v>
      </c>
      <c r="N145" s="3729"/>
      <c r="O145" s="3724"/>
      <c r="P145" s="3724"/>
      <c r="Q145" s="3724"/>
      <c r="R145" s="3724"/>
      <c r="S145" s="3724"/>
      <c r="T145" s="3724"/>
    </row>
    <row r="146" spans="1:20">
      <c r="A146" s="3724"/>
      <c r="B146" s="3724">
        <f>100*0.95</f>
        <v>95</v>
      </c>
      <c r="C146" s="3724"/>
      <c r="D146" s="3724"/>
      <c r="E146" s="3724"/>
      <c r="F146" s="3724"/>
      <c r="G146" s="3724"/>
      <c r="H146" s="3724"/>
      <c r="I146" s="3725"/>
      <c r="J146" s="3732"/>
      <c r="K146" s="3727" t="s">
        <v>3</v>
      </c>
      <c r="L146" s="3729"/>
      <c r="M146" s="3729"/>
      <c r="N146" s="3729"/>
      <c r="O146" s="3724"/>
      <c r="P146" s="3724"/>
      <c r="Q146" s="3724"/>
      <c r="R146" s="3724"/>
      <c r="S146" s="3724"/>
      <c r="T146" s="3724"/>
    </row>
    <row r="147" spans="1:20">
      <c r="A147" s="3724"/>
      <c r="B147" s="3724">
        <f>SUM(B145:B146)</f>
        <v>639.76250000000005</v>
      </c>
      <c r="C147" s="3724"/>
      <c r="D147" s="3724"/>
      <c r="E147" s="3724"/>
      <c r="F147" s="3724"/>
      <c r="G147" s="3724"/>
      <c r="H147" s="3724"/>
      <c r="I147" s="3725" t="s">
        <v>3114</v>
      </c>
      <c r="J147" s="3732">
        <f>ROUND(INT(C134/85),2)</f>
        <v>9</v>
      </c>
      <c r="K147" s="3727" t="s">
        <v>3</v>
      </c>
      <c r="L147" s="3728">
        <v>89.53</v>
      </c>
      <c r="M147" s="3731">
        <f>ROUND(J147*L147,20)</f>
        <v>805.77</v>
      </c>
      <c r="N147" s="3729"/>
      <c r="O147" s="3724"/>
      <c r="P147" s="3724"/>
      <c r="Q147" s="3724"/>
      <c r="R147" s="3724"/>
      <c r="S147" s="3724"/>
      <c r="T147" s="3724"/>
    </row>
    <row r="148" spans="1:20">
      <c r="A148" s="3724"/>
      <c r="B148" s="3724"/>
      <c r="C148" s="3724"/>
      <c r="D148" s="3724"/>
      <c r="E148" s="3724"/>
      <c r="F148" s="3724"/>
      <c r="G148" s="3724"/>
      <c r="H148" s="3724"/>
      <c r="I148" s="3725" t="s">
        <v>3115</v>
      </c>
      <c r="J148" s="3732">
        <v>15</v>
      </c>
      <c r="K148" s="3727" t="s">
        <v>3</v>
      </c>
      <c r="L148" s="3728">
        <v>0</v>
      </c>
      <c r="M148" s="3731">
        <f>ROUND(J148*L148,20)</f>
        <v>0</v>
      </c>
      <c r="N148" s="3729"/>
      <c r="O148" s="3724"/>
      <c r="P148" s="3724"/>
      <c r="Q148" s="3724"/>
      <c r="R148" s="3724"/>
      <c r="S148" s="3724"/>
      <c r="T148" s="3724"/>
    </row>
    <row r="149" spans="1:20">
      <c r="A149" s="3724"/>
      <c r="B149" s="3724"/>
      <c r="C149" s="3724"/>
      <c r="D149" s="3724"/>
      <c r="E149" s="3724"/>
      <c r="F149" s="3724"/>
      <c r="G149" s="3724"/>
      <c r="H149" s="3724"/>
      <c r="I149" s="3725" t="s">
        <v>3116</v>
      </c>
      <c r="J149" s="3732">
        <f>J148</f>
        <v>15</v>
      </c>
      <c r="K149" s="3727" t="s">
        <v>3</v>
      </c>
      <c r="L149" s="3728">
        <v>34482.01</v>
      </c>
      <c r="M149" s="3731">
        <f>ROUND(J149*L149,20)</f>
        <v>517230.15</v>
      </c>
      <c r="N149" s="3729"/>
      <c r="O149" s="3724"/>
      <c r="P149" s="3724"/>
      <c r="Q149" s="3724"/>
      <c r="R149" s="3724"/>
      <c r="S149" s="3724"/>
      <c r="T149" s="3724"/>
    </row>
    <row r="150" spans="1:20" ht="15.75">
      <c r="A150" s="3724"/>
      <c r="B150" s="3724"/>
      <c r="C150" s="3724"/>
      <c r="D150" s="3724"/>
      <c r="E150" s="3724"/>
      <c r="F150" s="3724"/>
      <c r="G150" s="3724"/>
      <c r="H150" s="3724"/>
      <c r="I150" s="3729"/>
      <c r="J150" s="3729"/>
      <c r="K150" s="3729"/>
      <c r="L150" s="3729"/>
      <c r="M150" s="4779">
        <f>ROUND(SUM(M145,M147:M149),2)</f>
        <v>1723839.67</v>
      </c>
      <c r="N150" s="4779"/>
      <c r="O150" s="3724"/>
      <c r="P150" s="3724"/>
      <c r="Q150" s="3724"/>
      <c r="R150" s="3724"/>
      <c r="S150" s="3724"/>
      <c r="T150" s="3724"/>
    </row>
    <row r="151" spans="1:20">
      <c r="A151" s="3724"/>
      <c r="B151" s="3724"/>
      <c r="C151" s="3724"/>
      <c r="D151" s="3724"/>
      <c r="E151" s="3724"/>
      <c r="F151" s="3724"/>
      <c r="G151" s="3724"/>
      <c r="H151" s="3724"/>
      <c r="I151" s="3724"/>
      <c r="J151" s="3724"/>
      <c r="K151" s="3724"/>
      <c r="L151" s="3724"/>
      <c r="M151" s="3724"/>
      <c r="N151" s="3724"/>
      <c r="O151" s="3724"/>
      <c r="P151" s="3724"/>
      <c r="Q151" s="3724"/>
      <c r="R151" s="3724"/>
      <c r="S151" s="3724"/>
      <c r="T151" s="3724"/>
    </row>
    <row r="153" spans="1:20">
      <c r="F153" s="4775" t="s">
        <v>3118</v>
      </c>
      <c r="G153" s="4775"/>
      <c r="H153" s="4775"/>
      <c r="I153" s="4775"/>
    </row>
    <row r="155" spans="1:20">
      <c r="C155" s="4775" t="s">
        <v>91</v>
      </c>
      <c r="D155" s="4775"/>
      <c r="E155" s="3713"/>
      <c r="F155" s="3713"/>
      <c r="G155" s="3714" t="s">
        <v>3102</v>
      </c>
      <c r="H155" s="3715">
        <f t="shared" ref="H155:H161" si="81">+J60+J137</f>
        <v>1213.95</v>
      </c>
      <c r="I155" s="3716" t="s">
        <v>1</v>
      </c>
    </row>
    <row r="156" spans="1:20">
      <c r="E156" s="3713"/>
      <c r="F156" s="3713"/>
      <c r="G156" s="3720" t="s">
        <v>3104</v>
      </c>
      <c r="H156" s="3715">
        <f t="shared" si="81"/>
        <v>1455.62</v>
      </c>
      <c r="I156" s="3716" t="s">
        <v>2</v>
      </c>
    </row>
    <row r="157" spans="1:20">
      <c r="E157" s="3713"/>
      <c r="F157" s="3713"/>
      <c r="G157" s="3714" t="s">
        <v>3106</v>
      </c>
      <c r="H157" s="3722">
        <f t="shared" si="81"/>
        <v>932.8</v>
      </c>
      <c r="I157" s="3716" t="s">
        <v>11</v>
      </c>
    </row>
    <row r="158" spans="1:20">
      <c r="E158" s="3713"/>
      <c r="F158" s="3713"/>
      <c r="G158" s="3714" t="s">
        <v>3108</v>
      </c>
      <c r="H158" s="3722">
        <f t="shared" si="81"/>
        <v>178.83</v>
      </c>
      <c r="I158" s="3716" t="s">
        <v>2</v>
      </c>
    </row>
    <row r="159" spans="1:20">
      <c r="E159" s="3713"/>
      <c r="F159" s="3713"/>
      <c r="G159" s="3714" t="s">
        <v>3110</v>
      </c>
      <c r="H159" s="3722">
        <f t="shared" si="81"/>
        <v>1166.01</v>
      </c>
      <c r="I159" s="3716" t="s">
        <v>2</v>
      </c>
    </row>
    <row r="160" spans="1:20">
      <c r="E160" s="3713"/>
      <c r="F160" s="3713"/>
      <c r="G160" s="3714" t="s">
        <v>3111</v>
      </c>
      <c r="H160" s="3722">
        <f t="shared" si="81"/>
        <v>347.53</v>
      </c>
      <c r="I160" s="3716" t="s">
        <v>2</v>
      </c>
    </row>
    <row r="161" spans="5:9">
      <c r="E161" s="3724"/>
      <c r="F161" s="3724"/>
      <c r="G161" s="3725" t="s">
        <v>3112</v>
      </c>
      <c r="H161" s="3726">
        <f t="shared" si="81"/>
        <v>1147.3685</v>
      </c>
      <c r="I161" s="3727" t="s">
        <v>1</v>
      </c>
    </row>
    <row r="162" spans="5:9">
      <c r="E162" s="3724"/>
      <c r="F162" s="3724"/>
      <c r="G162" s="3725" t="s">
        <v>3113</v>
      </c>
      <c r="H162" s="3726">
        <f>H161</f>
        <v>1147.3685</v>
      </c>
      <c r="I162" s="3727" t="s">
        <v>1</v>
      </c>
    </row>
    <row r="163" spans="5:9">
      <c r="E163" s="3724"/>
      <c r="F163" s="3724"/>
      <c r="G163" s="3729"/>
      <c r="H163" s="3729"/>
      <c r="I163" s="3729"/>
    </row>
    <row r="164" spans="5:9">
      <c r="E164" s="3724"/>
      <c r="F164" s="3724"/>
      <c r="G164" s="3725"/>
      <c r="H164" s="3732"/>
      <c r="I164" s="3727" t="s">
        <v>3</v>
      </c>
    </row>
    <row r="165" spans="5:9">
      <c r="E165" s="3724"/>
      <c r="F165" s="3724"/>
      <c r="G165" s="3725" t="s">
        <v>3114</v>
      </c>
      <c r="H165" s="3732">
        <f>ROUND(INT(A152/85),2)</f>
        <v>0</v>
      </c>
      <c r="I165" s="3727" t="s">
        <v>3</v>
      </c>
    </row>
    <row r="166" spans="5:9">
      <c r="E166" s="3724"/>
      <c r="F166" s="3724"/>
      <c r="G166" s="3725" t="s">
        <v>3115</v>
      </c>
      <c r="H166" s="3732">
        <v>15</v>
      </c>
      <c r="I166" s="3727" t="s">
        <v>3</v>
      </c>
    </row>
    <row r="167" spans="5:9">
      <c r="E167" s="3724"/>
      <c r="F167" s="3724"/>
      <c r="G167" s="3725" t="s">
        <v>3116</v>
      </c>
      <c r="H167" s="3732">
        <f>H166</f>
        <v>15</v>
      </c>
      <c r="I167" s="3727" t="s">
        <v>3</v>
      </c>
    </row>
  </sheetData>
  <customSheetViews>
    <customSheetView guid="{43BC9397-3E8C-478C-B548-E4A845A7F82B}" topLeftCell="A117">
      <selection activeCell="I137" sqref="I137"/>
      <pageMargins left="0.7" right="0.7" top="0.75" bottom="0.75" header="0.3" footer="0.3"/>
      <pageSetup paperSize="9" orientation="portrait" r:id="rId1"/>
    </customSheetView>
  </customSheetViews>
  <mergeCells count="14">
    <mergeCell ref="M73:N73"/>
    <mergeCell ref="A1:T1"/>
    <mergeCell ref="A2:T2"/>
    <mergeCell ref="A3:T3"/>
    <mergeCell ref="A4:T4"/>
    <mergeCell ref="A5:T5"/>
    <mergeCell ref="F153:I153"/>
    <mergeCell ref="C155:D155"/>
    <mergeCell ref="A78:T78"/>
    <mergeCell ref="A79:T79"/>
    <mergeCell ref="A80:T80"/>
    <mergeCell ref="A81:T81"/>
    <mergeCell ref="A82:T82"/>
    <mergeCell ref="M150:N150"/>
  </mergeCell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G168"/>
  <sheetViews>
    <sheetView workbookViewId="0">
      <selection activeCell="B4" sqref="B4:F4"/>
    </sheetView>
  </sheetViews>
  <sheetFormatPr baseColWidth="10" defaultColWidth="11.42578125" defaultRowHeight="15"/>
  <cols>
    <col min="1" max="1" width="11.42578125" style="3439"/>
    <col min="2" max="2" width="12.5703125" style="3439" customWidth="1"/>
    <col min="3" max="3" width="44.5703125" style="3439" customWidth="1"/>
    <col min="4" max="4" width="21.85546875" style="3439" customWidth="1"/>
    <col min="5" max="5" width="13.28515625" style="3439" customWidth="1"/>
    <col min="6" max="6" width="28.5703125" style="3439" customWidth="1"/>
    <col min="7" max="7" width="17" style="3439" customWidth="1"/>
    <col min="8" max="16384" width="11.42578125" style="3439"/>
  </cols>
  <sheetData>
    <row r="1" spans="1:7" ht="15.75">
      <c r="B1" s="4801" t="s">
        <v>2742</v>
      </c>
      <c r="C1" s="4801"/>
      <c r="D1" s="4801"/>
      <c r="E1" s="4801"/>
      <c r="F1" s="4801"/>
    </row>
    <row r="2" spans="1:7" ht="15.75">
      <c r="B2" s="4801" t="s">
        <v>2743</v>
      </c>
      <c r="C2" s="4801"/>
      <c r="D2" s="4801"/>
      <c r="E2" s="4801"/>
      <c r="F2" s="4801"/>
    </row>
    <row r="3" spans="1:7" ht="15.75">
      <c r="B3" s="3440"/>
      <c r="C3" s="3440"/>
      <c r="D3" s="3440"/>
      <c r="E3" s="3440"/>
      <c r="F3" s="3440"/>
    </row>
    <row r="4" spans="1:7" ht="15.75">
      <c r="B4" s="4801" t="s">
        <v>2744</v>
      </c>
      <c r="C4" s="4801"/>
      <c r="D4" s="4801"/>
      <c r="E4" s="4801"/>
      <c r="F4" s="4801"/>
    </row>
    <row r="5" spans="1:7" ht="16.5" thickBot="1">
      <c r="B5" s="4801" t="s">
        <v>2745</v>
      </c>
      <c r="C5" s="4801"/>
      <c r="D5" s="4801"/>
      <c r="E5" s="4801"/>
      <c r="F5" s="4801"/>
    </row>
    <row r="6" spans="1:7" ht="15" customHeight="1">
      <c r="B6" s="4874" t="s">
        <v>2746</v>
      </c>
      <c r="C6" s="4804" t="s">
        <v>2747</v>
      </c>
      <c r="D6" s="4806" t="s">
        <v>2748</v>
      </c>
      <c r="E6" s="4830" t="s">
        <v>286</v>
      </c>
      <c r="F6" s="4832" t="s">
        <v>2633</v>
      </c>
    </row>
    <row r="7" spans="1:7" ht="21" customHeight="1" thickBot="1">
      <c r="B7" s="4875"/>
      <c r="C7" s="4829"/>
      <c r="D7" s="4810"/>
      <c r="E7" s="4831"/>
      <c r="F7" s="4833"/>
    </row>
    <row r="8" spans="1:7">
      <c r="B8" s="3441" t="s">
        <v>2749</v>
      </c>
      <c r="C8" s="3442" t="s">
        <v>2750</v>
      </c>
      <c r="D8" s="3443"/>
      <c r="E8" s="4837">
        <v>2</v>
      </c>
      <c r="F8" s="4794" t="s">
        <v>2751</v>
      </c>
    </row>
    <row r="9" spans="1:7">
      <c r="B9" s="3444" t="s">
        <v>2752</v>
      </c>
      <c r="C9" s="3445" t="s">
        <v>2753</v>
      </c>
      <c r="D9" s="3446" t="s">
        <v>2754</v>
      </c>
      <c r="E9" s="4869"/>
      <c r="F9" s="4795"/>
    </row>
    <row r="10" spans="1:7">
      <c r="A10" s="3439">
        <v>1</v>
      </c>
      <c r="B10" s="3444" t="s">
        <v>2755</v>
      </c>
      <c r="C10" s="3445" t="s">
        <v>2756</v>
      </c>
      <c r="D10" s="3446" t="s">
        <v>2757</v>
      </c>
      <c r="E10" s="4869"/>
      <c r="F10" s="4795"/>
      <c r="G10" s="3439" t="s">
        <v>2758</v>
      </c>
    </row>
    <row r="11" spans="1:7">
      <c r="B11" s="3444" t="s">
        <v>2759</v>
      </c>
      <c r="C11" s="3445" t="s">
        <v>2760</v>
      </c>
      <c r="D11" s="3446" t="s">
        <v>2761</v>
      </c>
      <c r="E11" s="4869"/>
      <c r="F11" s="4795"/>
    </row>
    <row r="12" spans="1:7" ht="16.5" thickBot="1">
      <c r="B12" s="3444"/>
      <c r="C12" s="3447" t="s">
        <v>2762</v>
      </c>
      <c r="D12" s="3448"/>
      <c r="E12" s="4869"/>
      <c r="F12" s="4795"/>
    </row>
    <row r="13" spans="1:7">
      <c r="B13" s="3449"/>
      <c r="C13" s="3442" t="s">
        <v>2763</v>
      </c>
      <c r="D13" s="4870" t="s">
        <v>1245</v>
      </c>
      <c r="E13" s="4837">
        <v>2</v>
      </c>
      <c r="F13" s="3450" t="s">
        <v>43</v>
      </c>
    </row>
    <row r="14" spans="1:7">
      <c r="B14" s="3451"/>
      <c r="C14" s="3445" t="s">
        <v>2764</v>
      </c>
      <c r="D14" s="4871"/>
      <c r="E14" s="4869"/>
      <c r="F14" s="3452"/>
    </row>
    <row r="15" spans="1:7">
      <c r="B15" s="3451"/>
      <c r="C15" s="3453" t="s">
        <v>2765</v>
      </c>
      <c r="D15" s="4871"/>
      <c r="E15" s="4869"/>
      <c r="F15" s="3452"/>
    </row>
    <row r="16" spans="1:7">
      <c r="B16" s="3451"/>
      <c r="C16" s="3445" t="s">
        <v>2766</v>
      </c>
      <c r="D16" s="4871"/>
      <c r="E16" s="4869"/>
      <c r="F16" s="3452" t="s">
        <v>43</v>
      </c>
    </row>
    <row r="17" spans="1:6">
      <c r="B17" s="3451"/>
      <c r="C17" s="3445" t="s">
        <v>2934</v>
      </c>
      <c r="D17" s="4871"/>
      <c r="E17" s="4869"/>
      <c r="F17" s="3452" t="s">
        <v>2767</v>
      </c>
    </row>
    <row r="18" spans="1:6">
      <c r="A18" s="3439">
        <v>2</v>
      </c>
      <c r="B18" s="3454" t="s">
        <v>2768</v>
      </c>
      <c r="C18" s="3445" t="s">
        <v>2769</v>
      </c>
      <c r="D18" s="4871"/>
      <c r="E18" s="4869"/>
      <c r="F18" s="3452" t="s">
        <v>43</v>
      </c>
    </row>
    <row r="19" spans="1:6">
      <c r="B19" s="3454" t="s">
        <v>2770</v>
      </c>
      <c r="C19" s="3455" t="s">
        <v>2771</v>
      </c>
      <c r="D19" s="4871"/>
      <c r="E19" s="4869"/>
      <c r="F19" s="3452"/>
    </row>
    <row r="20" spans="1:6">
      <c r="B20" s="3451"/>
      <c r="C20" s="3445" t="s">
        <v>2772</v>
      </c>
      <c r="D20" s="4871"/>
      <c r="E20" s="4869"/>
      <c r="F20" s="3452"/>
    </row>
    <row r="21" spans="1:6">
      <c r="B21" s="3451"/>
      <c r="C21" s="3445" t="s">
        <v>2773</v>
      </c>
      <c r="D21" s="4871"/>
      <c r="E21" s="4869"/>
      <c r="F21" s="3452"/>
    </row>
    <row r="22" spans="1:6">
      <c r="B22" s="3451"/>
      <c r="C22" s="3445" t="s">
        <v>2774</v>
      </c>
      <c r="D22" s="4871"/>
      <c r="E22" s="4869"/>
      <c r="F22" s="3452"/>
    </row>
    <row r="23" spans="1:6" ht="15.75" thickBot="1">
      <c r="B23" s="3456"/>
      <c r="C23" s="3457" t="s">
        <v>2775</v>
      </c>
      <c r="D23" s="4872"/>
      <c r="E23" s="4873"/>
      <c r="F23" s="3458"/>
    </row>
    <row r="24" spans="1:6">
      <c r="B24" s="3454" t="s">
        <v>2776</v>
      </c>
      <c r="C24" s="3445" t="s">
        <v>2777</v>
      </c>
      <c r="D24" s="4798" t="s">
        <v>1245</v>
      </c>
      <c r="E24" s="4869">
        <v>1</v>
      </c>
      <c r="F24" s="4795" t="s">
        <v>43</v>
      </c>
    </row>
    <row r="25" spans="1:6">
      <c r="B25" s="3454" t="s">
        <v>2778</v>
      </c>
      <c r="C25" s="3445" t="s">
        <v>2779</v>
      </c>
      <c r="D25" s="4798"/>
      <c r="E25" s="4869"/>
      <c r="F25" s="4795"/>
    </row>
    <row r="26" spans="1:6">
      <c r="A26" s="3439">
        <v>3</v>
      </c>
      <c r="B26" s="3454" t="s">
        <v>2780</v>
      </c>
      <c r="C26" s="3445" t="s">
        <v>2781</v>
      </c>
      <c r="D26" s="4798"/>
      <c r="E26" s="4869"/>
      <c r="F26" s="4795"/>
    </row>
    <row r="27" spans="1:6" ht="15.75" thickBot="1">
      <c r="B27" s="3459" t="s">
        <v>2782</v>
      </c>
      <c r="C27" s="3460"/>
      <c r="D27" s="4799"/>
      <c r="E27" s="4873"/>
      <c r="F27" s="4813"/>
    </row>
    <row r="28" spans="1:6">
      <c r="B28" s="3441"/>
      <c r="C28" s="3442" t="s">
        <v>2783</v>
      </c>
      <c r="D28" s="3442"/>
      <c r="E28" s="4797">
        <v>1</v>
      </c>
      <c r="F28" s="4794" t="s">
        <v>43</v>
      </c>
    </row>
    <row r="29" spans="1:6">
      <c r="B29" s="3444"/>
      <c r="C29" s="3445" t="s">
        <v>2784</v>
      </c>
      <c r="D29" s="3445" t="s">
        <v>43</v>
      </c>
      <c r="E29" s="4798"/>
      <c r="F29" s="4795"/>
    </row>
    <row r="30" spans="1:6">
      <c r="A30" s="3439">
        <v>4</v>
      </c>
      <c r="B30" s="3444" t="s">
        <v>2768</v>
      </c>
      <c r="C30" s="3445" t="s">
        <v>2785</v>
      </c>
      <c r="D30" s="3461" t="s">
        <v>2786</v>
      </c>
      <c r="E30" s="4798"/>
      <c r="F30" s="4795"/>
    </row>
    <row r="31" spans="1:6">
      <c r="B31" s="3444" t="s">
        <v>2599</v>
      </c>
      <c r="C31" s="3445" t="s">
        <v>2787</v>
      </c>
      <c r="D31" s="3461" t="s">
        <v>2788</v>
      </c>
      <c r="E31" s="4798"/>
      <c r="F31" s="4795"/>
    </row>
    <row r="32" spans="1:6" ht="15.75" thickBot="1">
      <c r="B32" s="3462"/>
      <c r="C32" s="3457" t="s">
        <v>2789</v>
      </c>
      <c r="D32" s="3457"/>
      <c r="E32" s="4799"/>
      <c r="F32" s="4813"/>
    </row>
    <row r="33" spans="2:7">
      <c r="B33" s="3463"/>
      <c r="C33" s="3464"/>
      <c r="D33" s="3464"/>
      <c r="E33" s="3465"/>
      <c r="F33" s="3466" t="s">
        <v>2790</v>
      </c>
    </row>
    <row r="34" spans="2:7" ht="15.75">
      <c r="B34" s="4801" t="s">
        <v>2744</v>
      </c>
      <c r="C34" s="4801"/>
      <c r="D34" s="4801"/>
      <c r="E34" s="4801"/>
      <c r="F34" s="4801"/>
    </row>
    <row r="35" spans="2:7" ht="16.5" thickBot="1">
      <c r="B35" s="4801" t="s">
        <v>2791</v>
      </c>
      <c r="C35" s="4801"/>
      <c r="D35" s="4801"/>
      <c r="E35" s="4801"/>
      <c r="F35" s="4801"/>
    </row>
    <row r="36" spans="2:7" ht="15" customHeight="1">
      <c r="B36" s="4874" t="s">
        <v>2746</v>
      </c>
      <c r="C36" s="4804" t="s">
        <v>2747</v>
      </c>
      <c r="D36" s="4806" t="s">
        <v>2748</v>
      </c>
      <c r="E36" s="4808" t="s">
        <v>286</v>
      </c>
      <c r="F36" s="4877" t="s">
        <v>2633</v>
      </c>
    </row>
    <row r="37" spans="2:7" ht="15.75" customHeight="1" thickBot="1">
      <c r="B37" s="4875"/>
      <c r="C37" s="4829"/>
      <c r="D37" s="4810"/>
      <c r="E37" s="4876"/>
      <c r="F37" s="4878"/>
    </row>
    <row r="38" spans="2:7" ht="15.75" customHeight="1">
      <c r="B38" s="3467"/>
      <c r="C38" s="3468" t="s">
        <v>2792</v>
      </c>
      <c r="D38" s="3469"/>
      <c r="E38" s="4865">
        <v>17</v>
      </c>
      <c r="F38" s="4866" t="s">
        <v>43</v>
      </c>
    </row>
    <row r="39" spans="2:7" ht="16.5">
      <c r="B39" s="3470"/>
      <c r="C39" s="3471" t="s">
        <v>2793</v>
      </c>
      <c r="D39" s="3472" t="s">
        <v>2794</v>
      </c>
      <c r="E39" s="4785"/>
      <c r="F39" s="4867"/>
    </row>
    <row r="40" spans="2:7" ht="16.5">
      <c r="B40" s="3473" t="s">
        <v>2795</v>
      </c>
      <c r="C40" s="3471" t="s">
        <v>2796</v>
      </c>
      <c r="D40" s="3472" t="s">
        <v>2797</v>
      </c>
      <c r="E40" s="4785"/>
      <c r="F40" s="4867"/>
      <c r="G40" s="3439" t="s">
        <v>2636</v>
      </c>
    </row>
    <row r="41" spans="2:7" ht="18">
      <c r="B41" s="3473" t="s">
        <v>2798</v>
      </c>
      <c r="C41" s="3471" t="s">
        <v>2799</v>
      </c>
      <c r="D41" s="3474" t="s">
        <v>43</v>
      </c>
      <c r="E41" s="4785"/>
      <c r="F41" s="4867"/>
    </row>
    <row r="42" spans="2:7" ht="15.75" thickBot="1">
      <c r="B42" s="3475"/>
      <c r="C42" s="3476" t="s">
        <v>2800</v>
      </c>
      <c r="D42" s="3477"/>
      <c r="E42" s="4785"/>
      <c r="F42" s="4868"/>
    </row>
    <row r="43" spans="2:7">
      <c r="B43" s="3478"/>
      <c r="C43" s="3443" t="s">
        <v>2801</v>
      </c>
      <c r="D43" s="4864" t="s">
        <v>2802</v>
      </c>
      <c r="E43" s="4864">
        <v>1</v>
      </c>
      <c r="F43" s="4864" t="s">
        <v>2803</v>
      </c>
    </row>
    <row r="44" spans="2:7">
      <c r="B44" s="3454"/>
      <c r="C44" s="3448" t="s">
        <v>2804</v>
      </c>
      <c r="D44" s="4850"/>
      <c r="E44" s="4850"/>
      <c r="F44" s="4850"/>
    </row>
    <row r="45" spans="2:7" ht="15" customHeight="1">
      <c r="B45" s="3454"/>
      <c r="C45" s="3448" t="s">
        <v>2805</v>
      </c>
      <c r="D45" s="4851"/>
      <c r="E45" s="4851"/>
      <c r="F45" s="4851"/>
    </row>
    <row r="46" spans="2:7">
      <c r="B46" s="3454" t="s">
        <v>990</v>
      </c>
      <c r="C46" s="3448" t="s">
        <v>43</v>
      </c>
      <c r="D46" s="4849" t="s">
        <v>2806</v>
      </c>
      <c r="E46" s="4849">
        <v>1</v>
      </c>
      <c r="F46" s="4849" t="s">
        <v>2803</v>
      </c>
    </row>
    <row r="47" spans="2:7">
      <c r="B47" s="3454" t="s">
        <v>2807</v>
      </c>
      <c r="C47" s="3448" t="s">
        <v>2808</v>
      </c>
      <c r="D47" s="4850"/>
      <c r="E47" s="4850"/>
      <c r="F47" s="4850"/>
    </row>
    <row r="48" spans="2:7">
      <c r="B48" s="3454"/>
      <c r="C48" s="3448" t="s">
        <v>2809</v>
      </c>
      <c r="D48" s="4851"/>
      <c r="E48" s="4851"/>
      <c r="F48" s="4851"/>
    </row>
    <row r="49" spans="2:6">
      <c r="B49" s="3454"/>
      <c r="C49" s="3448" t="s">
        <v>2810</v>
      </c>
      <c r="D49" s="4853" t="s">
        <v>2811</v>
      </c>
      <c r="E49" s="4850">
        <v>1</v>
      </c>
      <c r="F49" s="4850" t="s">
        <v>2803</v>
      </c>
    </row>
    <row r="50" spans="2:6" ht="15.75" thickBot="1">
      <c r="B50" s="3459"/>
      <c r="C50" s="3479" t="s">
        <v>2812</v>
      </c>
      <c r="D50" s="4854"/>
      <c r="E50" s="4855"/>
      <c r="F50" s="4855"/>
    </row>
    <row r="51" spans="2:6" hidden="1">
      <c r="B51" s="4856" t="s">
        <v>2813</v>
      </c>
      <c r="C51" s="3480" t="s">
        <v>2814</v>
      </c>
      <c r="D51" s="4858" t="s">
        <v>2815</v>
      </c>
      <c r="E51" s="4858">
        <v>1</v>
      </c>
      <c r="F51" s="4859" t="s">
        <v>2816</v>
      </c>
    </row>
    <row r="52" spans="2:6" hidden="1">
      <c r="B52" s="4856"/>
      <c r="C52" s="3480" t="s">
        <v>2817</v>
      </c>
      <c r="D52" s="4858"/>
      <c r="E52" s="4858"/>
      <c r="F52" s="4859"/>
    </row>
    <row r="53" spans="2:6" hidden="1">
      <c r="B53" s="4856"/>
      <c r="C53" s="3480" t="s">
        <v>2818</v>
      </c>
      <c r="D53" s="4860" t="s">
        <v>2819</v>
      </c>
      <c r="E53" s="4860">
        <v>1</v>
      </c>
      <c r="F53" s="4862" t="s">
        <v>2816</v>
      </c>
    </row>
    <row r="54" spans="2:6" ht="15.75" hidden="1" thickBot="1">
      <c r="B54" s="4857"/>
      <c r="C54" s="3481" t="s">
        <v>2820</v>
      </c>
      <c r="D54" s="4861"/>
      <c r="E54" s="4861"/>
      <c r="F54" s="4863"/>
    </row>
    <row r="55" spans="2:6">
      <c r="B55" s="3482"/>
      <c r="C55" s="3448" t="s">
        <v>2821</v>
      </c>
      <c r="D55" s="3483"/>
      <c r="E55" s="3483"/>
      <c r="F55" s="4795" t="s">
        <v>43</v>
      </c>
    </row>
    <row r="56" spans="2:6">
      <c r="B56" s="3444" t="s">
        <v>2822</v>
      </c>
      <c r="C56" s="3448" t="s">
        <v>2823</v>
      </c>
      <c r="D56" s="3483"/>
      <c r="E56" s="3483"/>
      <c r="F56" s="4795"/>
    </row>
    <row r="57" spans="2:6">
      <c r="B57" s="3444" t="s">
        <v>2824</v>
      </c>
      <c r="C57" s="3448" t="s">
        <v>2825</v>
      </c>
      <c r="D57" s="3484" t="s">
        <v>1245</v>
      </c>
      <c r="E57" s="3484">
        <v>1</v>
      </c>
      <c r="F57" s="4795"/>
    </row>
    <row r="58" spans="2:6">
      <c r="B58" s="3482"/>
      <c r="C58" s="3448" t="s">
        <v>2826</v>
      </c>
      <c r="D58" s="3483"/>
      <c r="E58" s="3483"/>
      <c r="F58" s="4795"/>
    </row>
    <row r="59" spans="2:6" ht="15.75" thickBot="1">
      <c r="B59" s="3485"/>
      <c r="C59" s="3479" t="s">
        <v>2827</v>
      </c>
      <c r="D59" s="3486"/>
      <c r="E59" s="3486"/>
      <c r="F59" s="4813"/>
    </row>
    <row r="60" spans="2:6">
      <c r="B60" s="3473"/>
      <c r="C60" s="3487" t="s">
        <v>2828</v>
      </c>
      <c r="D60" s="4785" t="s">
        <v>2829</v>
      </c>
      <c r="E60" s="3488"/>
      <c r="F60" s="3489"/>
    </row>
    <row r="61" spans="2:6">
      <c r="B61" s="3473" t="s">
        <v>2830</v>
      </c>
      <c r="C61" s="3490" t="s">
        <v>2831</v>
      </c>
      <c r="D61" s="4785"/>
      <c r="E61" s="4852">
        <v>1</v>
      </c>
      <c r="F61" s="3489"/>
    </row>
    <row r="62" spans="2:6">
      <c r="B62" s="3473" t="s">
        <v>2832</v>
      </c>
      <c r="C62" s="3487" t="s">
        <v>2833</v>
      </c>
      <c r="D62" s="4785"/>
      <c r="E62" s="4781"/>
      <c r="F62" s="3489"/>
    </row>
    <row r="63" spans="2:6" ht="15.75" thickBot="1">
      <c r="B63" s="3473"/>
      <c r="C63" s="3491" t="s">
        <v>2834</v>
      </c>
      <c r="D63" s="4785"/>
      <c r="E63" s="3492">
        <v>5</v>
      </c>
      <c r="F63" s="3489"/>
    </row>
    <row r="64" spans="2:6" ht="15.75" customHeight="1">
      <c r="B64" s="4790" t="s">
        <v>2813</v>
      </c>
      <c r="C64" s="3443" t="s">
        <v>2835</v>
      </c>
      <c r="D64" s="4839" t="s">
        <v>2836</v>
      </c>
      <c r="E64" s="4841">
        <v>4</v>
      </c>
      <c r="F64" s="4843" t="s">
        <v>2837</v>
      </c>
    </row>
    <row r="65" spans="2:6" ht="15" customHeight="1">
      <c r="B65" s="4791"/>
      <c r="C65" s="3448" t="s">
        <v>2838</v>
      </c>
      <c r="D65" s="4840"/>
      <c r="E65" s="4842"/>
      <c r="F65" s="4844"/>
    </row>
    <row r="66" spans="2:6" ht="15" customHeight="1">
      <c r="B66" s="4791"/>
      <c r="C66" s="3448" t="s">
        <v>2839</v>
      </c>
      <c r="D66" s="3490" t="s">
        <v>2840</v>
      </c>
      <c r="E66" s="4846">
        <v>4</v>
      </c>
      <c r="F66" s="4844"/>
    </row>
    <row r="67" spans="2:6" ht="15" customHeight="1">
      <c r="B67" s="4791"/>
      <c r="C67" s="3448" t="s">
        <v>2818</v>
      </c>
      <c r="D67" s="3491" t="s">
        <v>2841</v>
      </c>
      <c r="E67" s="4847"/>
      <c r="F67" s="4844"/>
    </row>
    <row r="68" spans="2:6" ht="15.75" customHeight="1" thickBot="1">
      <c r="B68" s="4796"/>
      <c r="C68" s="3479" t="s">
        <v>2820</v>
      </c>
      <c r="D68" s="3486"/>
      <c r="E68" s="4848"/>
      <c r="F68" s="4845"/>
    </row>
    <row r="69" spans="2:6" ht="15.75" customHeight="1">
      <c r="B69" s="3465"/>
      <c r="C69" s="3464"/>
      <c r="D69" s="3493"/>
      <c r="E69" s="3494"/>
      <c r="F69" s="3465"/>
    </row>
    <row r="70" spans="2:6" ht="13.5" customHeight="1">
      <c r="B70" s="3495"/>
      <c r="C70" s="3496"/>
      <c r="D70" s="3495"/>
      <c r="E70" s="3495"/>
      <c r="F70" s="3466" t="s">
        <v>2842</v>
      </c>
    </row>
    <row r="71" spans="2:6" ht="15.75" customHeight="1">
      <c r="B71" s="4801" t="s">
        <v>2744</v>
      </c>
      <c r="C71" s="4801"/>
      <c r="D71" s="4801"/>
      <c r="E71" s="4801"/>
      <c r="F71" s="4801"/>
    </row>
    <row r="72" spans="2:6" ht="15.75" customHeight="1" thickBot="1">
      <c r="B72" s="4801" t="s">
        <v>2791</v>
      </c>
      <c r="C72" s="4801"/>
      <c r="D72" s="4801"/>
      <c r="E72" s="4801"/>
      <c r="F72" s="4801"/>
    </row>
    <row r="73" spans="2:6" ht="15" customHeight="1">
      <c r="B73" s="4802" t="s">
        <v>2746</v>
      </c>
      <c r="C73" s="4804" t="s">
        <v>2747</v>
      </c>
      <c r="D73" s="4806" t="s">
        <v>2748</v>
      </c>
      <c r="E73" s="4830" t="s">
        <v>286</v>
      </c>
      <c r="F73" s="4832" t="s">
        <v>2633</v>
      </c>
    </row>
    <row r="74" spans="2:6" ht="15" customHeight="1" thickBot="1">
      <c r="B74" s="4828"/>
      <c r="C74" s="4829"/>
      <c r="D74" s="4810"/>
      <c r="E74" s="4831"/>
      <c r="F74" s="4833"/>
    </row>
    <row r="75" spans="2:6">
      <c r="B75" s="3449"/>
      <c r="C75" s="3442" t="s">
        <v>2843</v>
      </c>
      <c r="D75" s="4834" t="s">
        <v>2844</v>
      </c>
      <c r="E75" s="4792">
        <v>749.09</v>
      </c>
      <c r="F75" s="3450" t="s">
        <v>43</v>
      </c>
    </row>
    <row r="76" spans="2:6">
      <c r="B76" s="3444" t="s">
        <v>2845</v>
      </c>
      <c r="C76" s="3445" t="s">
        <v>2846</v>
      </c>
      <c r="D76" s="4835"/>
      <c r="E76" s="4798"/>
      <c r="F76" s="3452"/>
    </row>
    <row r="77" spans="2:6">
      <c r="B77" s="3444" t="s">
        <v>2847</v>
      </c>
      <c r="C77" s="3445" t="s">
        <v>2848</v>
      </c>
      <c r="D77" s="4835"/>
      <c r="E77" s="4798"/>
      <c r="F77" s="3452" t="s">
        <v>2849</v>
      </c>
    </row>
    <row r="78" spans="2:6" ht="18">
      <c r="B78" s="3444" t="s">
        <v>2850</v>
      </c>
      <c r="C78" s="3445" t="s">
        <v>2851</v>
      </c>
      <c r="D78" s="4835"/>
      <c r="E78" s="4798"/>
      <c r="F78" s="3452" t="s">
        <v>2852</v>
      </c>
    </row>
    <row r="79" spans="2:6">
      <c r="B79" s="3444"/>
      <c r="C79" s="3497" t="s">
        <v>2853</v>
      </c>
      <c r="D79" s="4835"/>
      <c r="E79" s="4798"/>
      <c r="F79" s="3452" t="s">
        <v>43</v>
      </c>
    </row>
    <row r="80" spans="2:6">
      <c r="B80" s="3444"/>
      <c r="C80" s="3445" t="s">
        <v>2854</v>
      </c>
      <c r="D80" s="4836"/>
      <c r="E80" s="4798"/>
      <c r="F80" s="3452"/>
    </row>
    <row r="81" spans="2:7" ht="15.75" thickBot="1">
      <c r="B81" s="3498"/>
      <c r="C81" s="3445" t="s">
        <v>2855</v>
      </c>
      <c r="D81" s="4836"/>
      <c r="E81" s="4798"/>
      <c r="F81" s="3452"/>
    </row>
    <row r="82" spans="2:7">
      <c r="B82" s="3521"/>
      <c r="C82" s="3522" t="s">
        <v>2856</v>
      </c>
      <c r="D82" s="4837" t="s">
        <v>2857</v>
      </c>
      <c r="E82" s="4837">
        <v>3</v>
      </c>
      <c r="F82" s="4782" t="s">
        <v>2858</v>
      </c>
    </row>
    <row r="83" spans="2:7">
      <c r="B83" s="3523" t="s">
        <v>2859</v>
      </c>
      <c r="C83" s="3524" t="s">
        <v>2860</v>
      </c>
      <c r="D83" s="4838"/>
      <c r="E83" s="4838"/>
      <c r="F83" s="4787"/>
    </row>
    <row r="84" spans="2:7" ht="15.75" thickBot="1">
      <c r="B84" s="3525" t="s">
        <v>2861</v>
      </c>
      <c r="C84" s="3526" t="s">
        <v>2862</v>
      </c>
      <c r="D84" s="3527" t="s">
        <v>2863</v>
      </c>
      <c r="E84" s="3528">
        <v>1</v>
      </c>
      <c r="F84" s="3529"/>
    </row>
    <row r="85" spans="2:7">
      <c r="B85" s="3478"/>
      <c r="C85" s="3443" t="s">
        <v>2864</v>
      </c>
      <c r="D85" s="4797" t="s">
        <v>2865</v>
      </c>
      <c r="E85" s="4797">
        <v>1</v>
      </c>
      <c r="F85" s="4794" t="s">
        <v>2866</v>
      </c>
    </row>
    <row r="86" spans="2:7">
      <c r="B86" s="3454"/>
      <c r="C86" s="3448" t="s">
        <v>2810</v>
      </c>
      <c r="D86" s="4826"/>
      <c r="E86" s="4826"/>
      <c r="F86" s="4827"/>
      <c r="G86" s="3499"/>
    </row>
    <row r="87" spans="2:7">
      <c r="B87" s="3454"/>
      <c r="C87" s="3448" t="s">
        <v>2809</v>
      </c>
      <c r="D87" s="3484" t="s">
        <v>2867</v>
      </c>
      <c r="E87" s="4798">
        <v>4</v>
      </c>
      <c r="F87" s="4795" t="s">
        <v>2866</v>
      </c>
    </row>
    <row r="88" spans="2:7">
      <c r="B88" s="3454"/>
      <c r="C88" s="3448" t="s">
        <v>2868</v>
      </c>
      <c r="D88" s="3484"/>
      <c r="E88" s="4798"/>
      <c r="F88" s="4795"/>
    </row>
    <row r="89" spans="2:7">
      <c r="B89" s="3454"/>
      <c r="C89" s="3448" t="s">
        <v>2869</v>
      </c>
      <c r="D89" s="3500"/>
      <c r="E89" s="4826"/>
      <c r="F89" s="4827"/>
    </row>
    <row r="90" spans="2:7">
      <c r="B90" s="3454" t="s">
        <v>990</v>
      </c>
      <c r="C90" s="3448" t="s">
        <v>2870</v>
      </c>
      <c r="D90" s="3501"/>
      <c r="E90" s="4811">
        <v>4</v>
      </c>
      <c r="F90" s="4812" t="s">
        <v>2871</v>
      </c>
    </row>
    <row r="91" spans="2:7">
      <c r="B91" s="3454" t="s">
        <v>2872</v>
      </c>
      <c r="C91" s="3448" t="s">
        <v>2873</v>
      </c>
      <c r="D91" s="3502" t="s">
        <v>2874</v>
      </c>
      <c r="E91" s="4798"/>
      <c r="F91" s="4795"/>
    </row>
    <row r="92" spans="2:7">
      <c r="B92" s="3454"/>
      <c r="C92" s="3448" t="s">
        <v>2875</v>
      </c>
      <c r="D92" s="3503" t="s">
        <v>2876</v>
      </c>
      <c r="E92" s="4826"/>
      <c r="F92" s="4827"/>
    </row>
    <row r="93" spans="2:7" ht="15" customHeight="1">
      <c r="B93" s="3454"/>
      <c r="C93" s="3448" t="s">
        <v>2877</v>
      </c>
      <c r="D93" s="3504" t="s">
        <v>2878</v>
      </c>
      <c r="E93" s="4811">
        <v>4</v>
      </c>
      <c r="F93" s="4812" t="s">
        <v>2879</v>
      </c>
    </row>
    <row r="94" spans="2:7">
      <c r="B94" s="3454"/>
      <c r="C94" s="3448" t="s">
        <v>2880</v>
      </c>
      <c r="D94" s="3483" t="s">
        <v>2881</v>
      </c>
      <c r="E94" s="4798"/>
      <c r="F94" s="4795"/>
    </row>
    <row r="95" spans="2:7">
      <c r="B95" s="3454"/>
      <c r="C95" s="3448" t="s">
        <v>2882</v>
      </c>
      <c r="D95" s="3505"/>
      <c r="E95" s="4826"/>
      <c r="F95" s="4827"/>
    </row>
    <row r="96" spans="2:7">
      <c r="B96" s="3454"/>
      <c r="C96" s="3448" t="s">
        <v>2883</v>
      </c>
      <c r="D96" s="3490" t="s">
        <v>2884</v>
      </c>
      <c r="E96" s="4811">
        <v>4</v>
      </c>
      <c r="F96" s="4812" t="s">
        <v>2879</v>
      </c>
    </row>
    <row r="97" spans="2:6">
      <c r="B97" s="3454"/>
      <c r="C97" s="3448" t="s">
        <v>2885</v>
      </c>
      <c r="D97" s="3483" t="s">
        <v>2876</v>
      </c>
      <c r="E97" s="4798"/>
      <c r="F97" s="4795"/>
    </row>
    <row r="98" spans="2:6" ht="15.75" thickBot="1">
      <c r="B98" s="3459"/>
      <c r="C98" s="3479" t="s">
        <v>2812</v>
      </c>
      <c r="D98" s="3486"/>
      <c r="E98" s="4799"/>
      <c r="F98" s="4813"/>
    </row>
    <row r="99" spans="2:6">
      <c r="B99" s="4814" t="s">
        <v>2886</v>
      </c>
      <c r="C99" s="3442" t="s">
        <v>2887</v>
      </c>
      <c r="D99" s="4817" t="s">
        <v>2888</v>
      </c>
      <c r="E99" s="4820" t="e">
        <v>#REF!</v>
      </c>
      <c r="F99" s="4823" t="s">
        <v>2889</v>
      </c>
    </row>
    <row r="100" spans="2:6">
      <c r="B100" s="4815"/>
      <c r="C100" s="3445" t="s">
        <v>2890</v>
      </c>
      <c r="D100" s="4818"/>
      <c r="E100" s="4821"/>
      <c r="F100" s="4824"/>
    </row>
    <row r="101" spans="2:6">
      <c r="B101" s="4815"/>
      <c r="C101" s="3445" t="s">
        <v>2891</v>
      </c>
      <c r="D101" s="4818"/>
      <c r="E101" s="4821"/>
      <c r="F101" s="4824"/>
    </row>
    <row r="102" spans="2:6">
      <c r="B102" s="4815"/>
      <c r="C102" s="3445" t="s">
        <v>2892</v>
      </c>
      <c r="D102" s="4818"/>
      <c r="E102" s="4821"/>
      <c r="F102" s="4824"/>
    </row>
    <row r="103" spans="2:6" ht="15.75" thickBot="1">
      <c r="B103" s="4816"/>
      <c r="C103" s="3457" t="s">
        <v>2893</v>
      </c>
      <c r="D103" s="4819"/>
      <c r="E103" s="4822"/>
      <c r="F103" s="4825"/>
    </row>
    <row r="104" spans="2:6">
      <c r="B104" s="3465"/>
      <c r="C104" s="3464"/>
      <c r="D104" s="3465"/>
      <c r="E104" s="3506"/>
      <c r="F104" s="3466" t="s">
        <v>2894</v>
      </c>
    </row>
    <row r="105" spans="2:6" ht="15.75">
      <c r="B105" s="4800" t="s">
        <v>2744</v>
      </c>
      <c r="C105" s="4800"/>
      <c r="D105" s="4800"/>
      <c r="E105" s="4800"/>
      <c r="F105" s="4800"/>
    </row>
    <row r="106" spans="2:6" ht="16.5" thickBot="1">
      <c r="B106" s="4801" t="s">
        <v>2791</v>
      </c>
      <c r="C106" s="4801"/>
      <c r="D106" s="4801"/>
      <c r="E106" s="4801"/>
      <c r="F106" s="4801"/>
    </row>
    <row r="107" spans="2:6" ht="15" customHeight="1">
      <c r="B107" s="4802" t="s">
        <v>2746</v>
      </c>
      <c r="C107" s="4804" t="s">
        <v>2747</v>
      </c>
      <c r="D107" s="4806" t="s">
        <v>2748</v>
      </c>
      <c r="E107" s="4808" t="s">
        <v>286</v>
      </c>
      <c r="F107" s="4806" t="s">
        <v>2633</v>
      </c>
    </row>
    <row r="108" spans="2:6" ht="15.75" customHeight="1" thickBot="1">
      <c r="B108" s="4803"/>
      <c r="C108" s="4805"/>
      <c r="D108" s="4807"/>
      <c r="E108" s="4809"/>
      <c r="F108" s="4810"/>
    </row>
    <row r="109" spans="2:6" ht="15.75">
      <c r="B109" s="4790" t="s">
        <v>2408</v>
      </c>
      <c r="C109" s="3507" t="s">
        <v>2895</v>
      </c>
      <c r="D109" s="3442"/>
      <c r="E109" s="3442"/>
      <c r="F109" s="3508"/>
    </row>
    <row r="110" spans="2:6">
      <c r="B110" s="4791"/>
      <c r="C110" s="3445" t="s">
        <v>2896</v>
      </c>
      <c r="D110" s="3445"/>
      <c r="E110" s="3445"/>
      <c r="F110" s="3509"/>
    </row>
    <row r="111" spans="2:6">
      <c r="B111" s="4791"/>
      <c r="C111" s="3445" t="s">
        <v>2897</v>
      </c>
      <c r="D111" s="3445"/>
      <c r="E111" s="3445"/>
      <c r="F111" s="3509"/>
    </row>
    <row r="112" spans="2:6">
      <c r="B112" s="4791"/>
      <c r="C112" s="3445" t="s">
        <v>2898</v>
      </c>
      <c r="D112" s="3445"/>
      <c r="E112" s="3445"/>
      <c r="F112" s="3509"/>
    </row>
    <row r="113" spans="2:6">
      <c r="B113" s="4791"/>
      <c r="C113" s="3445" t="s">
        <v>2899</v>
      </c>
      <c r="D113" s="3484" t="s">
        <v>2900</v>
      </c>
      <c r="E113" s="3484" t="s">
        <v>2901</v>
      </c>
      <c r="F113" s="3509"/>
    </row>
    <row r="114" spans="2:6" ht="15.75">
      <c r="B114" s="4791"/>
      <c r="C114" s="3510" t="s">
        <v>2902</v>
      </c>
      <c r="D114" s="3484" t="s">
        <v>2903</v>
      </c>
      <c r="E114" s="3484" t="s">
        <v>2904</v>
      </c>
      <c r="F114" s="3509"/>
    </row>
    <row r="115" spans="2:6" ht="15.75">
      <c r="B115" s="4791"/>
      <c r="C115" s="3511" t="s">
        <v>2905</v>
      </c>
      <c r="D115" s="3445"/>
      <c r="E115" s="3445"/>
      <c r="F115" s="3509"/>
    </row>
    <row r="116" spans="2:6">
      <c r="B116" s="4791"/>
      <c r="C116" s="3445" t="s">
        <v>2897</v>
      </c>
      <c r="D116" s="3445"/>
      <c r="E116" s="3445"/>
      <c r="F116" s="3509"/>
    </row>
    <row r="117" spans="2:6">
      <c r="B117" s="4791"/>
      <c r="C117" s="3445" t="s">
        <v>2906</v>
      </c>
      <c r="D117" s="3445"/>
      <c r="E117" s="3445"/>
      <c r="F117" s="3509"/>
    </row>
    <row r="118" spans="2:6" ht="15.75" thickBot="1">
      <c r="B118" s="4791"/>
      <c r="C118" s="3445" t="s">
        <v>2899</v>
      </c>
      <c r="D118" s="3445"/>
      <c r="E118" s="3445"/>
      <c r="F118" s="3509"/>
    </row>
    <row r="119" spans="2:6">
      <c r="B119" s="4790" t="s">
        <v>2907</v>
      </c>
      <c r="C119" s="3442" t="s">
        <v>2908</v>
      </c>
      <c r="D119" s="3442"/>
      <c r="E119" s="4792">
        <v>65</v>
      </c>
      <c r="F119" s="4794" t="s">
        <v>2909</v>
      </c>
    </row>
    <row r="120" spans="2:6">
      <c r="B120" s="4791"/>
      <c r="C120" s="3445" t="s">
        <v>2910</v>
      </c>
      <c r="D120" s="3445"/>
      <c r="E120" s="4793"/>
      <c r="F120" s="4795"/>
    </row>
    <row r="121" spans="2:6">
      <c r="B121" s="4791"/>
      <c r="C121" s="3445" t="s">
        <v>2911</v>
      </c>
      <c r="D121" s="3461" t="s">
        <v>2912</v>
      </c>
      <c r="E121" s="4793"/>
      <c r="F121" s="4795"/>
    </row>
    <row r="122" spans="2:6">
      <c r="B122" s="4791"/>
      <c r="C122" s="3445" t="s">
        <v>2913</v>
      </c>
      <c r="D122" s="3461" t="s">
        <v>2914</v>
      </c>
      <c r="E122" s="4793"/>
      <c r="F122" s="4795"/>
    </row>
    <row r="123" spans="2:6">
      <c r="B123" s="4791"/>
      <c r="C123" s="3445" t="s">
        <v>2915</v>
      </c>
      <c r="D123" s="3461" t="s">
        <v>43</v>
      </c>
      <c r="E123" s="4793"/>
      <c r="F123" s="4795"/>
    </row>
    <row r="124" spans="2:6">
      <c r="B124" s="4791"/>
      <c r="C124" s="3445" t="s">
        <v>2916</v>
      </c>
      <c r="D124" s="3445"/>
      <c r="E124" s="4793"/>
      <c r="F124" s="4795"/>
    </row>
    <row r="125" spans="2:6" ht="15.75" thickBot="1">
      <c r="B125" s="4791"/>
      <c r="C125" s="3445" t="s">
        <v>2917</v>
      </c>
      <c r="D125" s="3445"/>
      <c r="E125" s="4793"/>
      <c r="F125" s="4795"/>
    </row>
    <row r="126" spans="2:6">
      <c r="B126" s="4790" t="s">
        <v>2918</v>
      </c>
      <c r="C126" s="3512" t="s">
        <v>2919</v>
      </c>
      <c r="D126" s="4797" t="s">
        <v>2920</v>
      </c>
      <c r="E126" s="3442"/>
      <c r="F126" s="3508"/>
    </row>
    <row r="127" spans="2:6">
      <c r="B127" s="4791"/>
      <c r="C127" s="3513" t="s">
        <v>2921</v>
      </c>
      <c r="D127" s="4798"/>
      <c r="E127" s="3445"/>
      <c r="F127" s="3509"/>
    </row>
    <row r="128" spans="2:6">
      <c r="B128" s="4791"/>
      <c r="C128" s="3513" t="s">
        <v>2922</v>
      </c>
      <c r="D128" s="4798"/>
      <c r="E128" s="3445"/>
      <c r="F128" s="3509"/>
    </row>
    <row r="129" spans="2:7">
      <c r="B129" s="4791"/>
      <c r="C129" s="3513" t="s">
        <v>2923</v>
      </c>
      <c r="D129" s="4798"/>
      <c r="E129" s="3461" t="s">
        <v>2901</v>
      </c>
      <c r="F129" s="3509"/>
    </row>
    <row r="130" spans="2:7">
      <c r="B130" s="4791"/>
      <c r="C130" s="3513" t="s">
        <v>2924</v>
      </c>
      <c r="D130" s="4798"/>
      <c r="E130" s="3461" t="s">
        <v>2904</v>
      </c>
      <c r="F130" s="3509"/>
    </row>
    <row r="131" spans="2:7">
      <c r="B131" s="4791"/>
      <c r="C131" s="3513" t="s">
        <v>2925</v>
      </c>
      <c r="D131" s="4798"/>
      <c r="E131" s="3445"/>
      <c r="F131" s="3509"/>
    </row>
    <row r="132" spans="2:7" ht="15.75" thickBot="1">
      <c r="B132" s="4796"/>
      <c r="C132" s="3457" t="s">
        <v>2926</v>
      </c>
      <c r="D132" s="4799"/>
      <c r="E132" s="3457"/>
      <c r="F132" s="3514"/>
    </row>
    <row r="133" spans="2:7">
      <c r="B133" s="3515"/>
      <c r="C133" s="3516" t="s">
        <v>2814</v>
      </c>
      <c r="D133" s="4780" t="s">
        <v>2927</v>
      </c>
      <c r="E133" s="4780">
        <v>1</v>
      </c>
      <c r="F133" s="4782" t="s">
        <v>2928</v>
      </c>
      <c r="G133" s="4784"/>
    </row>
    <row r="134" spans="2:7">
      <c r="B134" s="3517"/>
      <c r="C134" s="3491" t="s">
        <v>2929</v>
      </c>
      <c r="D134" s="4781"/>
      <c r="E134" s="4781"/>
      <c r="F134" s="4783"/>
      <c r="G134" s="4784"/>
    </row>
    <row r="135" spans="2:7" ht="15.75" customHeight="1">
      <c r="B135" s="3517" t="s">
        <v>2813</v>
      </c>
      <c r="C135" s="3491" t="s">
        <v>2839</v>
      </c>
      <c r="D135" s="4785" t="s">
        <v>2930</v>
      </c>
      <c r="E135" s="4785">
        <v>1</v>
      </c>
      <c r="F135" s="4787" t="s">
        <v>2931</v>
      </c>
      <c r="G135" s="4789" t="e">
        <f>#REF!</f>
        <v>#REF!</v>
      </c>
    </row>
    <row r="136" spans="2:7" ht="15.75" customHeight="1">
      <c r="B136" s="3517"/>
      <c r="C136" s="3491" t="s">
        <v>2818</v>
      </c>
      <c r="D136" s="4785"/>
      <c r="E136" s="4785"/>
      <c r="F136" s="4787"/>
      <c r="G136" s="4784"/>
    </row>
    <row r="137" spans="2:7" ht="15.75" thickBot="1">
      <c r="B137" s="3518"/>
      <c r="C137" s="3519" t="s">
        <v>2820</v>
      </c>
      <c r="D137" s="4786"/>
      <c r="E137" s="4786"/>
      <c r="F137" s="4788"/>
      <c r="G137" s="4784"/>
    </row>
    <row r="138" spans="2:7">
      <c r="B138" s="3465"/>
      <c r="C138" s="3464"/>
      <c r="D138" s="3465"/>
      <c r="E138" s="3506"/>
      <c r="F138" s="3466" t="s">
        <v>2932</v>
      </c>
    </row>
    <row r="156" spans="6:6">
      <c r="F156" s="3520"/>
    </row>
    <row r="168" spans="6:6">
      <c r="F168" s="3520" t="s">
        <v>2933</v>
      </c>
    </row>
  </sheetData>
  <customSheetViews>
    <customSheetView guid="{43BC9397-3E8C-478C-B548-E4A845A7F82B}" showPageBreaks="1" fitToPage="1" printArea="1" hiddenRows="1">
      <selection activeCell="B4" sqref="B4:F4"/>
      <pageMargins left="0.70866141732283472" right="0.70866141732283472" top="0.74803149606299213" bottom="0.74803149606299213" header="0.31496062992125984" footer="0.31496062992125984"/>
      <pageSetup scale="61" fitToHeight="5" orientation="portrait" horizontalDpi="2400" verticalDpi="2400" r:id="rId1"/>
      <headerFooter>
        <oddFooter>1</oddFooter>
      </headerFooter>
    </customSheetView>
  </customSheetViews>
  <mergeCells count="99">
    <mergeCell ref="B1:F1"/>
    <mergeCell ref="B2:F2"/>
    <mergeCell ref="B4:F4"/>
    <mergeCell ref="B5:F5"/>
    <mergeCell ref="B6:B7"/>
    <mergeCell ref="C6:C7"/>
    <mergeCell ref="D6:D7"/>
    <mergeCell ref="E6:E7"/>
    <mergeCell ref="F6:F7"/>
    <mergeCell ref="E28:E32"/>
    <mergeCell ref="F28:F32"/>
    <mergeCell ref="B34:F34"/>
    <mergeCell ref="B35:F35"/>
    <mergeCell ref="B36:B37"/>
    <mergeCell ref="C36:C37"/>
    <mergeCell ref="D36:D37"/>
    <mergeCell ref="E36:E37"/>
    <mergeCell ref="F36:F37"/>
    <mergeCell ref="E8:E12"/>
    <mergeCell ref="F8:F12"/>
    <mergeCell ref="D13:D23"/>
    <mergeCell ref="E13:E23"/>
    <mergeCell ref="D24:D27"/>
    <mergeCell ref="E24:E27"/>
    <mergeCell ref="F24:F27"/>
    <mergeCell ref="F43:F45"/>
    <mergeCell ref="E38:E42"/>
    <mergeCell ref="F38:F42"/>
    <mergeCell ref="D43:D45"/>
    <mergeCell ref="E43:E45"/>
    <mergeCell ref="B51:B54"/>
    <mergeCell ref="D51:D52"/>
    <mergeCell ref="E51:E52"/>
    <mergeCell ref="F51:F52"/>
    <mergeCell ref="D53:D54"/>
    <mergeCell ref="E53:E54"/>
    <mergeCell ref="F53:F54"/>
    <mergeCell ref="D46:D48"/>
    <mergeCell ref="E46:E48"/>
    <mergeCell ref="F46:F48"/>
    <mergeCell ref="F55:F59"/>
    <mergeCell ref="D60:D63"/>
    <mergeCell ref="E61:E62"/>
    <mergeCell ref="D49:D50"/>
    <mergeCell ref="E49:E50"/>
    <mergeCell ref="F49:F50"/>
    <mergeCell ref="B64:B68"/>
    <mergeCell ref="D64:D65"/>
    <mergeCell ref="E64:E65"/>
    <mergeCell ref="F64:F68"/>
    <mergeCell ref="E66:E68"/>
    <mergeCell ref="D85:D86"/>
    <mergeCell ref="E85:E86"/>
    <mergeCell ref="F85:F86"/>
    <mergeCell ref="B71:F71"/>
    <mergeCell ref="B72:F72"/>
    <mergeCell ref="B73:B74"/>
    <mergeCell ref="C73:C74"/>
    <mergeCell ref="D73:D74"/>
    <mergeCell ref="E73:E74"/>
    <mergeCell ref="F73:F74"/>
    <mergeCell ref="D75:D81"/>
    <mergeCell ref="E75:E81"/>
    <mergeCell ref="D82:D83"/>
    <mergeCell ref="E82:E83"/>
    <mergeCell ref="F82:F83"/>
    <mergeCell ref="E87:E89"/>
    <mergeCell ref="F87:F89"/>
    <mergeCell ref="E90:E92"/>
    <mergeCell ref="F90:F92"/>
    <mergeCell ref="E93:E95"/>
    <mergeCell ref="F93:F95"/>
    <mergeCell ref="E96:E98"/>
    <mergeCell ref="F96:F98"/>
    <mergeCell ref="B99:B103"/>
    <mergeCell ref="D99:D103"/>
    <mergeCell ref="E99:E103"/>
    <mergeCell ref="F99:F103"/>
    <mergeCell ref="B105:F105"/>
    <mergeCell ref="B106:F106"/>
    <mergeCell ref="B107:B108"/>
    <mergeCell ref="C107:C108"/>
    <mergeCell ref="D107:D108"/>
    <mergeCell ref="E107:E108"/>
    <mergeCell ref="F107:F108"/>
    <mergeCell ref="B109:B118"/>
    <mergeCell ref="B119:B125"/>
    <mergeCell ref="E119:E125"/>
    <mergeCell ref="F119:F125"/>
    <mergeCell ref="B126:B132"/>
    <mergeCell ref="D126:D132"/>
    <mergeCell ref="D133:D134"/>
    <mergeCell ref="E133:E134"/>
    <mergeCell ref="F133:F134"/>
    <mergeCell ref="G133:G134"/>
    <mergeCell ref="D135:D137"/>
    <mergeCell ref="E135:E137"/>
    <mergeCell ref="F135:F137"/>
    <mergeCell ref="G135:G137"/>
  </mergeCells>
  <pageMargins left="0.70866141732283472" right="0.70866141732283472" top="0.74803149606299213" bottom="0.74803149606299213" header="0.31496062992125984" footer="0.31496062992125984"/>
  <pageSetup scale="61" fitToHeight="5" orientation="portrait" horizontalDpi="2400" verticalDpi="2400" r:id="rId2"/>
  <headerFooter>
    <oddFooter>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999"/>
  <sheetViews>
    <sheetView showZeros="0" view="pageBreakPreview" topLeftCell="A161" zoomScale="85" zoomScaleNormal="100" zoomScaleSheetLayoutView="85" workbookViewId="0">
      <selection activeCell="D54" sqref="D54"/>
    </sheetView>
  </sheetViews>
  <sheetFormatPr baseColWidth="10" defaultColWidth="11.42578125" defaultRowHeight="12.75" outlineLevelRow="1"/>
  <cols>
    <col min="1" max="1" width="9.7109375" style="3146" customWidth="1"/>
    <col min="2" max="2" width="64" style="4297" customWidth="1"/>
    <col min="3" max="3" width="10.7109375" style="3557" customWidth="1"/>
    <col min="4" max="4" width="9" style="4224" customWidth="1"/>
    <col min="5" max="5" width="13" style="3557" customWidth="1"/>
    <col min="6" max="6" width="15.28515625" style="3557" customWidth="1"/>
    <col min="7" max="16384" width="11.42578125" style="3557"/>
  </cols>
  <sheetData>
    <row r="1" spans="1:6" s="4236" customFormat="1">
      <c r="A1" s="4426"/>
      <c r="B1" s="1904"/>
      <c r="C1" s="4234"/>
      <c r="D1" s="4235"/>
      <c r="E1" s="4241"/>
      <c r="F1" s="4241"/>
    </row>
    <row r="2" spans="1:6" s="4236" customFormat="1" ht="15">
      <c r="A2" s="4879"/>
      <c r="B2" s="4879"/>
      <c r="C2" s="4879"/>
      <c r="D2" s="4879"/>
      <c r="E2" s="4879"/>
      <c r="F2" s="4879"/>
    </row>
    <row r="3" spans="1:6" s="4236" customFormat="1" ht="15">
      <c r="A3" s="4879"/>
      <c r="B3" s="4879"/>
      <c r="C3" s="4879"/>
      <c r="D3" s="4879"/>
      <c r="E3" s="4879"/>
      <c r="F3" s="4879"/>
    </row>
    <row r="4" spans="1:6" s="4236" customFormat="1" ht="15">
      <c r="A4" s="4879"/>
      <c r="B4" s="4879"/>
      <c r="C4" s="4879"/>
      <c r="D4" s="4879"/>
      <c r="E4" s="4879"/>
      <c r="F4" s="4879"/>
    </row>
    <row r="5" spans="1:6" s="4236" customFormat="1" ht="15">
      <c r="A5" s="4879"/>
      <c r="B5" s="4879"/>
      <c r="C5" s="4879"/>
      <c r="D5" s="4879"/>
      <c r="E5" s="4879"/>
      <c r="F5" s="4879"/>
    </row>
    <row r="6" spans="1:6" s="4236" customFormat="1">
      <c r="A6" s="4426"/>
      <c r="B6" s="4427"/>
      <c r="C6" s="4234"/>
      <c r="D6" s="4235"/>
      <c r="E6" s="4234"/>
      <c r="F6" s="4241"/>
    </row>
    <row r="7" spans="1:6" s="4240" customFormat="1" ht="15">
      <c r="A7" s="4444"/>
      <c r="B7" s="4431"/>
      <c r="C7" s="4432"/>
      <c r="D7" s="4445"/>
      <c r="E7" s="4433"/>
      <c r="F7" s="4239"/>
    </row>
    <row r="8" spans="1:6" s="4240" customFormat="1" ht="15">
      <c r="A8" s="4444" t="s">
        <v>2210</v>
      </c>
      <c r="B8" s="4880" t="s">
        <v>2966</v>
      </c>
      <c r="C8" s="4880"/>
      <c r="D8" s="4880"/>
      <c r="E8" s="4880"/>
      <c r="F8" s="4239"/>
    </row>
    <row r="9" spans="1:6" s="4240" customFormat="1" ht="15">
      <c r="A9" s="4444" t="s">
        <v>3958</v>
      </c>
      <c r="B9" s="4237"/>
      <c r="C9" s="4432"/>
      <c r="D9" s="4445" t="s">
        <v>3957</v>
      </c>
      <c r="E9" s="4433"/>
      <c r="F9" s="4239"/>
    </row>
    <row r="10" spans="1:6">
      <c r="A10" s="3145"/>
      <c r="B10" s="1904"/>
      <c r="C10" s="4234"/>
      <c r="D10" s="4235"/>
      <c r="E10" s="4241"/>
      <c r="F10" s="4241"/>
    </row>
    <row r="11" spans="1:6" s="4242" customFormat="1">
      <c r="A11" s="4382" t="s">
        <v>3782</v>
      </c>
      <c r="B11" s="4383" t="s">
        <v>3783</v>
      </c>
      <c r="C11" s="4384" t="s">
        <v>286</v>
      </c>
      <c r="D11" s="4384" t="s">
        <v>976</v>
      </c>
      <c r="E11" s="4384" t="s">
        <v>534</v>
      </c>
      <c r="F11" s="4385" t="s">
        <v>3784</v>
      </c>
    </row>
    <row r="12" spans="1:6">
      <c r="A12" s="4386"/>
      <c r="B12" s="1738"/>
      <c r="C12" s="4243"/>
      <c r="D12" s="4244"/>
      <c r="E12" s="4245"/>
      <c r="F12" s="4387"/>
    </row>
    <row r="13" spans="1:6" s="4225" customFormat="1" ht="30">
      <c r="A13" s="4278" t="s">
        <v>482</v>
      </c>
      <c r="B13" s="3435" t="s">
        <v>2317</v>
      </c>
      <c r="C13" s="4231"/>
      <c r="D13" s="4232"/>
      <c r="E13" s="4233"/>
      <c r="F13" s="4233"/>
    </row>
    <row r="14" spans="1:6" ht="14.25">
      <c r="A14" s="4388"/>
      <c r="B14" s="4230"/>
      <c r="C14" s="4231"/>
      <c r="D14" s="4232"/>
      <c r="E14" s="4233"/>
      <c r="F14" s="4233"/>
    </row>
    <row r="15" spans="1:6" ht="15">
      <c r="A15" s="4389">
        <v>1</v>
      </c>
      <c r="B15" s="4343" t="s">
        <v>2165</v>
      </c>
      <c r="C15" s="4246"/>
      <c r="D15" s="4232"/>
      <c r="E15" s="4233"/>
      <c r="F15" s="4233"/>
    </row>
    <row r="16" spans="1:6" ht="28.5">
      <c r="A16" s="4388">
        <v>1.01</v>
      </c>
      <c r="B16" s="4230" t="s">
        <v>3912</v>
      </c>
      <c r="C16" s="4246">
        <v>12</v>
      </c>
      <c r="D16" s="4232" t="s">
        <v>2524</v>
      </c>
      <c r="E16" s="4363"/>
      <c r="F16" s="1263">
        <f>IF(C16&gt;0,(ROUND((E16*C16),2))," ")</f>
        <v>0</v>
      </c>
    </row>
    <row r="17" spans="1:6" ht="14.25">
      <c r="A17" s="4388"/>
      <c r="B17" s="4230"/>
      <c r="C17" s="4246"/>
      <c r="D17" s="4232"/>
      <c r="E17" s="4363"/>
      <c r="F17" s="1263"/>
    </row>
    <row r="18" spans="1:6" ht="15">
      <c r="A18" s="4389">
        <v>2</v>
      </c>
      <c r="B18" s="4207" t="s">
        <v>1250</v>
      </c>
      <c r="C18" s="4246"/>
      <c r="D18" s="4232"/>
      <c r="E18" s="1263"/>
      <c r="F18" s="1263" t="str">
        <f t="shared" ref="F18:F81" si="0">IF(C18&gt;0,(ROUND((E18*C18),2))," ")</f>
        <v xml:space="preserve"> </v>
      </c>
    </row>
    <row r="19" spans="1:6" s="4236" customFormat="1" ht="15">
      <c r="A19" s="4390">
        <v>2.1</v>
      </c>
      <c r="B19" s="4343" t="s">
        <v>3785</v>
      </c>
      <c r="C19" s="4245"/>
      <c r="D19" s="4232"/>
      <c r="E19" s="4245"/>
      <c r="F19" s="1263" t="str">
        <f t="shared" si="0"/>
        <v xml:space="preserve"> </v>
      </c>
    </row>
    <row r="20" spans="1:6" s="4222" customFormat="1" ht="14.25">
      <c r="A20" s="4388" t="s">
        <v>1182</v>
      </c>
      <c r="B20" s="4344" t="s">
        <v>3872</v>
      </c>
      <c r="C20" s="4246">
        <v>4880.78</v>
      </c>
      <c r="D20" s="4311" t="s">
        <v>3154</v>
      </c>
      <c r="E20" s="4210"/>
      <c r="F20" s="4210">
        <f t="shared" si="0"/>
        <v>0</v>
      </c>
    </row>
    <row r="21" spans="1:6" s="4222" customFormat="1" ht="28.5">
      <c r="A21" s="4391" t="s">
        <v>1183</v>
      </c>
      <c r="B21" s="3563" t="s">
        <v>2967</v>
      </c>
      <c r="C21" s="4246">
        <v>6100.98</v>
      </c>
      <c r="D21" s="4217" t="s">
        <v>2525</v>
      </c>
      <c r="E21" s="4210"/>
      <c r="F21" s="4210">
        <f t="shared" si="0"/>
        <v>0</v>
      </c>
    </row>
    <row r="22" spans="1:6" ht="15">
      <c r="A22" s="4388"/>
      <c r="B22" s="4250"/>
      <c r="C22" s="4246"/>
      <c r="D22" s="4232"/>
      <c r="E22" s="4245"/>
      <c r="F22" s="1263" t="str">
        <f t="shared" si="0"/>
        <v xml:space="preserve"> </v>
      </c>
    </row>
    <row r="23" spans="1:6" s="4252" customFormat="1" ht="15">
      <c r="A23" s="4389">
        <v>3</v>
      </c>
      <c r="B23" s="4343" t="s">
        <v>38</v>
      </c>
      <c r="C23" s="4360"/>
      <c r="D23" s="4251"/>
      <c r="E23" s="4364"/>
      <c r="F23" s="1263" t="str">
        <f t="shared" si="0"/>
        <v xml:space="preserve"> </v>
      </c>
    </row>
    <row r="24" spans="1:6" ht="14.25">
      <c r="A24" s="4392">
        <v>3.1</v>
      </c>
      <c r="B24" s="4248" t="s">
        <v>3572</v>
      </c>
      <c r="C24" s="4246">
        <v>638.87</v>
      </c>
      <c r="D24" s="4249" t="s">
        <v>3154</v>
      </c>
      <c r="E24" s="4365"/>
      <c r="F24" s="1263">
        <f t="shared" si="0"/>
        <v>0</v>
      </c>
    </row>
    <row r="25" spans="1:6" ht="14.25">
      <c r="A25" s="4392">
        <v>3.2</v>
      </c>
      <c r="B25" s="4248" t="s">
        <v>2968</v>
      </c>
      <c r="C25" s="4246">
        <v>70.61</v>
      </c>
      <c r="D25" s="4249" t="s">
        <v>2431</v>
      </c>
      <c r="E25" s="4365"/>
      <c r="F25" s="1263">
        <f t="shared" si="0"/>
        <v>0</v>
      </c>
    </row>
    <row r="26" spans="1:6" ht="28.5">
      <c r="A26" s="4392">
        <v>3.3</v>
      </c>
      <c r="B26" s="4230" t="s">
        <v>2342</v>
      </c>
      <c r="C26" s="4246">
        <v>852.39</v>
      </c>
      <c r="D26" s="4232" t="s">
        <v>2525</v>
      </c>
      <c r="E26" s="4363"/>
      <c r="F26" s="1263">
        <f t="shared" si="0"/>
        <v>0</v>
      </c>
    </row>
    <row r="27" spans="1:6" ht="15">
      <c r="A27" s="4393"/>
      <c r="B27" s="3435"/>
      <c r="C27" s="4246"/>
      <c r="D27" s="4253"/>
      <c r="E27" s="1263"/>
      <c r="F27" s="1263" t="str">
        <f t="shared" si="0"/>
        <v xml:space="preserve"> </v>
      </c>
    </row>
    <row r="28" spans="1:6" s="4254" customFormat="1" ht="15">
      <c r="A28" s="4389">
        <v>4</v>
      </c>
      <c r="B28" s="4343" t="s">
        <v>2970</v>
      </c>
      <c r="C28" s="4360"/>
      <c r="D28" s="4251"/>
      <c r="E28" s="4364"/>
      <c r="F28" s="1263" t="str">
        <f t="shared" si="0"/>
        <v xml:space="preserve"> </v>
      </c>
    </row>
    <row r="29" spans="1:6" s="4254" customFormat="1" ht="15">
      <c r="A29" s="3538">
        <v>4.0999999999999996</v>
      </c>
      <c r="B29" s="4343" t="s">
        <v>3812</v>
      </c>
      <c r="C29" s="4360"/>
      <c r="D29" s="4251"/>
      <c r="E29" s="4364"/>
      <c r="F29" s="1263" t="str">
        <f t="shared" si="0"/>
        <v xml:space="preserve"> </v>
      </c>
    </row>
    <row r="30" spans="1:6" s="4166" customFormat="1" ht="14.25">
      <c r="A30" s="4388" t="s">
        <v>592</v>
      </c>
      <c r="B30" s="4255" t="s">
        <v>2971</v>
      </c>
      <c r="C30" s="4246">
        <v>0.65</v>
      </c>
      <c r="D30" s="4253" t="s">
        <v>2430</v>
      </c>
      <c r="E30" s="1263"/>
      <c r="F30" s="1263">
        <f t="shared" si="0"/>
        <v>0</v>
      </c>
    </row>
    <row r="31" spans="1:6" s="4166" customFormat="1" ht="14.25">
      <c r="A31" s="4388" t="s">
        <v>594</v>
      </c>
      <c r="B31" s="4255" t="s">
        <v>2972</v>
      </c>
      <c r="C31" s="4246">
        <v>0.28999999999999998</v>
      </c>
      <c r="D31" s="4253" t="s">
        <v>2430</v>
      </c>
      <c r="E31" s="1263"/>
      <c r="F31" s="1263">
        <f t="shared" si="0"/>
        <v>0</v>
      </c>
    </row>
    <row r="32" spans="1:6" s="4166" customFormat="1" ht="15">
      <c r="A32" s="4393"/>
      <c r="B32" s="3435"/>
      <c r="C32" s="4246"/>
      <c r="D32" s="4253"/>
      <c r="E32" s="1263"/>
      <c r="F32" s="1263" t="str">
        <f t="shared" si="0"/>
        <v xml:space="preserve"> </v>
      </c>
    </row>
    <row r="33" spans="1:6" s="4166" customFormat="1" ht="15">
      <c r="A33" s="3538">
        <v>4.2</v>
      </c>
      <c r="B33" s="4343" t="s">
        <v>2973</v>
      </c>
      <c r="C33" s="4246"/>
      <c r="D33" s="4253"/>
      <c r="E33" s="1263"/>
      <c r="F33" s="1263" t="str">
        <f t="shared" si="0"/>
        <v xml:space="preserve"> </v>
      </c>
    </row>
    <row r="34" spans="1:6" s="4166" customFormat="1" ht="14.25">
      <c r="A34" s="3539" t="s">
        <v>601</v>
      </c>
      <c r="B34" s="3540" t="s">
        <v>2974</v>
      </c>
      <c r="C34" s="4246">
        <v>5.72</v>
      </c>
      <c r="D34" s="4232" t="s">
        <v>2432</v>
      </c>
      <c r="E34" s="1263"/>
      <c r="F34" s="1263">
        <f>IF(C34&gt;0,(ROUND((E34*C34),2))," ")</f>
        <v>0</v>
      </c>
    </row>
    <row r="35" spans="1:6" s="4166" customFormat="1" ht="15">
      <c r="A35" s="4393"/>
      <c r="B35" s="3435"/>
      <c r="C35" s="4246"/>
      <c r="D35" s="4253"/>
      <c r="E35" s="1263"/>
      <c r="F35" s="1263" t="str">
        <f t="shared" si="0"/>
        <v xml:space="preserve"> </v>
      </c>
    </row>
    <row r="36" spans="1:6" s="4166" customFormat="1" ht="15">
      <c r="A36" s="3538">
        <v>4.3</v>
      </c>
      <c r="B36" s="4343" t="s">
        <v>3706</v>
      </c>
      <c r="C36" s="4246"/>
      <c r="D36" s="4253"/>
      <c r="E36" s="1263"/>
      <c r="F36" s="1263" t="str">
        <f t="shared" si="0"/>
        <v xml:space="preserve"> </v>
      </c>
    </row>
    <row r="37" spans="1:6" s="4166" customFormat="1" ht="14.25">
      <c r="A37" s="3539" t="s">
        <v>3786</v>
      </c>
      <c r="B37" s="4255" t="s">
        <v>2435</v>
      </c>
      <c r="C37" s="4246">
        <v>1.2</v>
      </c>
      <c r="D37" s="4232" t="s">
        <v>2432</v>
      </c>
      <c r="E37" s="1263"/>
      <c r="F37" s="1263">
        <f t="shared" si="0"/>
        <v>0</v>
      </c>
    </row>
    <row r="38" spans="1:6" s="4166" customFormat="1" ht="14.25">
      <c r="A38" s="3539" t="s">
        <v>3787</v>
      </c>
      <c r="B38" s="4255" t="s">
        <v>2344</v>
      </c>
      <c r="C38" s="4246">
        <v>4.4000000000000004</v>
      </c>
      <c r="D38" s="4232" t="s">
        <v>2432</v>
      </c>
      <c r="E38" s="1263"/>
      <c r="F38" s="1263">
        <f t="shared" si="0"/>
        <v>0</v>
      </c>
    </row>
    <row r="39" spans="1:6" s="4166" customFormat="1" ht="14.25">
      <c r="A39" s="3539" t="s">
        <v>3788</v>
      </c>
      <c r="B39" s="4255" t="s">
        <v>2345</v>
      </c>
      <c r="C39" s="4246">
        <v>5.04</v>
      </c>
      <c r="D39" s="4232" t="s">
        <v>2432</v>
      </c>
      <c r="E39" s="1263"/>
      <c r="F39" s="1263">
        <f t="shared" si="0"/>
        <v>0</v>
      </c>
    </row>
    <row r="40" spans="1:6" s="4166" customFormat="1" ht="14.25">
      <c r="A40" s="3539" t="s">
        <v>3789</v>
      </c>
      <c r="B40" s="4255" t="s">
        <v>1548</v>
      </c>
      <c r="C40" s="4246">
        <v>14</v>
      </c>
      <c r="D40" s="4232" t="s">
        <v>1</v>
      </c>
      <c r="E40" s="1263"/>
      <c r="F40" s="1263">
        <f t="shared" si="0"/>
        <v>0</v>
      </c>
    </row>
    <row r="41" spans="1:6" ht="15">
      <c r="A41" s="4393"/>
      <c r="B41" s="3435"/>
      <c r="C41" s="4246"/>
      <c r="D41" s="4253"/>
      <c r="E41" s="1263"/>
      <c r="F41" s="1263" t="str">
        <f t="shared" si="0"/>
        <v xml:space="preserve"> </v>
      </c>
    </row>
    <row r="42" spans="1:6" s="4254" customFormat="1" ht="15">
      <c r="A42" s="4389">
        <v>5</v>
      </c>
      <c r="B42" s="4343" t="s">
        <v>2975</v>
      </c>
      <c r="C42" s="4360"/>
      <c r="D42" s="4251"/>
      <c r="E42" s="4364"/>
      <c r="F42" s="1263" t="str">
        <f t="shared" si="0"/>
        <v xml:space="preserve"> </v>
      </c>
    </row>
    <row r="43" spans="1:6" s="4254" customFormat="1" ht="15">
      <c r="A43" s="3538">
        <v>5.0999999999999996</v>
      </c>
      <c r="B43" s="4343" t="s">
        <v>3812</v>
      </c>
      <c r="C43" s="4360"/>
      <c r="D43" s="4251"/>
      <c r="E43" s="4364"/>
      <c r="F43" s="1263" t="str">
        <f t="shared" si="0"/>
        <v xml:space="preserve"> </v>
      </c>
    </row>
    <row r="44" spans="1:6" s="4166" customFormat="1" ht="14.25">
      <c r="A44" s="4388" t="s">
        <v>608</v>
      </c>
      <c r="B44" s="4255" t="s">
        <v>2971</v>
      </c>
      <c r="C44" s="4246">
        <v>0.67</v>
      </c>
      <c r="D44" s="4253" t="s">
        <v>2430</v>
      </c>
      <c r="E44" s="1263"/>
      <c r="F44" s="1263">
        <f t="shared" si="0"/>
        <v>0</v>
      </c>
    </row>
    <row r="45" spans="1:6" s="4166" customFormat="1" ht="14.25">
      <c r="A45" s="4388" t="s">
        <v>610</v>
      </c>
      <c r="B45" s="4255" t="s">
        <v>2972</v>
      </c>
      <c r="C45" s="4246">
        <v>0.37</v>
      </c>
      <c r="D45" s="4253" t="s">
        <v>2430</v>
      </c>
      <c r="E45" s="1263"/>
      <c r="F45" s="1263">
        <f t="shared" si="0"/>
        <v>0</v>
      </c>
    </row>
    <row r="46" spans="1:6" s="4166" customFormat="1" ht="15">
      <c r="A46" s="4393"/>
      <c r="B46" s="3435"/>
      <c r="C46" s="4246"/>
      <c r="D46" s="4253"/>
      <c r="E46" s="1263"/>
      <c r="F46" s="1263" t="str">
        <f t="shared" si="0"/>
        <v xml:space="preserve"> </v>
      </c>
    </row>
    <row r="47" spans="1:6" s="4166" customFormat="1" ht="15">
      <c r="A47" s="3538">
        <v>5.2</v>
      </c>
      <c r="B47" s="4343" t="s">
        <v>2973</v>
      </c>
      <c r="C47" s="4246"/>
      <c r="D47" s="4253"/>
      <c r="E47" s="1263"/>
      <c r="F47" s="1263" t="str">
        <f t="shared" si="0"/>
        <v xml:space="preserve"> </v>
      </c>
    </row>
    <row r="48" spans="1:6" s="4166" customFormat="1" ht="14.25">
      <c r="A48" s="3539" t="s">
        <v>614</v>
      </c>
      <c r="B48" s="4255" t="s">
        <v>2974</v>
      </c>
      <c r="C48" s="4246">
        <v>4.8</v>
      </c>
      <c r="D48" s="4232" t="s">
        <v>2432</v>
      </c>
      <c r="E48" s="1263"/>
      <c r="F48" s="1263">
        <f>IF(C48&gt;0,(ROUND((E48*C48),2))," ")</f>
        <v>0</v>
      </c>
    </row>
    <row r="49" spans="1:6" s="4166" customFormat="1" ht="15">
      <c r="A49" s="4393"/>
      <c r="B49" s="3435"/>
      <c r="C49" s="4246"/>
      <c r="D49" s="4253"/>
      <c r="E49" s="1263"/>
      <c r="F49" s="1263" t="str">
        <f t="shared" si="0"/>
        <v xml:space="preserve"> </v>
      </c>
    </row>
    <row r="50" spans="1:6" s="4166" customFormat="1" ht="15">
      <c r="A50" s="3538">
        <v>5.3</v>
      </c>
      <c r="B50" s="4343" t="s">
        <v>3706</v>
      </c>
      <c r="C50" s="4246"/>
      <c r="D50" s="4253"/>
      <c r="E50" s="1263"/>
      <c r="F50" s="1263" t="str">
        <f t="shared" si="0"/>
        <v xml:space="preserve"> </v>
      </c>
    </row>
    <row r="51" spans="1:6" s="4166" customFormat="1" ht="14.25">
      <c r="A51" s="3539" t="s">
        <v>3790</v>
      </c>
      <c r="B51" s="4255" t="s">
        <v>2435</v>
      </c>
      <c r="C51" s="4246">
        <v>1.6</v>
      </c>
      <c r="D51" s="4232" t="s">
        <v>2432</v>
      </c>
      <c r="E51" s="1263"/>
      <c r="F51" s="1263">
        <f t="shared" si="0"/>
        <v>0</v>
      </c>
    </row>
    <row r="52" spans="1:6" s="4166" customFormat="1" ht="14.25">
      <c r="A52" s="3539" t="s">
        <v>3791</v>
      </c>
      <c r="B52" s="4255" t="s">
        <v>2344</v>
      </c>
      <c r="C52" s="4246">
        <v>5.2</v>
      </c>
      <c r="D52" s="4232" t="s">
        <v>2432</v>
      </c>
      <c r="E52" s="1263"/>
      <c r="F52" s="1263">
        <f t="shared" si="0"/>
        <v>0</v>
      </c>
    </row>
    <row r="53" spans="1:6" s="4166" customFormat="1" ht="14.25">
      <c r="A53" s="3539" t="s">
        <v>3792</v>
      </c>
      <c r="B53" s="4255" t="s">
        <v>2345</v>
      </c>
      <c r="C53" s="4246">
        <v>6.4</v>
      </c>
      <c r="D53" s="4232" t="s">
        <v>2432</v>
      </c>
      <c r="E53" s="1263"/>
      <c r="F53" s="1263">
        <f t="shared" si="0"/>
        <v>0</v>
      </c>
    </row>
    <row r="54" spans="1:6" s="4166" customFormat="1" ht="14.25">
      <c r="A54" s="3539" t="s">
        <v>3793</v>
      </c>
      <c r="B54" s="4255" t="s">
        <v>1548</v>
      </c>
      <c r="C54" s="4246">
        <v>15.6</v>
      </c>
      <c r="D54" s="4232" t="s">
        <v>2432</v>
      </c>
      <c r="E54" s="1263"/>
      <c r="F54" s="1263">
        <f t="shared" si="0"/>
        <v>0</v>
      </c>
    </row>
    <row r="55" spans="1:6" ht="15">
      <c r="A55" s="4467"/>
      <c r="B55" s="4468"/>
      <c r="C55" s="4451"/>
      <c r="D55" s="4469"/>
      <c r="E55" s="4453"/>
      <c r="F55" s="4453" t="str">
        <f t="shared" si="0"/>
        <v xml:space="preserve"> </v>
      </c>
    </row>
    <row r="56" spans="1:6" ht="15">
      <c r="A56" s="3538">
        <v>6</v>
      </c>
      <c r="B56" s="4343" t="s">
        <v>3813</v>
      </c>
      <c r="C56" s="4245"/>
      <c r="D56" s="4232"/>
      <c r="E56" s="1263"/>
      <c r="F56" s="1263" t="str">
        <f t="shared" si="0"/>
        <v xml:space="preserve"> </v>
      </c>
    </row>
    <row r="57" spans="1:6" ht="14.25">
      <c r="A57" s="4392">
        <v>6.1</v>
      </c>
      <c r="B57" s="4230" t="s">
        <v>3474</v>
      </c>
      <c r="C57" s="4246">
        <v>0.33</v>
      </c>
      <c r="D57" s="4232" t="s">
        <v>2430</v>
      </c>
      <c r="E57" s="1263"/>
      <c r="F57" s="1263">
        <f t="shared" si="0"/>
        <v>0</v>
      </c>
    </row>
    <row r="58" spans="1:6" ht="14.25">
      <c r="A58" s="4392">
        <v>6.2</v>
      </c>
      <c r="B58" s="4230" t="s">
        <v>3794</v>
      </c>
      <c r="C58" s="4246">
        <v>2.93</v>
      </c>
      <c r="D58" s="4232" t="s">
        <v>2430</v>
      </c>
      <c r="E58" s="1263"/>
      <c r="F58" s="1263">
        <f t="shared" si="0"/>
        <v>0</v>
      </c>
    </row>
    <row r="59" spans="1:6" ht="14.25">
      <c r="A59" s="4392">
        <v>6.3</v>
      </c>
      <c r="B59" s="4230" t="s">
        <v>3795</v>
      </c>
      <c r="C59" s="4246">
        <v>3.69</v>
      </c>
      <c r="D59" s="4232" t="s">
        <v>2430</v>
      </c>
      <c r="E59" s="1263"/>
      <c r="F59" s="1263">
        <f t="shared" si="0"/>
        <v>0</v>
      </c>
    </row>
    <row r="60" spans="1:6" ht="14.25">
      <c r="A60" s="4392">
        <v>6.4</v>
      </c>
      <c r="B60" s="4230" t="s">
        <v>2339</v>
      </c>
      <c r="C60" s="4246">
        <v>226.2</v>
      </c>
      <c r="D60" s="4232" t="s">
        <v>2430</v>
      </c>
      <c r="E60" s="1263"/>
      <c r="F60" s="1263">
        <f t="shared" si="0"/>
        <v>0</v>
      </c>
    </row>
    <row r="61" spans="1:6" ht="14.25">
      <c r="A61" s="4392">
        <v>6.5</v>
      </c>
      <c r="B61" s="4230" t="s">
        <v>3796</v>
      </c>
      <c r="C61" s="4246">
        <v>1.79</v>
      </c>
      <c r="D61" s="4232" t="s">
        <v>2430</v>
      </c>
      <c r="E61" s="1263"/>
      <c r="F61" s="1263">
        <f t="shared" si="0"/>
        <v>0</v>
      </c>
    </row>
    <row r="62" spans="1:6" ht="14.25">
      <c r="A62" s="4392">
        <v>6.6</v>
      </c>
      <c r="B62" s="4230" t="s">
        <v>2340</v>
      </c>
      <c r="C62" s="4246">
        <v>15.46</v>
      </c>
      <c r="D62" s="4232" t="s">
        <v>2430</v>
      </c>
      <c r="E62" s="1263"/>
      <c r="F62" s="1263">
        <f t="shared" si="0"/>
        <v>0</v>
      </c>
    </row>
    <row r="63" spans="1:6" ht="14.25">
      <c r="A63" s="4392">
        <v>6.7</v>
      </c>
      <c r="B63" s="4230" t="s">
        <v>3797</v>
      </c>
      <c r="C63" s="4246">
        <v>4.9000000000000004</v>
      </c>
      <c r="D63" s="4232" t="s">
        <v>2430</v>
      </c>
      <c r="E63" s="1263"/>
      <c r="F63" s="1263">
        <f t="shared" si="0"/>
        <v>0</v>
      </c>
    </row>
    <row r="64" spans="1:6" ht="14.25">
      <c r="A64" s="4392">
        <v>6.8</v>
      </c>
      <c r="B64" s="4230" t="s">
        <v>3798</v>
      </c>
      <c r="C64" s="4246">
        <v>7.32</v>
      </c>
      <c r="D64" s="4232" t="s">
        <v>2430</v>
      </c>
      <c r="E64" s="1263"/>
      <c r="F64" s="1263">
        <f t="shared" si="0"/>
        <v>0</v>
      </c>
    </row>
    <row r="65" spans="1:6" ht="14.25">
      <c r="A65" s="4392">
        <v>6.9</v>
      </c>
      <c r="B65" s="4230" t="s">
        <v>3799</v>
      </c>
      <c r="C65" s="4246">
        <v>7.4</v>
      </c>
      <c r="D65" s="4232" t="s">
        <v>2430</v>
      </c>
      <c r="E65" s="1263"/>
      <c r="F65" s="1263">
        <f t="shared" si="0"/>
        <v>0</v>
      </c>
    </row>
    <row r="66" spans="1:6" ht="14.25">
      <c r="A66" s="4388">
        <v>6.1</v>
      </c>
      <c r="B66" s="4230" t="s">
        <v>3800</v>
      </c>
      <c r="C66" s="4246">
        <v>2.93</v>
      </c>
      <c r="D66" s="4232" t="s">
        <v>2430</v>
      </c>
      <c r="E66" s="1263"/>
      <c r="F66" s="1263">
        <f t="shared" si="0"/>
        <v>0</v>
      </c>
    </row>
    <row r="67" spans="1:6" ht="14.25">
      <c r="A67" s="4388">
        <v>6.11</v>
      </c>
      <c r="B67" s="4230" t="s">
        <v>2341</v>
      </c>
      <c r="C67" s="4246">
        <v>10.78</v>
      </c>
      <c r="D67" s="4232" t="s">
        <v>2430</v>
      </c>
      <c r="E67" s="1263"/>
      <c r="F67" s="1263">
        <f t="shared" si="0"/>
        <v>0</v>
      </c>
    </row>
    <row r="68" spans="1:6" ht="14.25">
      <c r="A68" s="4388">
        <v>6.12</v>
      </c>
      <c r="B68" s="4230" t="s">
        <v>3475</v>
      </c>
      <c r="C68" s="4246">
        <v>2.92</v>
      </c>
      <c r="D68" s="4232" t="s">
        <v>2430</v>
      </c>
      <c r="E68" s="1263"/>
      <c r="F68" s="1263">
        <f t="shared" si="0"/>
        <v>0</v>
      </c>
    </row>
    <row r="69" spans="1:6" ht="14.25">
      <c r="A69" s="4388">
        <v>6.13</v>
      </c>
      <c r="B69" s="4230" t="s">
        <v>3801</v>
      </c>
      <c r="C69" s="4246">
        <v>0.04</v>
      </c>
      <c r="D69" s="4232" t="s">
        <v>2430</v>
      </c>
      <c r="E69" s="1263"/>
      <c r="F69" s="1263">
        <f t="shared" si="0"/>
        <v>0</v>
      </c>
    </row>
    <row r="70" spans="1:6" ht="14.25">
      <c r="A70" s="4388">
        <v>6.14</v>
      </c>
      <c r="B70" s="4230" t="s">
        <v>3802</v>
      </c>
      <c r="C70" s="4246">
        <v>87.63</v>
      </c>
      <c r="D70" s="4232" t="s">
        <v>2430</v>
      </c>
      <c r="E70" s="1263"/>
      <c r="F70" s="1263">
        <f t="shared" si="0"/>
        <v>0</v>
      </c>
    </row>
    <row r="71" spans="1:6" ht="14.25">
      <c r="A71" s="4388">
        <v>6.15</v>
      </c>
      <c r="B71" s="4230" t="s">
        <v>3803</v>
      </c>
      <c r="C71" s="4246">
        <v>5.59</v>
      </c>
      <c r="D71" s="4232" t="s">
        <v>2430</v>
      </c>
      <c r="E71" s="1263"/>
      <c r="F71" s="1263">
        <f t="shared" si="0"/>
        <v>0</v>
      </c>
    </row>
    <row r="72" spans="1:6" ht="14.25">
      <c r="A72" s="4388">
        <v>6.16</v>
      </c>
      <c r="B72" s="4230" t="s">
        <v>3804</v>
      </c>
      <c r="C72" s="4246">
        <v>1.1299999999999999</v>
      </c>
      <c r="D72" s="4232" t="s">
        <v>2430</v>
      </c>
      <c r="E72" s="1263"/>
      <c r="F72" s="1263">
        <f t="shared" si="0"/>
        <v>0</v>
      </c>
    </row>
    <row r="73" spans="1:6" ht="14.25">
      <c r="A73" s="4388">
        <v>6.17</v>
      </c>
      <c r="B73" s="4230" t="s">
        <v>3805</v>
      </c>
      <c r="C73" s="4246">
        <v>0.86</v>
      </c>
      <c r="D73" s="4232" t="s">
        <v>2430</v>
      </c>
      <c r="E73" s="1263"/>
      <c r="F73" s="1263">
        <f t="shared" si="0"/>
        <v>0</v>
      </c>
    </row>
    <row r="74" spans="1:6" ht="14.25">
      <c r="A74" s="4388">
        <v>6.18</v>
      </c>
      <c r="B74" s="4230" t="s">
        <v>3806</v>
      </c>
      <c r="C74" s="4246">
        <v>6.6</v>
      </c>
      <c r="D74" s="4232" t="s">
        <v>2430</v>
      </c>
      <c r="E74" s="1263"/>
      <c r="F74" s="1263">
        <f t="shared" si="0"/>
        <v>0</v>
      </c>
    </row>
    <row r="75" spans="1:6" ht="14.25">
      <c r="A75" s="4388">
        <v>6.19</v>
      </c>
      <c r="B75" s="4230" t="s">
        <v>3807</v>
      </c>
      <c r="C75" s="4246">
        <v>0.75</v>
      </c>
      <c r="D75" s="4232" t="s">
        <v>2430</v>
      </c>
      <c r="E75" s="1263"/>
      <c r="F75" s="1263">
        <f t="shared" si="0"/>
        <v>0</v>
      </c>
    </row>
    <row r="76" spans="1:6" ht="14.25">
      <c r="A76" s="4388">
        <v>6.2</v>
      </c>
      <c r="B76" s="4230" t="s">
        <v>3808</v>
      </c>
      <c r="C76" s="4246">
        <v>0.54</v>
      </c>
      <c r="D76" s="4232" t="s">
        <v>2430</v>
      </c>
      <c r="E76" s="1263"/>
      <c r="F76" s="1263">
        <f t="shared" si="0"/>
        <v>0</v>
      </c>
    </row>
    <row r="77" spans="1:6" ht="14.25">
      <c r="A77" s="4388">
        <v>6.21</v>
      </c>
      <c r="B77" s="4230" t="s">
        <v>3809</v>
      </c>
      <c r="C77" s="4246">
        <v>0.66</v>
      </c>
      <c r="D77" s="4232" t="s">
        <v>2430</v>
      </c>
      <c r="E77" s="1263"/>
      <c r="F77" s="1263">
        <f t="shared" si="0"/>
        <v>0</v>
      </c>
    </row>
    <row r="78" spans="1:6" ht="14.25">
      <c r="A78" s="4388">
        <v>6.22</v>
      </c>
      <c r="B78" s="4230" t="s">
        <v>3810</v>
      </c>
      <c r="C78" s="4246">
        <v>7.16</v>
      </c>
      <c r="D78" s="4232" t="s">
        <v>2430</v>
      </c>
      <c r="E78" s="1263"/>
      <c r="F78" s="1263">
        <f t="shared" si="0"/>
        <v>0</v>
      </c>
    </row>
    <row r="79" spans="1:6" ht="14.25">
      <c r="A79" s="4388">
        <v>6.23</v>
      </c>
      <c r="B79" s="4230" t="s">
        <v>3811</v>
      </c>
      <c r="C79" s="4245">
        <v>0.56999999999999995</v>
      </c>
      <c r="D79" s="4232" t="s">
        <v>2430</v>
      </c>
      <c r="E79" s="4366"/>
      <c r="F79" s="1263">
        <f t="shared" si="0"/>
        <v>0</v>
      </c>
    </row>
    <row r="80" spans="1:6" ht="14.25">
      <c r="A80" s="4388"/>
      <c r="B80" s="4230"/>
      <c r="C80" s="4246"/>
      <c r="D80" s="4232"/>
      <c r="E80" s="4245"/>
      <c r="F80" s="1263" t="str">
        <f t="shared" si="0"/>
        <v xml:space="preserve"> </v>
      </c>
    </row>
    <row r="81" spans="1:6" ht="15">
      <c r="A81" s="4389">
        <v>7</v>
      </c>
      <c r="B81" s="4343" t="s">
        <v>3538</v>
      </c>
      <c r="C81" s="4246"/>
      <c r="D81" s="4232"/>
      <c r="E81" s="1263"/>
      <c r="F81" s="1263" t="str">
        <f t="shared" si="0"/>
        <v xml:space="preserve"> </v>
      </c>
    </row>
    <row r="82" spans="1:6" ht="14.25">
      <c r="A82" s="4392">
        <v>7.1</v>
      </c>
      <c r="B82" s="4230" t="s">
        <v>2567</v>
      </c>
      <c r="C82" s="4246">
        <v>1098.31</v>
      </c>
      <c r="D82" s="4232" t="s">
        <v>2432</v>
      </c>
      <c r="E82" s="1263"/>
      <c r="F82" s="1263">
        <f t="shared" ref="F82:F145" si="1">IF(C82&gt;0,(ROUND((E82*C82),2))," ")</f>
        <v>0</v>
      </c>
    </row>
    <row r="83" spans="1:6" ht="14.25">
      <c r="A83" s="4392">
        <v>7.2</v>
      </c>
      <c r="B83" s="4230" t="s">
        <v>2557</v>
      </c>
      <c r="C83" s="4246">
        <v>340.74</v>
      </c>
      <c r="D83" s="4232" t="s">
        <v>2432</v>
      </c>
      <c r="E83" s="1263"/>
      <c r="F83" s="1263">
        <f t="shared" si="1"/>
        <v>0</v>
      </c>
    </row>
    <row r="84" spans="1:6" ht="14.25">
      <c r="A84" s="4392">
        <v>7.3</v>
      </c>
      <c r="B84" s="4230" t="s">
        <v>2343</v>
      </c>
      <c r="C84" s="4246">
        <v>51.58</v>
      </c>
      <c r="D84" s="4232" t="s">
        <v>2432</v>
      </c>
      <c r="E84" s="1263"/>
      <c r="F84" s="1263">
        <f t="shared" si="1"/>
        <v>0</v>
      </c>
    </row>
    <row r="85" spans="1:6" ht="14.25">
      <c r="A85" s="4392">
        <v>7.4</v>
      </c>
      <c r="B85" s="4230" t="s">
        <v>2344</v>
      </c>
      <c r="C85" s="4246">
        <v>609</v>
      </c>
      <c r="D85" s="4232" t="s">
        <v>2432</v>
      </c>
      <c r="E85" s="1263"/>
      <c r="F85" s="1263">
        <f t="shared" si="1"/>
        <v>0</v>
      </c>
    </row>
    <row r="86" spans="1:6" ht="14.25">
      <c r="A86" s="4392">
        <v>7.5</v>
      </c>
      <c r="B86" s="4230" t="s">
        <v>2345</v>
      </c>
      <c r="C86" s="4246">
        <v>489.31</v>
      </c>
      <c r="D86" s="4232" t="s">
        <v>2432</v>
      </c>
      <c r="E86" s="1263"/>
      <c r="F86" s="1263">
        <f t="shared" si="1"/>
        <v>0</v>
      </c>
    </row>
    <row r="87" spans="1:6" ht="14.25">
      <c r="A87" s="4392">
        <v>7.6</v>
      </c>
      <c r="B87" s="4230" t="s">
        <v>1548</v>
      </c>
      <c r="C87" s="4246">
        <v>344.67</v>
      </c>
      <c r="D87" s="4232" t="s">
        <v>1</v>
      </c>
      <c r="E87" s="1263"/>
      <c r="F87" s="1263">
        <f t="shared" si="1"/>
        <v>0</v>
      </c>
    </row>
    <row r="88" spans="1:6" s="4266" customFormat="1" ht="28.5">
      <c r="A88" s="4392">
        <v>7.7</v>
      </c>
      <c r="B88" s="4104" t="s">
        <v>3163</v>
      </c>
      <c r="C88" s="4246">
        <v>163.38</v>
      </c>
      <c r="D88" s="4217" t="s">
        <v>1</v>
      </c>
      <c r="E88" s="4210"/>
      <c r="F88" s="4210">
        <f>IF(C88&gt;0,(ROUND((E88*C88),2))," ")</f>
        <v>0</v>
      </c>
    </row>
    <row r="89" spans="1:6" ht="14.25">
      <c r="A89" s="4388"/>
      <c r="B89" s="4230"/>
      <c r="C89" s="4246"/>
      <c r="D89" s="4232"/>
      <c r="E89" s="1263"/>
      <c r="F89" s="1263" t="str">
        <f t="shared" si="1"/>
        <v xml:space="preserve"> </v>
      </c>
    </row>
    <row r="90" spans="1:6" ht="15">
      <c r="A90" s="4389">
        <v>8</v>
      </c>
      <c r="B90" s="4343" t="s">
        <v>3814</v>
      </c>
      <c r="C90" s="4246"/>
      <c r="D90" s="4232"/>
      <c r="E90" s="1263"/>
      <c r="F90" s="1263" t="str">
        <f t="shared" si="1"/>
        <v xml:space="preserve"> </v>
      </c>
    </row>
    <row r="91" spans="1:6" ht="15">
      <c r="A91" s="4390">
        <v>8.1</v>
      </c>
      <c r="B91" s="4343" t="s">
        <v>3815</v>
      </c>
      <c r="C91" s="4246"/>
      <c r="D91" s="4232"/>
      <c r="E91" s="1263"/>
      <c r="F91" s="1263" t="str">
        <f t="shared" si="1"/>
        <v xml:space="preserve"> </v>
      </c>
    </row>
    <row r="92" spans="1:6" ht="14.25">
      <c r="A92" s="4388" t="s">
        <v>493</v>
      </c>
      <c r="B92" s="4230" t="s">
        <v>2353</v>
      </c>
      <c r="C92" s="4246">
        <v>35.39</v>
      </c>
      <c r="D92" s="4232" t="s">
        <v>1</v>
      </c>
      <c r="E92" s="1263"/>
      <c r="F92" s="1263">
        <f t="shared" si="1"/>
        <v>0</v>
      </c>
    </row>
    <row r="93" spans="1:6" ht="14.25">
      <c r="A93" s="4388" t="s">
        <v>494</v>
      </c>
      <c r="B93" s="4230" t="s">
        <v>2979</v>
      </c>
      <c r="C93" s="4246">
        <v>39.28</v>
      </c>
      <c r="D93" s="4232" t="s">
        <v>1</v>
      </c>
      <c r="E93" s="1263"/>
      <c r="F93" s="1263">
        <f t="shared" si="1"/>
        <v>0</v>
      </c>
    </row>
    <row r="94" spans="1:6" ht="14.25">
      <c r="A94" s="4388" t="s">
        <v>495</v>
      </c>
      <c r="B94" s="4230" t="s">
        <v>2980</v>
      </c>
      <c r="C94" s="4246">
        <v>33.39</v>
      </c>
      <c r="D94" s="4232" t="s">
        <v>2432</v>
      </c>
      <c r="E94" s="1263"/>
      <c r="F94" s="1263">
        <f t="shared" si="1"/>
        <v>0</v>
      </c>
    </row>
    <row r="95" spans="1:6" ht="13.5" customHeight="1">
      <c r="A95" s="4388" t="s">
        <v>496</v>
      </c>
      <c r="B95" s="4230" t="s">
        <v>2981</v>
      </c>
      <c r="C95" s="4246">
        <v>32.01</v>
      </c>
      <c r="D95" s="4249" t="s">
        <v>2431</v>
      </c>
      <c r="E95" s="1263"/>
      <c r="F95" s="1263">
        <f t="shared" si="1"/>
        <v>0</v>
      </c>
    </row>
    <row r="96" spans="1:6" ht="28.5">
      <c r="A96" s="4388" t="s">
        <v>497</v>
      </c>
      <c r="B96" s="4230" t="s">
        <v>2982</v>
      </c>
      <c r="C96" s="4246">
        <v>9.1</v>
      </c>
      <c r="D96" s="4232" t="s">
        <v>2525</v>
      </c>
      <c r="E96" s="1263"/>
      <c r="F96" s="1263">
        <f t="shared" si="1"/>
        <v>0</v>
      </c>
    </row>
    <row r="97" spans="1:6" ht="15">
      <c r="A97" s="4393"/>
      <c r="B97" s="4250"/>
      <c r="C97" s="4246"/>
      <c r="D97" s="4232"/>
      <c r="E97" s="1263"/>
      <c r="F97" s="1263" t="str">
        <f t="shared" si="1"/>
        <v xml:space="preserve"> </v>
      </c>
    </row>
    <row r="98" spans="1:6" ht="15">
      <c r="A98" s="4390">
        <v>8.1999999999999993</v>
      </c>
      <c r="B98" s="4343" t="s">
        <v>639</v>
      </c>
      <c r="C98" s="4246"/>
      <c r="D98" s="4232"/>
      <c r="E98" s="1263"/>
      <c r="F98" s="1263" t="str">
        <f t="shared" si="1"/>
        <v xml:space="preserve"> </v>
      </c>
    </row>
    <row r="99" spans="1:6" ht="28.5">
      <c r="A99" s="4388" t="s">
        <v>506</v>
      </c>
      <c r="B99" s="4261" t="s">
        <v>2440</v>
      </c>
      <c r="C99" s="4246">
        <v>39.26</v>
      </c>
      <c r="D99" s="4232" t="s">
        <v>1</v>
      </c>
      <c r="E99" s="1263"/>
      <c r="F99" s="1263">
        <f t="shared" si="1"/>
        <v>0</v>
      </c>
    </row>
    <row r="100" spans="1:6" s="4225" customFormat="1" ht="28.5">
      <c r="A100" s="4388" t="s">
        <v>507</v>
      </c>
      <c r="B100" s="4261" t="s">
        <v>3495</v>
      </c>
      <c r="C100" s="4246">
        <v>2</v>
      </c>
      <c r="D100" s="4232" t="s">
        <v>2433</v>
      </c>
      <c r="E100" s="1263"/>
      <c r="F100" s="1263">
        <f t="shared" si="1"/>
        <v>0</v>
      </c>
    </row>
    <row r="101" spans="1:6" ht="28.5">
      <c r="A101" s="4454" t="s">
        <v>508</v>
      </c>
      <c r="B101" s="4455" t="s">
        <v>2439</v>
      </c>
      <c r="C101" s="4451">
        <v>4</v>
      </c>
      <c r="D101" s="4452" t="s">
        <v>2433</v>
      </c>
      <c r="E101" s="4453"/>
      <c r="F101" s="4453">
        <f t="shared" si="1"/>
        <v>0</v>
      </c>
    </row>
    <row r="102" spans="1:6" ht="28.5">
      <c r="A102" s="4388" t="s">
        <v>509</v>
      </c>
      <c r="B102" s="4261" t="s">
        <v>2441</v>
      </c>
      <c r="C102" s="4246">
        <v>1</v>
      </c>
      <c r="D102" s="4232" t="s">
        <v>2433</v>
      </c>
      <c r="E102" s="1263"/>
      <c r="F102" s="1263">
        <f t="shared" si="1"/>
        <v>0</v>
      </c>
    </row>
    <row r="103" spans="1:6" ht="28.5">
      <c r="A103" s="4388" t="s">
        <v>510</v>
      </c>
      <c r="B103" s="4261" t="s">
        <v>3584</v>
      </c>
      <c r="C103" s="4246">
        <v>2</v>
      </c>
      <c r="D103" s="4232" t="s">
        <v>2433</v>
      </c>
      <c r="E103" s="1263"/>
      <c r="F103" s="1263">
        <f t="shared" si="1"/>
        <v>0</v>
      </c>
    </row>
    <row r="104" spans="1:6" ht="14.25">
      <c r="A104" s="4388" t="s">
        <v>511</v>
      </c>
      <c r="B104" s="4230" t="s">
        <v>2737</v>
      </c>
      <c r="C104" s="4246">
        <v>2</v>
      </c>
      <c r="D104" s="4232" t="s">
        <v>2433</v>
      </c>
      <c r="E104" s="1263"/>
      <c r="F104" s="1263">
        <f t="shared" si="1"/>
        <v>0</v>
      </c>
    </row>
    <row r="105" spans="1:6" s="4236" customFormat="1" ht="14.25">
      <c r="A105" s="4388" t="s">
        <v>512</v>
      </c>
      <c r="B105" s="4230" t="s">
        <v>3573</v>
      </c>
      <c r="C105" s="4246">
        <v>2</v>
      </c>
      <c r="D105" s="4232" t="s">
        <v>2433</v>
      </c>
      <c r="E105" s="1263"/>
      <c r="F105" s="1263">
        <f t="shared" si="1"/>
        <v>0</v>
      </c>
    </row>
    <row r="106" spans="1:6" ht="14.25">
      <c r="A106" s="4388"/>
      <c r="B106" s="4230"/>
      <c r="C106" s="4246"/>
      <c r="D106" s="4232"/>
      <c r="E106" s="1263"/>
      <c r="F106" s="1263"/>
    </row>
    <row r="107" spans="1:6" ht="15">
      <c r="A107" s="4389">
        <v>9</v>
      </c>
      <c r="B107" s="4343" t="s">
        <v>607</v>
      </c>
      <c r="C107" s="4246"/>
      <c r="D107" s="4232"/>
      <c r="E107" s="1263"/>
      <c r="F107" s="1263" t="str">
        <f t="shared" si="1"/>
        <v xml:space="preserve"> </v>
      </c>
    </row>
    <row r="108" spans="1:6" ht="15">
      <c r="A108" s="4390">
        <v>9.1</v>
      </c>
      <c r="B108" s="4343" t="s">
        <v>3585</v>
      </c>
      <c r="C108" s="4246"/>
      <c r="D108" s="4232"/>
      <c r="E108" s="1263"/>
      <c r="F108" s="1263"/>
    </row>
    <row r="109" spans="1:6" s="4225" customFormat="1" ht="57">
      <c r="A109" s="4388" t="s">
        <v>541</v>
      </c>
      <c r="B109" s="3432" t="s">
        <v>3738</v>
      </c>
      <c r="C109" s="4246">
        <v>1</v>
      </c>
      <c r="D109" s="4232" t="s">
        <v>2433</v>
      </c>
      <c r="E109" s="1263"/>
      <c r="F109" s="1263">
        <f t="shared" si="1"/>
        <v>0</v>
      </c>
    </row>
    <row r="110" spans="1:6" ht="57">
      <c r="A110" s="4388" t="s">
        <v>542</v>
      </c>
      <c r="B110" s="3432" t="s">
        <v>3737</v>
      </c>
      <c r="C110" s="4246">
        <v>1</v>
      </c>
      <c r="D110" s="4232" t="s">
        <v>2433</v>
      </c>
      <c r="E110" s="1263"/>
      <c r="F110" s="1263">
        <f t="shared" si="1"/>
        <v>0</v>
      </c>
    </row>
    <row r="111" spans="1:6" ht="45.75" customHeight="1">
      <c r="A111" s="4388" t="s">
        <v>3169</v>
      </c>
      <c r="B111" s="4230" t="s">
        <v>2556</v>
      </c>
      <c r="C111" s="4246">
        <v>3295.28</v>
      </c>
      <c r="D111" s="4232" t="s">
        <v>2601</v>
      </c>
      <c r="E111" s="1263"/>
      <c r="F111" s="1263">
        <f t="shared" si="1"/>
        <v>0</v>
      </c>
    </row>
    <row r="112" spans="1:6" ht="14.25">
      <c r="A112" s="4388"/>
      <c r="B112" s="4230"/>
      <c r="C112" s="4246"/>
      <c r="D112" s="4232"/>
      <c r="E112" s="1263"/>
      <c r="F112" s="1263" t="str">
        <f t="shared" si="1"/>
        <v xml:space="preserve"> </v>
      </c>
    </row>
    <row r="113" spans="1:6" ht="25.5">
      <c r="A113" s="4390">
        <v>9.1999999999999993</v>
      </c>
      <c r="B113" s="4343" t="s">
        <v>3574</v>
      </c>
      <c r="C113" s="4246"/>
      <c r="D113" s="4232"/>
      <c r="E113" s="1263"/>
      <c r="F113" s="1263" t="str">
        <f t="shared" si="1"/>
        <v xml:space="preserve"> </v>
      </c>
    </row>
    <row r="114" spans="1:6" ht="75.75" customHeight="1">
      <c r="A114" s="4388" t="s">
        <v>543</v>
      </c>
      <c r="B114" s="4206" t="s">
        <v>4016</v>
      </c>
      <c r="C114" s="4246">
        <v>1</v>
      </c>
      <c r="D114" s="4232" t="s">
        <v>2433</v>
      </c>
      <c r="E114" s="1263"/>
      <c r="F114" s="1263">
        <f t="shared" si="1"/>
        <v>0</v>
      </c>
    </row>
    <row r="115" spans="1:6" s="4266" customFormat="1" ht="14.25">
      <c r="A115" s="4205" t="s">
        <v>544</v>
      </c>
      <c r="B115" s="3563" t="s">
        <v>3575</v>
      </c>
      <c r="C115" s="4208">
        <v>2.8</v>
      </c>
      <c r="D115" s="4311" t="s">
        <v>1</v>
      </c>
      <c r="E115" s="4210"/>
      <c r="F115" s="4345">
        <f t="shared" ref="F115:F117" si="2">+ROUND((E115*C115),2)</f>
        <v>0</v>
      </c>
    </row>
    <row r="116" spans="1:6" s="4266" customFormat="1" ht="14.25">
      <c r="A116" s="4205" t="s">
        <v>545</v>
      </c>
      <c r="B116" s="3563" t="s">
        <v>3576</v>
      </c>
      <c r="C116" s="4208">
        <v>2</v>
      </c>
      <c r="D116" s="4311" t="s">
        <v>2433</v>
      </c>
      <c r="E116" s="4210"/>
      <c r="F116" s="4345">
        <f t="shared" si="2"/>
        <v>0</v>
      </c>
    </row>
    <row r="117" spans="1:6" s="4266" customFormat="1" ht="14.25">
      <c r="A117" s="4205" t="s">
        <v>3178</v>
      </c>
      <c r="B117" s="3563" t="s">
        <v>3577</v>
      </c>
      <c r="C117" s="4191">
        <v>2</v>
      </c>
      <c r="D117" s="4311" t="s">
        <v>2433</v>
      </c>
      <c r="E117" s="4210"/>
      <c r="F117" s="4345">
        <f t="shared" si="2"/>
        <v>0</v>
      </c>
    </row>
    <row r="118" spans="1:6" s="4346" customFormat="1" ht="14.25">
      <c r="A118" s="4205" t="s">
        <v>3179</v>
      </c>
      <c r="B118" s="3563" t="s">
        <v>3735</v>
      </c>
      <c r="C118" s="4313">
        <v>2</v>
      </c>
      <c r="D118" s="4430" t="s">
        <v>2433</v>
      </c>
      <c r="E118" s="4210"/>
      <c r="F118" s="4315">
        <f>ROUND(E118*C118,2)</f>
        <v>0</v>
      </c>
    </row>
    <row r="119" spans="1:6" s="4266" customFormat="1" ht="15">
      <c r="A119" s="4205" t="s">
        <v>3816</v>
      </c>
      <c r="B119" s="4312" t="s">
        <v>3736</v>
      </c>
      <c r="C119" s="4313">
        <v>1</v>
      </c>
      <c r="D119" s="4430" t="s">
        <v>2433</v>
      </c>
      <c r="E119" s="4315"/>
      <c r="F119" s="4315">
        <f>ROUND(E119*C119,2)</f>
        <v>0</v>
      </c>
    </row>
    <row r="120" spans="1:6" ht="14.25">
      <c r="A120" s="4388"/>
      <c r="B120" s="4230"/>
      <c r="C120" s="4246"/>
      <c r="D120" s="4232"/>
      <c r="E120" s="1263"/>
      <c r="F120" s="1263"/>
    </row>
    <row r="121" spans="1:6" ht="15">
      <c r="A121" s="4389">
        <v>10</v>
      </c>
      <c r="B121" s="4343" t="s">
        <v>642</v>
      </c>
      <c r="C121" s="4246"/>
      <c r="D121" s="4232"/>
      <c r="E121" s="1263"/>
      <c r="F121" s="1263" t="str">
        <f t="shared" si="1"/>
        <v xml:space="preserve"> </v>
      </c>
    </row>
    <row r="122" spans="1:6" ht="14.25">
      <c r="A122" s="4214">
        <v>10.1</v>
      </c>
      <c r="B122" s="4343" t="s">
        <v>3585</v>
      </c>
      <c r="C122" s="4208"/>
      <c r="D122" s="4311"/>
      <c r="E122" s="4203"/>
      <c r="F122" s="4203"/>
    </row>
    <row r="123" spans="1:6" ht="42.75">
      <c r="A123" s="4205" t="s">
        <v>667</v>
      </c>
      <c r="B123" s="4206" t="s">
        <v>3578</v>
      </c>
      <c r="C123" s="4208">
        <v>2</v>
      </c>
      <c r="D123" s="4311" t="s">
        <v>2433</v>
      </c>
      <c r="E123" s="4345"/>
      <c r="F123" s="4204">
        <f t="shared" ref="F123" si="3">+ROUND((E123*C123),2)</f>
        <v>0</v>
      </c>
    </row>
    <row r="124" spans="1:6" ht="14.25">
      <c r="A124" s="4388"/>
      <c r="B124" s="4230"/>
      <c r="C124" s="4246"/>
      <c r="D124" s="4232"/>
      <c r="E124" s="1263"/>
      <c r="F124" s="1263"/>
    </row>
    <row r="125" spans="1:6" ht="15">
      <c r="A125" s="4390">
        <v>10.199999999999999</v>
      </c>
      <c r="B125" s="4343" t="s">
        <v>3579</v>
      </c>
      <c r="C125" s="4246"/>
      <c r="D125" s="4232"/>
      <c r="E125" s="1263"/>
      <c r="F125" s="1263" t="str">
        <f t="shared" si="1"/>
        <v xml:space="preserve"> </v>
      </c>
    </row>
    <row r="126" spans="1:6" ht="14.25">
      <c r="A126" s="4388" t="s">
        <v>669</v>
      </c>
      <c r="B126" s="3432" t="s">
        <v>3817</v>
      </c>
      <c r="C126" s="4246">
        <v>35.479999999999997</v>
      </c>
      <c r="D126" s="4232" t="s">
        <v>2430</v>
      </c>
      <c r="E126" s="1263"/>
      <c r="F126" s="1263">
        <f>IF(C126&gt;0,(ROUND((E126*C126),2))," ")</f>
        <v>0</v>
      </c>
    </row>
    <row r="127" spans="1:6" ht="14.25">
      <c r="A127" s="4388"/>
      <c r="B127" s="4230"/>
      <c r="C127" s="4246"/>
      <c r="D127" s="4232"/>
      <c r="E127" s="1263"/>
      <c r="F127" s="1263" t="str">
        <f t="shared" si="1"/>
        <v xml:space="preserve"> </v>
      </c>
    </row>
    <row r="128" spans="1:6" s="4240" customFormat="1" ht="15">
      <c r="A128" s="4390">
        <v>10.3</v>
      </c>
      <c r="B128" s="4343" t="s">
        <v>648</v>
      </c>
      <c r="C128" s="4361"/>
      <c r="D128" s="4263"/>
      <c r="E128" s="4367"/>
      <c r="F128" s="1263" t="str">
        <f t="shared" si="1"/>
        <v xml:space="preserve"> </v>
      </c>
    </row>
    <row r="129" spans="1:6" ht="28.5">
      <c r="A129" s="4388" t="s">
        <v>3818</v>
      </c>
      <c r="B129" s="3432" t="s">
        <v>2555</v>
      </c>
      <c r="C129" s="4246">
        <v>18.68</v>
      </c>
      <c r="D129" s="4232" t="s">
        <v>1</v>
      </c>
      <c r="E129" s="1263"/>
      <c r="F129" s="1263">
        <f t="shared" si="1"/>
        <v>0</v>
      </c>
    </row>
    <row r="130" spans="1:6" ht="14.25">
      <c r="A130" s="4454" t="s">
        <v>3819</v>
      </c>
      <c r="B130" s="4456" t="s">
        <v>3586</v>
      </c>
      <c r="C130" s="4451">
        <v>6</v>
      </c>
      <c r="D130" s="4452" t="s">
        <v>2433</v>
      </c>
      <c r="E130" s="4453"/>
      <c r="F130" s="4453">
        <f t="shared" si="1"/>
        <v>0</v>
      </c>
    </row>
    <row r="131" spans="1:6" ht="117" customHeight="1">
      <c r="A131" s="4388" t="s">
        <v>3820</v>
      </c>
      <c r="B131" s="4206" t="s">
        <v>3580</v>
      </c>
      <c r="C131" s="4246">
        <v>4</v>
      </c>
      <c r="D131" s="4232" t="s">
        <v>2433</v>
      </c>
      <c r="E131" s="4204"/>
      <c r="F131" s="1263">
        <f t="shared" si="1"/>
        <v>0</v>
      </c>
    </row>
    <row r="132" spans="1:6" s="4266" customFormat="1" ht="14.25">
      <c r="A132" s="4388" t="s">
        <v>3821</v>
      </c>
      <c r="B132" s="4265" t="s">
        <v>2738</v>
      </c>
      <c r="C132" s="4362">
        <v>12</v>
      </c>
      <c r="D132" s="4217" t="s">
        <v>2433</v>
      </c>
      <c r="E132" s="4210"/>
      <c r="F132" s="4210">
        <f t="shared" si="1"/>
        <v>0</v>
      </c>
    </row>
    <row r="133" spans="1:6" s="4222" customFormat="1" ht="14.25">
      <c r="A133" s="4388" t="s">
        <v>3822</v>
      </c>
      <c r="B133" s="4265" t="s">
        <v>3587</v>
      </c>
      <c r="C133" s="4362">
        <v>12</v>
      </c>
      <c r="D133" s="4217" t="s">
        <v>2433</v>
      </c>
      <c r="E133" s="4210"/>
      <c r="F133" s="4210">
        <f t="shared" si="1"/>
        <v>0</v>
      </c>
    </row>
    <row r="134" spans="1:6" s="4222" customFormat="1" ht="14.25">
      <c r="A134" s="4388" t="s">
        <v>3823</v>
      </c>
      <c r="B134" s="3563" t="s">
        <v>3581</v>
      </c>
      <c r="C134" s="4362">
        <v>4</v>
      </c>
      <c r="D134" s="4217" t="s">
        <v>2433</v>
      </c>
      <c r="E134" s="4210"/>
      <c r="F134" s="4210">
        <f t="shared" si="1"/>
        <v>0</v>
      </c>
    </row>
    <row r="135" spans="1:6" s="4222" customFormat="1" ht="14.25">
      <c r="A135" s="4388" t="s">
        <v>3824</v>
      </c>
      <c r="B135" s="3563" t="s">
        <v>3478</v>
      </c>
      <c r="C135" s="4362">
        <v>31.68</v>
      </c>
      <c r="D135" s="4217" t="s">
        <v>1</v>
      </c>
      <c r="E135" s="4210"/>
      <c r="F135" s="4210">
        <f t="shared" si="1"/>
        <v>0</v>
      </c>
    </row>
    <row r="136" spans="1:6" s="4236" customFormat="1" ht="14.25">
      <c r="A136" s="4388" t="s">
        <v>3825</v>
      </c>
      <c r="B136" s="4212" t="s">
        <v>3583</v>
      </c>
      <c r="C136" s="4191">
        <v>12</v>
      </c>
      <c r="D136" s="4194" t="s">
        <v>2433</v>
      </c>
      <c r="E136" s="4210"/>
      <c r="F136" s="4210">
        <f t="shared" ref="F136" si="4">+ROUND((E136*C136),2)</f>
        <v>0</v>
      </c>
    </row>
    <row r="137" spans="1:6" s="4266" customFormat="1" ht="14.25">
      <c r="A137" s="4388" t="s">
        <v>3826</v>
      </c>
      <c r="B137" s="3563" t="s">
        <v>3582</v>
      </c>
      <c r="C137" s="4362">
        <v>12</v>
      </c>
      <c r="D137" s="4217" t="s">
        <v>2433</v>
      </c>
      <c r="E137" s="4210"/>
      <c r="F137" s="4210">
        <f>IF(C137&gt;0,(ROUND((E137*C137),2))," ")</f>
        <v>0</v>
      </c>
    </row>
    <row r="138" spans="1:6" s="4222" customFormat="1" ht="71.25">
      <c r="A138" s="4388" t="s">
        <v>3827</v>
      </c>
      <c r="B138" s="4368" t="s">
        <v>3828</v>
      </c>
      <c r="C138" s="4210">
        <v>1777.01</v>
      </c>
      <c r="D138" s="4217" t="s">
        <v>3477</v>
      </c>
      <c r="E138" s="4210"/>
      <c r="F138" s="4210">
        <f t="shared" si="1"/>
        <v>0</v>
      </c>
    </row>
    <row r="139" spans="1:6" s="4222" customFormat="1" ht="14.25">
      <c r="A139" s="4391"/>
      <c r="B139" s="3563"/>
      <c r="C139" s="4362"/>
      <c r="D139" s="4217"/>
      <c r="E139" s="4210"/>
      <c r="F139" s="4210"/>
    </row>
    <row r="140" spans="1:6" s="4222" customFormat="1" ht="15">
      <c r="A140" s="4394">
        <v>11</v>
      </c>
      <c r="B140" s="4343" t="s">
        <v>673</v>
      </c>
      <c r="C140" s="4362"/>
      <c r="D140" s="4217"/>
      <c r="E140" s="4210"/>
      <c r="F140" s="4210" t="str">
        <f t="shared" si="1"/>
        <v xml:space="preserve"> </v>
      </c>
    </row>
    <row r="141" spans="1:6" s="4222" customFormat="1" ht="15">
      <c r="A141" s="4395">
        <v>11.1</v>
      </c>
      <c r="B141" s="4343" t="s">
        <v>2265</v>
      </c>
      <c r="C141" s="4362"/>
      <c r="D141" s="4217"/>
      <c r="E141" s="4210"/>
      <c r="F141" s="4210" t="str">
        <f t="shared" si="1"/>
        <v xml:space="preserve"> </v>
      </c>
    </row>
    <row r="142" spans="1:6" s="4222" customFormat="1" ht="117" customHeight="1">
      <c r="A142" s="4391" t="s">
        <v>488</v>
      </c>
      <c r="B142" s="4219" t="s">
        <v>3588</v>
      </c>
      <c r="C142" s="4362">
        <v>6</v>
      </c>
      <c r="D142" s="4217" t="s">
        <v>2433</v>
      </c>
      <c r="E142" s="4210"/>
      <c r="F142" s="4210">
        <f t="shared" si="1"/>
        <v>0</v>
      </c>
    </row>
    <row r="143" spans="1:6" s="4222" customFormat="1" ht="128.25">
      <c r="A143" s="4391" t="s">
        <v>489</v>
      </c>
      <c r="B143" s="4218" t="s">
        <v>3589</v>
      </c>
      <c r="C143" s="4362">
        <v>6</v>
      </c>
      <c r="D143" s="4217" t="s">
        <v>2433</v>
      </c>
      <c r="E143" s="4210"/>
      <c r="F143" s="4210">
        <f t="shared" si="1"/>
        <v>0</v>
      </c>
    </row>
    <row r="144" spans="1:6" s="4222" customFormat="1" ht="128.25">
      <c r="A144" s="4470" t="s">
        <v>490</v>
      </c>
      <c r="B144" s="4471" t="s">
        <v>3590</v>
      </c>
      <c r="C144" s="4472">
        <v>1</v>
      </c>
      <c r="D144" s="4473" t="s">
        <v>2433</v>
      </c>
      <c r="E144" s="4461"/>
      <c r="F144" s="4461">
        <f t="shared" si="1"/>
        <v>0</v>
      </c>
    </row>
    <row r="145" spans="1:6" s="4222" customFormat="1" ht="128.25">
      <c r="A145" s="4391" t="s">
        <v>1516</v>
      </c>
      <c r="B145" s="4219" t="s">
        <v>3591</v>
      </c>
      <c r="C145" s="4362">
        <v>6</v>
      </c>
      <c r="D145" s="4217" t="s">
        <v>2433</v>
      </c>
      <c r="E145" s="4210"/>
      <c r="F145" s="4210">
        <f t="shared" si="1"/>
        <v>0</v>
      </c>
    </row>
    <row r="146" spans="1:6" s="4222" customFormat="1" ht="57">
      <c r="A146" s="4391" t="s">
        <v>1517</v>
      </c>
      <c r="B146" s="4219" t="s">
        <v>3592</v>
      </c>
      <c r="C146" s="4362">
        <v>6</v>
      </c>
      <c r="D146" s="4217" t="s">
        <v>2433</v>
      </c>
      <c r="E146" s="4210"/>
      <c r="F146" s="4210">
        <f t="shared" ref="F146:F159" si="5">IF(C146&gt;0,(ROUND((E146*C146),2))," ")</f>
        <v>0</v>
      </c>
    </row>
    <row r="147" spans="1:6" s="4222" customFormat="1" ht="28.5">
      <c r="A147" s="4391" t="s">
        <v>1518</v>
      </c>
      <c r="B147" s="3563" t="s">
        <v>2347</v>
      </c>
      <c r="C147" s="4362">
        <v>231.64</v>
      </c>
      <c r="D147" s="4217" t="s">
        <v>2601</v>
      </c>
      <c r="E147" s="4210"/>
      <c r="F147" s="4210">
        <f>IF(C147&gt;0,(ROUND((E147*C147),2))," ")</f>
        <v>0</v>
      </c>
    </row>
    <row r="148" spans="1:6" s="4222" customFormat="1" ht="14.25">
      <c r="A148" s="4391" t="s">
        <v>1519</v>
      </c>
      <c r="B148" s="3563" t="s">
        <v>2436</v>
      </c>
      <c r="C148" s="4362">
        <v>231.64</v>
      </c>
      <c r="D148" s="4217" t="s">
        <v>2601</v>
      </c>
      <c r="E148" s="4210"/>
      <c r="F148" s="4210">
        <f>IF(C148&gt;0,(ROUND((E148*C148),2))," ")</f>
        <v>0</v>
      </c>
    </row>
    <row r="149" spans="1:6" ht="14.25">
      <c r="A149" s="4391"/>
      <c r="B149" s="4230"/>
      <c r="C149" s="4246"/>
      <c r="D149" s="4232"/>
      <c r="E149" s="1263"/>
      <c r="F149" s="1263" t="str">
        <f t="shared" si="5"/>
        <v xml:space="preserve"> </v>
      </c>
    </row>
    <row r="150" spans="1:6" ht="15">
      <c r="A150" s="4390">
        <v>11.2</v>
      </c>
      <c r="B150" s="4343" t="s">
        <v>2128</v>
      </c>
      <c r="C150" s="4246"/>
      <c r="D150" s="4232"/>
      <c r="E150" s="1263"/>
      <c r="F150" s="1263" t="str">
        <f t="shared" si="5"/>
        <v xml:space="preserve"> </v>
      </c>
    </row>
    <row r="151" spans="1:6" ht="42.75">
      <c r="A151" s="4388" t="s">
        <v>491</v>
      </c>
      <c r="B151" s="4230" t="s">
        <v>3593</v>
      </c>
      <c r="C151" s="4246">
        <v>1</v>
      </c>
      <c r="D151" s="4232" t="s">
        <v>2433</v>
      </c>
      <c r="E151" s="1263"/>
      <c r="F151" s="1263">
        <f t="shared" si="5"/>
        <v>0</v>
      </c>
    </row>
    <row r="152" spans="1:6" ht="35.25" customHeight="1">
      <c r="A152" s="4388" t="s">
        <v>492</v>
      </c>
      <c r="B152" s="4230" t="s">
        <v>2437</v>
      </c>
      <c r="C152" s="4246">
        <v>1</v>
      </c>
      <c r="D152" s="4232" t="s">
        <v>2433</v>
      </c>
      <c r="E152" s="1263"/>
      <c r="F152" s="1263">
        <f t="shared" si="5"/>
        <v>0</v>
      </c>
    </row>
    <row r="153" spans="1:6" s="4222" customFormat="1" ht="15">
      <c r="A153" s="4391"/>
      <c r="B153" s="4220"/>
      <c r="C153" s="4362"/>
      <c r="D153" s="4217"/>
      <c r="E153" s="4210"/>
      <c r="F153" s="4210" t="str">
        <f>IF(C153&gt;0,(ROUND((E153*C153),2))," ")</f>
        <v xml:space="preserve"> </v>
      </c>
    </row>
    <row r="154" spans="1:6" s="4222" customFormat="1" ht="15">
      <c r="A154" s="4395">
        <v>11.3</v>
      </c>
      <c r="B154" s="4343" t="s">
        <v>690</v>
      </c>
      <c r="C154" s="4362"/>
      <c r="D154" s="4217"/>
      <c r="E154" s="4210"/>
      <c r="F154" s="4210" t="str">
        <f>IF(C154&gt;0,(ROUND((E154*C154),2))," ")</f>
        <v xml:space="preserve"> </v>
      </c>
    </row>
    <row r="155" spans="1:6" s="4222" customFormat="1" ht="28.5">
      <c r="A155" s="4391" t="s">
        <v>1785</v>
      </c>
      <c r="B155" s="3563" t="s">
        <v>2348</v>
      </c>
      <c r="C155" s="4362">
        <v>19</v>
      </c>
      <c r="D155" s="4232" t="s">
        <v>2430</v>
      </c>
      <c r="E155" s="4210"/>
      <c r="F155" s="4210">
        <f>IF(C155&gt;0,(ROUND((E155*C155),2))," ")</f>
        <v>0</v>
      </c>
    </row>
    <row r="156" spans="1:6" s="4266" customFormat="1" ht="14.25">
      <c r="A156" s="4391" t="s">
        <v>3829</v>
      </c>
      <c r="B156" s="3563" t="s">
        <v>2604</v>
      </c>
      <c r="C156" s="4362">
        <v>3</v>
      </c>
      <c r="D156" s="4232" t="s">
        <v>2430</v>
      </c>
      <c r="E156" s="4210"/>
      <c r="F156" s="4210">
        <f>IF(C156&gt;0,(ROUND((E156*C156),2))," ")</f>
        <v>0</v>
      </c>
    </row>
    <row r="157" spans="1:6" s="4222" customFormat="1" ht="14.25">
      <c r="A157" s="4391" t="s">
        <v>3830</v>
      </c>
      <c r="B157" s="3563" t="s">
        <v>2349</v>
      </c>
      <c r="C157" s="4362">
        <v>22</v>
      </c>
      <c r="D157" s="4232" t="s">
        <v>2430</v>
      </c>
      <c r="E157" s="4210"/>
      <c r="F157" s="4210">
        <f>IF(C157&gt;0,(ROUND((E157*C157),2))," ")</f>
        <v>0</v>
      </c>
    </row>
    <row r="158" spans="1:6" s="4222" customFormat="1" ht="14.25">
      <c r="A158" s="4391" t="s">
        <v>3831</v>
      </c>
      <c r="B158" s="3563" t="s">
        <v>2350</v>
      </c>
      <c r="C158" s="4362">
        <v>22</v>
      </c>
      <c r="D158" s="4232" t="s">
        <v>2430</v>
      </c>
      <c r="E158" s="4210"/>
      <c r="F158" s="4210">
        <f t="shared" ref="F158" si="6">IF(C158&gt;0,(ROUND((E158*C158),2))," ")</f>
        <v>0</v>
      </c>
    </row>
    <row r="159" spans="1:6" ht="14.25">
      <c r="A159" s="4388"/>
      <c r="B159" s="4230"/>
      <c r="C159" s="4246"/>
      <c r="D159" s="4232"/>
      <c r="E159" s="1263"/>
      <c r="F159" s="1263" t="str">
        <f t="shared" si="5"/>
        <v xml:space="preserve"> </v>
      </c>
    </row>
    <row r="160" spans="1:6" s="4227" customFormat="1" ht="12.75" customHeight="1">
      <c r="A160" s="4214">
        <v>12</v>
      </c>
      <c r="B160" s="4343" t="s">
        <v>3594</v>
      </c>
      <c r="C160" s="4208"/>
      <c r="D160" s="4232"/>
      <c r="E160" s="4210"/>
      <c r="F160" s="4210"/>
    </row>
    <row r="161" spans="1:6" s="4227" customFormat="1" ht="12.75" customHeight="1">
      <c r="A161" s="4215">
        <v>12.1</v>
      </c>
      <c r="B161" s="4228" t="s">
        <v>3595</v>
      </c>
      <c r="C161" s="4191">
        <v>2</v>
      </c>
      <c r="D161" s="4232" t="s">
        <v>2433</v>
      </c>
      <c r="E161" s="4210"/>
      <c r="F161" s="4210">
        <f t="shared" ref="F161:F163" si="7">ROUND(E161*C161,2)</f>
        <v>0</v>
      </c>
    </row>
    <row r="162" spans="1:6" s="4227" customFormat="1" ht="12.75" customHeight="1">
      <c r="A162" s="4215">
        <v>12.2</v>
      </c>
      <c r="B162" s="4229" t="s">
        <v>3596</v>
      </c>
      <c r="C162" s="4191">
        <v>8.75</v>
      </c>
      <c r="D162" s="4232" t="s">
        <v>1</v>
      </c>
      <c r="E162" s="4210"/>
      <c r="F162" s="4210">
        <f t="shared" si="7"/>
        <v>0</v>
      </c>
    </row>
    <row r="163" spans="1:6" s="4227" customFormat="1" ht="15" customHeight="1">
      <c r="A163" s="4215">
        <v>12.3</v>
      </c>
      <c r="B163" s="4228" t="s">
        <v>3597</v>
      </c>
      <c r="C163" s="4191">
        <v>1</v>
      </c>
      <c r="D163" s="4232" t="s">
        <v>42</v>
      </c>
      <c r="E163" s="4210"/>
      <c r="F163" s="4210">
        <f t="shared" si="7"/>
        <v>0</v>
      </c>
    </row>
    <row r="164" spans="1:6" ht="14.25">
      <c r="A164" s="4388"/>
      <c r="B164" s="4230"/>
      <c r="C164" s="4246"/>
      <c r="D164" s="4232"/>
      <c r="E164" s="1263"/>
      <c r="F164" s="1263" t="str">
        <f t="shared" ref="F164:F523" si="8">IF(C164&gt;0,(ROUND((E164*C164),2))," ")</f>
        <v xml:space="preserve"> </v>
      </c>
    </row>
    <row r="165" spans="1:6" ht="15">
      <c r="A165" s="4389">
        <v>13</v>
      </c>
      <c r="B165" s="4343" t="s">
        <v>3027</v>
      </c>
      <c r="C165" s="4246"/>
      <c r="D165" s="4232"/>
      <c r="E165" s="1263"/>
      <c r="F165" s="1263" t="str">
        <f t="shared" si="8"/>
        <v xml:space="preserve"> </v>
      </c>
    </row>
    <row r="166" spans="1:6" ht="71.25">
      <c r="A166" s="4392">
        <v>13.1</v>
      </c>
      <c r="B166" s="4230" t="s">
        <v>2351</v>
      </c>
      <c r="C166" s="4246">
        <v>126.04</v>
      </c>
      <c r="D166" s="4232" t="s">
        <v>1</v>
      </c>
      <c r="E166" s="1263"/>
      <c r="F166" s="1263">
        <f t="shared" si="8"/>
        <v>0</v>
      </c>
    </row>
    <row r="167" spans="1:6" s="4234" customFormat="1" ht="12.75" customHeight="1">
      <c r="A167" s="4392">
        <v>13.2</v>
      </c>
      <c r="B167" s="4230" t="s">
        <v>3599</v>
      </c>
      <c r="C167" s="4246">
        <v>3</v>
      </c>
      <c r="D167" s="4232" t="s">
        <v>2433</v>
      </c>
      <c r="E167" s="1263"/>
      <c r="F167" s="1263">
        <f t="shared" si="8"/>
        <v>0</v>
      </c>
    </row>
    <row r="168" spans="1:6" ht="14.25">
      <c r="A168" s="4392">
        <v>13.3</v>
      </c>
      <c r="B168" s="4230" t="s">
        <v>3598</v>
      </c>
      <c r="C168" s="4246">
        <v>2</v>
      </c>
      <c r="D168" s="4232" t="s">
        <v>2433</v>
      </c>
      <c r="E168" s="1263"/>
      <c r="F168" s="1263">
        <f t="shared" si="8"/>
        <v>0</v>
      </c>
    </row>
    <row r="169" spans="1:6" ht="14.25">
      <c r="A169" s="4388"/>
      <c r="B169" s="3432"/>
      <c r="C169" s="4246"/>
      <c r="D169" s="4232"/>
      <c r="E169" s="1263"/>
      <c r="F169" s="1263" t="str">
        <f t="shared" si="8"/>
        <v xml:space="preserve"> </v>
      </c>
    </row>
    <row r="170" spans="1:6" s="4227" customFormat="1" ht="28.5" customHeight="1">
      <c r="A170" s="4298">
        <v>14</v>
      </c>
      <c r="B170" s="4343" t="s">
        <v>3600</v>
      </c>
      <c r="C170" s="4299"/>
      <c r="D170" s="4209"/>
      <c r="E170" s="4300"/>
      <c r="F170" s="4301">
        <f t="shared" ref="F170:F174" si="9">ROUND(C170*E170,2)</f>
        <v>0</v>
      </c>
    </row>
    <row r="171" spans="1:6" s="4227" customFormat="1" ht="14.25">
      <c r="A171" s="4302">
        <v>14.1</v>
      </c>
      <c r="B171" s="4265" t="s">
        <v>4017</v>
      </c>
      <c r="C171" s="4299">
        <v>4</v>
      </c>
      <c r="D171" s="4209" t="s">
        <v>2433</v>
      </c>
      <c r="E171" s="4210"/>
      <c r="F171" s="4301">
        <f t="shared" si="9"/>
        <v>0</v>
      </c>
    </row>
    <row r="172" spans="1:6" s="4227" customFormat="1" ht="14.25">
      <c r="A172" s="4302">
        <v>14.2</v>
      </c>
      <c r="B172" s="4265" t="s">
        <v>3601</v>
      </c>
      <c r="C172" s="4299">
        <v>6</v>
      </c>
      <c r="D172" s="4209" t="s">
        <v>2433</v>
      </c>
      <c r="E172" s="4210"/>
      <c r="F172" s="4301">
        <f t="shared" si="9"/>
        <v>0</v>
      </c>
    </row>
    <row r="173" spans="1:6" s="4227" customFormat="1" ht="14.25">
      <c r="A173" s="4302">
        <v>14.3</v>
      </c>
      <c r="B173" s="4265" t="s">
        <v>4018</v>
      </c>
      <c r="C173" s="4299">
        <v>7</v>
      </c>
      <c r="D173" s="4209" t="s">
        <v>2433</v>
      </c>
      <c r="E173" s="4210"/>
      <c r="F173" s="4301">
        <f t="shared" si="9"/>
        <v>0</v>
      </c>
    </row>
    <row r="174" spans="1:6" s="4227" customFormat="1" ht="14.25">
      <c r="A174" s="4457">
        <v>14.4</v>
      </c>
      <c r="B174" s="4458" t="s">
        <v>4019</v>
      </c>
      <c r="C174" s="4459">
        <v>6</v>
      </c>
      <c r="D174" s="4460" t="s">
        <v>2433</v>
      </c>
      <c r="E174" s="4461"/>
      <c r="F174" s="4462">
        <f t="shared" si="9"/>
        <v>0</v>
      </c>
    </row>
    <row r="175" spans="1:6" ht="14.25">
      <c r="A175" s="4388"/>
      <c r="B175" s="4230"/>
      <c r="C175" s="4246"/>
      <c r="D175" s="4232"/>
      <c r="E175" s="1263"/>
      <c r="F175" s="1263" t="str">
        <f t="shared" si="8"/>
        <v xml:space="preserve"> </v>
      </c>
    </row>
    <row r="176" spans="1:6" ht="15">
      <c r="A176" s="4389">
        <v>15</v>
      </c>
      <c r="B176" s="4343" t="s">
        <v>764</v>
      </c>
      <c r="C176" s="4246"/>
      <c r="D176" s="4232"/>
      <c r="E176" s="1263"/>
      <c r="F176" s="1263" t="str">
        <f t="shared" si="8"/>
        <v xml:space="preserve"> </v>
      </c>
    </row>
    <row r="177" spans="1:6" ht="14.25">
      <c r="A177" s="4392">
        <v>15.1</v>
      </c>
      <c r="B177" s="4230" t="s">
        <v>2352</v>
      </c>
      <c r="C177" s="4246">
        <v>204.75</v>
      </c>
      <c r="D177" s="4232" t="s">
        <v>2432</v>
      </c>
      <c r="E177" s="1263"/>
      <c r="F177" s="1263">
        <f t="shared" si="8"/>
        <v>0</v>
      </c>
    </row>
    <row r="178" spans="1:6" ht="14.25">
      <c r="A178" s="4392">
        <v>15.2</v>
      </c>
      <c r="B178" s="4230" t="s">
        <v>2598</v>
      </c>
      <c r="C178" s="4246">
        <v>204.75</v>
      </c>
      <c r="D178" s="4232" t="s">
        <v>2432</v>
      </c>
      <c r="E178" s="1263"/>
      <c r="F178" s="1263">
        <f t="shared" si="8"/>
        <v>0</v>
      </c>
    </row>
    <row r="179" spans="1:6" ht="14.25">
      <c r="A179" s="4392">
        <v>15.3</v>
      </c>
      <c r="B179" s="4230" t="s">
        <v>2594</v>
      </c>
      <c r="C179" s="4246">
        <v>1</v>
      </c>
      <c r="D179" s="4232" t="s">
        <v>2433</v>
      </c>
      <c r="E179" s="1263"/>
      <c r="F179" s="1263">
        <f t="shared" si="8"/>
        <v>0</v>
      </c>
    </row>
    <row r="180" spans="1:6" s="4240" customFormat="1">
      <c r="A180" s="4303"/>
      <c r="B180" s="4304" t="s">
        <v>2127</v>
      </c>
      <c r="C180" s="4305"/>
      <c r="D180" s="4306"/>
      <c r="E180" s="4303"/>
      <c r="F180" s="4307">
        <f>SUM(F15:F179)</f>
        <v>0</v>
      </c>
    </row>
    <row r="181" spans="1:6" ht="14.25">
      <c r="A181" s="4388"/>
      <c r="B181" s="3433"/>
      <c r="C181" s="4231"/>
      <c r="D181" s="4267"/>
      <c r="E181" s="4268"/>
      <c r="F181" s="4233" t="str">
        <f t="shared" si="8"/>
        <v xml:space="preserve"> </v>
      </c>
    </row>
    <row r="182" spans="1:6" s="4222" customFormat="1" ht="15">
      <c r="A182" s="4396" t="s">
        <v>774</v>
      </c>
      <c r="B182" s="3435" t="s">
        <v>1995</v>
      </c>
      <c r="C182" s="4221"/>
      <c r="D182" s="4217"/>
      <c r="E182" s="4216"/>
      <c r="F182" s="4216" t="str">
        <f>IF(C182&gt;0,(ROUND((E182*C182),2))," ")</f>
        <v xml:space="preserve"> </v>
      </c>
    </row>
    <row r="183" spans="1:6" s="4225" customFormat="1" ht="15" customHeight="1">
      <c r="A183" s="4393"/>
      <c r="B183" s="3435"/>
      <c r="C183" s="4231"/>
      <c r="D183" s="4232"/>
      <c r="E183" s="4264"/>
      <c r="F183" s="4233" t="str">
        <f>IF(C183&gt;0,(ROUND((E183*C183),2))," ")</f>
        <v xml:space="preserve"> </v>
      </c>
    </row>
    <row r="184" spans="1:6" s="4238" customFormat="1" ht="15" customHeight="1">
      <c r="A184" s="4389">
        <v>1</v>
      </c>
      <c r="B184" s="4343" t="s">
        <v>2165</v>
      </c>
      <c r="C184" s="4262"/>
      <c r="D184" s="4263"/>
      <c r="E184" s="4264"/>
      <c r="F184" s="4264" t="str">
        <f>IF(C184&gt;0,(ROUND((E184*C184),2))," ")</f>
        <v xml:space="preserve"> </v>
      </c>
    </row>
    <row r="185" spans="1:6" s="4225" customFormat="1" ht="14.25" customHeight="1">
      <c r="A185" s="4392">
        <v>1.1000000000000001</v>
      </c>
      <c r="B185" s="4230" t="s">
        <v>4028</v>
      </c>
      <c r="C185" s="4231">
        <v>40</v>
      </c>
      <c r="D185" s="4249" t="s">
        <v>1</v>
      </c>
      <c r="E185" s="4233"/>
      <c r="F185" s="4233">
        <f>IF(C185&gt;0,(ROUND((E185*C185),2))," ")</f>
        <v>0</v>
      </c>
    </row>
    <row r="186" spans="1:6" s="4225" customFormat="1" ht="14.25" customHeight="1">
      <c r="A186" s="4388"/>
      <c r="B186" s="4230"/>
      <c r="C186" s="4231"/>
      <c r="D186" s="4249"/>
      <c r="E186" s="4233"/>
      <c r="F186" s="4233"/>
    </row>
    <row r="187" spans="1:6" s="4238" customFormat="1" ht="15" customHeight="1">
      <c r="A187" s="4389">
        <v>2</v>
      </c>
      <c r="B187" s="4343" t="s">
        <v>14</v>
      </c>
      <c r="C187" s="4262"/>
      <c r="D187" s="4271"/>
      <c r="E187" s="4264"/>
      <c r="F187" s="4264" t="str">
        <f t="shared" ref="F187:F250" si="10">IF(C187&gt;0,(ROUND((E187*C187),2))," ")</f>
        <v xml:space="preserve"> </v>
      </c>
    </row>
    <row r="188" spans="1:6" ht="14.25" customHeight="1">
      <c r="A188" s="4392">
        <v>2.1</v>
      </c>
      <c r="B188" s="4230" t="s">
        <v>2398</v>
      </c>
      <c r="C188" s="4231">
        <v>24.52</v>
      </c>
      <c r="D188" s="4249" t="s">
        <v>2430</v>
      </c>
      <c r="E188" s="4233"/>
      <c r="F188" s="4233">
        <f t="shared" si="10"/>
        <v>0</v>
      </c>
    </row>
    <row r="189" spans="1:6" ht="14.25" customHeight="1">
      <c r="A189" s="4392">
        <v>2.2000000000000002</v>
      </c>
      <c r="B189" s="3434" t="s">
        <v>2983</v>
      </c>
      <c r="C189" s="4233">
        <v>16.350000000000001</v>
      </c>
      <c r="D189" s="4249" t="s">
        <v>2431</v>
      </c>
      <c r="E189" s="4233"/>
      <c r="F189" s="4233">
        <f t="shared" si="10"/>
        <v>0</v>
      </c>
    </row>
    <row r="190" spans="1:6" ht="28.5" customHeight="1">
      <c r="A190" s="4392">
        <v>2.2999999999999998</v>
      </c>
      <c r="B190" s="3434" t="s">
        <v>3833</v>
      </c>
      <c r="C190" s="4231">
        <v>30.65</v>
      </c>
      <c r="D190" s="4232" t="s">
        <v>2525</v>
      </c>
      <c r="E190" s="4233"/>
      <c r="F190" s="4233">
        <f t="shared" si="10"/>
        <v>0</v>
      </c>
    </row>
    <row r="191" spans="1:6" s="4234" customFormat="1" ht="14.25" customHeight="1">
      <c r="A191" s="4392">
        <v>2.4</v>
      </c>
      <c r="B191" s="4230" t="s">
        <v>3832</v>
      </c>
      <c r="C191" s="4231">
        <v>25.2</v>
      </c>
      <c r="D191" s="4249" t="s">
        <v>2430</v>
      </c>
      <c r="E191" s="4233"/>
      <c r="F191" s="4233">
        <f t="shared" si="10"/>
        <v>0</v>
      </c>
    </row>
    <row r="192" spans="1:6" ht="14.25" customHeight="1">
      <c r="A192" s="4388"/>
      <c r="B192" s="4230"/>
      <c r="C192" s="4231"/>
      <c r="D192" s="4249"/>
      <c r="E192" s="4233"/>
      <c r="F192" s="4233" t="str">
        <f t="shared" si="10"/>
        <v xml:space="preserve"> </v>
      </c>
    </row>
    <row r="193" spans="1:6" s="4234" customFormat="1" ht="15" customHeight="1">
      <c r="A193" s="4389">
        <v>3</v>
      </c>
      <c r="B193" s="4343" t="s">
        <v>3707</v>
      </c>
      <c r="C193" s="4231"/>
      <c r="D193" s="4249"/>
      <c r="E193" s="4233"/>
      <c r="F193" s="4233" t="str">
        <f t="shared" si="10"/>
        <v xml:space="preserve"> </v>
      </c>
    </row>
    <row r="194" spans="1:6" s="4234" customFormat="1" ht="14.25" customHeight="1">
      <c r="A194" s="4392">
        <v>3.1</v>
      </c>
      <c r="B194" s="3433" t="s">
        <v>3963</v>
      </c>
      <c r="C194" s="4231">
        <v>6.57</v>
      </c>
      <c r="D194" s="4249" t="s">
        <v>2430</v>
      </c>
      <c r="E194" s="4233"/>
      <c r="F194" s="4233">
        <f t="shared" si="10"/>
        <v>0</v>
      </c>
    </row>
    <row r="195" spans="1:6" s="4234" customFormat="1" ht="14.25" customHeight="1">
      <c r="A195" s="4392">
        <v>3.2</v>
      </c>
      <c r="B195" s="3433" t="s">
        <v>3964</v>
      </c>
      <c r="C195" s="4231">
        <v>1.5</v>
      </c>
      <c r="D195" s="4249" t="s">
        <v>2430</v>
      </c>
      <c r="E195" s="4233"/>
      <c r="F195" s="4233">
        <f t="shared" si="10"/>
        <v>0</v>
      </c>
    </row>
    <row r="196" spans="1:6" s="4234" customFormat="1" ht="14.25" customHeight="1">
      <c r="A196" s="4392">
        <v>3.3</v>
      </c>
      <c r="B196" s="3433" t="s">
        <v>3965</v>
      </c>
      <c r="C196" s="4231">
        <v>0.19</v>
      </c>
      <c r="D196" s="4249" t="s">
        <v>2430</v>
      </c>
      <c r="E196" s="4233"/>
      <c r="F196" s="4233">
        <f t="shared" si="10"/>
        <v>0</v>
      </c>
    </row>
    <row r="197" spans="1:6" s="4234" customFormat="1" ht="14.25" customHeight="1">
      <c r="A197" s="4392">
        <v>3.4</v>
      </c>
      <c r="B197" s="4230" t="s">
        <v>3966</v>
      </c>
      <c r="C197" s="4231">
        <v>1.1200000000000001</v>
      </c>
      <c r="D197" s="4249" t="s">
        <v>2430</v>
      </c>
      <c r="E197" s="4233"/>
      <c r="F197" s="4233">
        <f t="shared" si="10"/>
        <v>0</v>
      </c>
    </row>
    <row r="198" spans="1:6" s="4234" customFormat="1" ht="14.25" customHeight="1">
      <c r="A198" s="4392">
        <v>3.5</v>
      </c>
      <c r="B198" s="3433" t="s">
        <v>3967</v>
      </c>
      <c r="C198" s="4231">
        <v>2.73</v>
      </c>
      <c r="D198" s="4249" t="s">
        <v>2430</v>
      </c>
      <c r="E198" s="4233"/>
      <c r="F198" s="4233">
        <f t="shared" si="10"/>
        <v>0</v>
      </c>
    </row>
    <row r="199" spans="1:6" s="4234" customFormat="1" ht="14.25" customHeight="1">
      <c r="A199" s="4392">
        <v>3.6</v>
      </c>
      <c r="B199" s="3433" t="s">
        <v>3968</v>
      </c>
      <c r="C199" s="4231">
        <v>1.03</v>
      </c>
      <c r="D199" s="4249" t="s">
        <v>2430</v>
      </c>
      <c r="E199" s="4233"/>
      <c r="F199" s="4233">
        <f t="shared" si="10"/>
        <v>0</v>
      </c>
    </row>
    <row r="200" spans="1:6" s="4234" customFormat="1" ht="14.25" customHeight="1">
      <c r="A200" s="4392">
        <v>3.7</v>
      </c>
      <c r="B200" s="4230" t="s">
        <v>3969</v>
      </c>
      <c r="C200" s="4231">
        <v>0.8</v>
      </c>
      <c r="D200" s="4249" t="s">
        <v>2430</v>
      </c>
      <c r="E200" s="4233"/>
      <c r="F200" s="4233">
        <f t="shared" si="10"/>
        <v>0</v>
      </c>
    </row>
    <row r="201" spans="1:6" s="4234" customFormat="1" ht="14.25" customHeight="1">
      <c r="A201" s="4392">
        <v>3.8</v>
      </c>
      <c r="B201" s="4230" t="s">
        <v>3970</v>
      </c>
      <c r="C201" s="4231">
        <v>1.51</v>
      </c>
      <c r="D201" s="4249" t="s">
        <v>2430</v>
      </c>
      <c r="E201" s="4233"/>
      <c r="F201" s="4233">
        <f t="shared" si="10"/>
        <v>0</v>
      </c>
    </row>
    <row r="202" spans="1:6" s="4234" customFormat="1" ht="14.25" customHeight="1">
      <c r="A202" s="4392">
        <v>3.9</v>
      </c>
      <c r="B202" s="4230" t="s">
        <v>3971</v>
      </c>
      <c r="C202" s="4231">
        <v>1.88</v>
      </c>
      <c r="D202" s="4249" t="s">
        <v>2430</v>
      </c>
      <c r="E202" s="4233"/>
      <c r="F202" s="4233">
        <f t="shared" si="10"/>
        <v>0</v>
      </c>
    </row>
    <row r="203" spans="1:6" s="4234" customFormat="1" ht="14.25" customHeight="1">
      <c r="A203" s="4388">
        <v>3.1</v>
      </c>
      <c r="B203" s="4230" t="s">
        <v>3972</v>
      </c>
      <c r="C203" s="4231">
        <v>1.32</v>
      </c>
      <c r="D203" s="4249" t="s">
        <v>2430</v>
      </c>
      <c r="E203" s="4233"/>
      <c r="F203" s="4233">
        <f t="shared" si="10"/>
        <v>0</v>
      </c>
    </row>
    <row r="204" spans="1:6" s="4234" customFormat="1" ht="14.25" customHeight="1">
      <c r="A204" s="4388">
        <v>3.11</v>
      </c>
      <c r="B204" s="4230" t="s">
        <v>3973</v>
      </c>
      <c r="C204" s="4231">
        <v>12.1</v>
      </c>
      <c r="D204" s="4249" t="s">
        <v>2430</v>
      </c>
      <c r="E204" s="4233"/>
      <c r="F204" s="4233">
        <f t="shared" si="10"/>
        <v>0</v>
      </c>
    </row>
    <row r="205" spans="1:6" s="4234" customFormat="1" ht="14.25" customHeight="1">
      <c r="A205" s="4388">
        <v>3.12</v>
      </c>
      <c r="B205" s="4230" t="s">
        <v>3974</v>
      </c>
      <c r="C205" s="4231">
        <v>1.2</v>
      </c>
      <c r="D205" s="4249" t="s">
        <v>2430</v>
      </c>
      <c r="E205" s="4233"/>
      <c r="F205" s="4233">
        <f t="shared" si="10"/>
        <v>0</v>
      </c>
    </row>
    <row r="206" spans="1:6" s="4234" customFormat="1" ht="14.25" customHeight="1">
      <c r="A206" s="4388">
        <v>3.13</v>
      </c>
      <c r="B206" s="4230" t="s">
        <v>3975</v>
      </c>
      <c r="C206" s="4231">
        <v>1.27</v>
      </c>
      <c r="D206" s="4249" t="s">
        <v>2430</v>
      </c>
      <c r="E206" s="4233"/>
      <c r="F206" s="4233">
        <f t="shared" si="10"/>
        <v>0</v>
      </c>
    </row>
    <row r="207" spans="1:6" s="4234" customFormat="1" ht="14.25" customHeight="1">
      <c r="A207" s="4388">
        <v>3.14</v>
      </c>
      <c r="B207" s="4230" t="s">
        <v>3976</v>
      </c>
      <c r="C207" s="4231">
        <v>0.68</v>
      </c>
      <c r="D207" s="4249" t="s">
        <v>2430</v>
      </c>
      <c r="E207" s="4233"/>
      <c r="F207" s="4233">
        <f t="shared" si="10"/>
        <v>0</v>
      </c>
    </row>
    <row r="208" spans="1:6" s="4234" customFormat="1" ht="14.25" customHeight="1">
      <c r="A208" s="4388">
        <v>3.15</v>
      </c>
      <c r="B208" s="4230" t="s">
        <v>3977</v>
      </c>
      <c r="C208" s="4231">
        <v>1.17</v>
      </c>
      <c r="D208" s="4249" t="s">
        <v>2430</v>
      </c>
      <c r="E208" s="4233"/>
      <c r="F208" s="4233">
        <f t="shared" si="10"/>
        <v>0</v>
      </c>
    </row>
    <row r="209" spans="1:6" s="4234" customFormat="1" ht="14.25" customHeight="1">
      <c r="A209" s="4388">
        <v>3.16</v>
      </c>
      <c r="B209" s="4230" t="s">
        <v>3978</v>
      </c>
      <c r="C209" s="4231">
        <v>1.1200000000000001</v>
      </c>
      <c r="D209" s="4249" t="s">
        <v>2430</v>
      </c>
      <c r="E209" s="4233"/>
      <c r="F209" s="4233">
        <f t="shared" si="10"/>
        <v>0</v>
      </c>
    </row>
    <row r="210" spans="1:6" s="4234" customFormat="1" ht="14.25" customHeight="1">
      <c r="A210" s="4388">
        <v>3.17</v>
      </c>
      <c r="B210" s="4230" t="s">
        <v>3979</v>
      </c>
      <c r="C210" s="4231">
        <v>7.56</v>
      </c>
      <c r="D210" s="4249" t="s">
        <v>2430</v>
      </c>
      <c r="E210" s="4233"/>
      <c r="F210" s="4233">
        <f t="shared" si="10"/>
        <v>0</v>
      </c>
    </row>
    <row r="211" spans="1:6" s="4234" customFormat="1" ht="14.25" customHeight="1">
      <c r="A211" s="4388">
        <v>3.18</v>
      </c>
      <c r="B211" s="4230" t="s">
        <v>3980</v>
      </c>
      <c r="C211" s="4231">
        <v>8.94</v>
      </c>
      <c r="D211" s="4249" t="s">
        <v>2430</v>
      </c>
      <c r="E211" s="4233"/>
      <c r="F211" s="4233">
        <f t="shared" si="10"/>
        <v>0</v>
      </c>
    </row>
    <row r="212" spans="1:6" s="4234" customFormat="1" ht="14.25" customHeight="1">
      <c r="A212" s="4388">
        <v>3.19</v>
      </c>
      <c r="B212" s="4230" t="s">
        <v>3981</v>
      </c>
      <c r="C212" s="4231">
        <v>1.68</v>
      </c>
      <c r="D212" s="4249" t="s">
        <v>2430</v>
      </c>
      <c r="E212" s="4233"/>
      <c r="F212" s="4233">
        <f t="shared" si="10"/>
        <v>0</v>
      </c>
    </row>
    <row r="213" spans="1:6" s="4225" customFormat="1" ht="14.25" customHeight="1">
      <c r="A213" s="4388">
        <v>3.2</v>
      </c>
      <c r="B213" s="4230" t="s">
        <v>3982</v>
      </c>
      <c r="C213" s="4231">
        <v>6.23</v>
      </c>
      <c r="D213" s="4249" t="s">
        <v>2430</v>
      </c>
      <c r="E213" s="4233"/>
      <c r="F213" s="4233">
        <f t="shared" si="10"/>
        <v>0</v>
      </c>
    </row>
    <row r="214" spans="1:6" s="4225" customFormat="1" ht="14.25" customHeight="1">
      <c r="A214" s="4388">
        <v>3.21</v>
      </c>
      <c r="B214" s="4230" t="s">
        <v>3983</v>
      </c>
      <c r="C214" s="4231">
        <v>3.94</v>
      </c>
      <c r="D214" s="4249" t="s">
        <v>2430</v>
      </c>
      <c r="E214" s="4233"/>
      <c r="F214" s="4233">
        <f t="shared" si="10"/>
        <v>0</v>
      </c>
    </row>
    <row r="215" spans="1:6" s="4225" customFormat="1" ht="14.25" customHeight="1">
      <c r="A215" s="4388"/>
      <c r="B215" s="4230"/>
      <c r="C215" s="4231"/>
      <c r="D215" s="4249"/>
      <c r="E215" s="4233"/>
      <c r="F215" s="4233"/>
    </row>
    <row r="216" spans="1:6" ht="15" customHeight="1">
      <c r="A216" s="4389">
        <v>4</v>
      </c>
      <c r="B216" s="4343" t="s">
        <v>784</v>
      </c>
      <c r="C216" s="4231"/>
      <c r="D216" s="4249"/>
      <c r="E216" s="4233"/>
      <c r="F216" s="4233" t="str">
        <f t="shared" si="10"/>
        <v xml:space="preserve"> </v>
      </c>
    </row>
    <row r="217" spans="1:6" s="4225" customFormat="1" ht="14.25" customHeight="1">
      <c r="A217" s="4392">
        <v>4.0999999999999996</v>
      </c>
      <c r="B217" s="4184" t="s">
        <v>3984</v>
      </c>
      <c r="C217" s="4446">
        <v>16.399999999999999</v>
      </c>
      <c r="D217" s="4249" t="s">
        <v>2432</v>
      </c>
      <c r="E217" s="4233"/>
      <c r="F217" s="4233">
        <f t="shared" si="10"/>
        <v>0</v>
      </c>
    </row>
    <row r="218" spans="1:6" s="4225" customFormat="1" ht="14.25" customHeight="1">
      <c r="A218" s="4392">
        <v>4.2</v>
      </c>
      <c r="B218" s="4184" t="s">
        <v>3985</v>
      </c>
      <c r="C218" s="4446">
        <v>190.26</v>
      </c>
      <c r="D218" s="4249" t="s">
        <v>2432</v>
      </c>
      <c r="E218" s="4233"/>
      <c r="F218" s="4233">
        <f t="shared" si="10"/>
        <v>0</v>
      </c>
    </row>
    <row r="219" spans="1:6" s="4225" customFormat="1" ht="14.25" customHeight="1">
      <c r="A219" s="4392">
        <v>4.3</v>
      </c>
      <c r="B219" s="4230" t="s">
        <v>3986</v>
      </c>
      <c r="C219" s="4275">
        <v>22.44</v>
      </c>
      <c r="D219" s="4232" t="s">
        <v>2432</v>
      </c>
      <c r="E219" s="4233"/>
      <c r="F219" s="4233">
        <f t="shared" si="10"/>
        <v>0</v>
      </c>
    </row>
    <row r="220" spans="1:6" ht="14.25" customHeight="1">
      <c r="A220" s="4454"/>
      <c r="B220" s="4450"/>
      <c r="C220" s="4464"/>
      <c r="D220" s="4465"/>
      <c r="E220" s="4466"/>
      <c r="F220" s="4466" t="str">
        <f t="shared" si="10"/>
        <v xml:space="preserve"> </v>
      </c>
    </row>
    <row r="221" spans="1:6" ht="15" customHeight="1">
      <c r="A221" s="4389">
        <v>5</v>
      </c>
      <c r="B221" s="4343" t="s">
        <v>787</v>
      </c>
      <c r="C221" s="4231"/>
      <c r="D221" s="4249"/>
      <c r="E221" s="4233"/>
      <c r="F221" s="4233" t="str">
        <f t="shared" si="10"/>
        <v xml:space="preserve"> </v>
      </c>
    </row>
    <row r="222" spans="1:6" ht="14.25" customHeight="1">
      <c r="A222" s="4392">
        <v>5.0999999999999996</v>
      </c>
      <c r="B222" s="4230" t="s">
        <v>2360</v>
      </c>
      <c r="C222" s="4231">
        <v>521.63</v>
      </c>
      <c r="D222" s="4249" t="s">
        <v>2432</v>
      </c>
      <c r="E222" s="4233"/>
      <c r="F222" s="4233">
        <f t="shared" si="10"/>
        <v>0</v>
      </c>
    </row>
    <row r="223" spans="1:6" ht="14.25" customHeight="1">
      <c r="A223" s="4392">
        <v>5.2</v>
      </c>
      <c r="B223" s="4230" t="s">
        <v>2361</v>
      </c>
      <c r="C223" s="4231">
        <v>73.92</v>
      </c>
      <c r="D223" s="4249" t="s">
        <v>2432</v>
      </c>
      <c r="E223" s="4233"/>
      <c r="F223" s="4233">
        <f t="shared" si="10"/>
        <v>0</v>
      </c>
    </row>
    <row r="224" spans="1:6" ht="14.25" customHeight="1">
      <c r="A224" s="4392">
        <v>5.3</v>
      </c>
      <c r="B224" s="4230" t="s">
        <v>3525</v>
      </c>
      <c r="C224" s="4231">
        <v>33.200000000000003</v>
      </c>
      <c r="D224" s="4249" t="s">
        <v>2432</v>
      </c>
      <c r="E224" s="4233"/>
      <c r="F224" s="4233">
        <f t="shared" si="10"/>
        <v>0</v>
      </c>
    </row>
    <row r="225" spans="1:6" ht="14.25" customHeight="1">
      <c r="A225" s="4392">
        <v>5.4</v>
      </c>
      <c r="B225" s="4230" t="s">
        <v>1548</v>
      </c>
      <c r="C225" s="4231">
        <v>478.68</v>
      </c>
      <c r="D225" s="4249" t="s">
        <v>1</v>
      </c>
      <c r="E225" s="4233"/>
      <c r="F225" s="4233">
        <f t="shared" si="10"/>
        <v>0</v>
      </c>
    </row>
    <row r="226" spans="1:6" ht="14.25" customHeight="1">
      <c r="A226" s="4392">
        <v>5.5</v>
      </c>
      <c r="B226" s="4230" t="s">
        <v>2362</v>
      </c>
      <c r="C226" s="4231">
        <v>33.799999999999997</v>
      </c>
      <c r="D226" s="4249" t="s">
        <v>1</v>
      </c>
      <c r="E226" s="4233"/>
      <c r="F226" s="4233">
        <f t="shared" si="10"/>
        <v>0</v>
      </c>
    </row>
    <row r="227" spans="1:6" ht="14.25" customHeight="1">
      <c r="A227" s="4392">
        <v>5.6</v>
      </c>
      <c r="B227" s="4230" t="s">
        <v>2363</v>
      </c>
      <c r="C227" s="3540">
        <v>3.11</v>
      </c>
      <c r="D227" s="4232" t="s">
        <v>2432</v>
      </c>
      <c r="E227" s="4233"/>
      <c r="F227" s="4233">
        <f t="shared" si="10"/>
        <v>0</v>
      </c>
    </row>
    <row r="228" spans="1:6" ht="14.25" customHeight="1">
      <c r="A228" s="4392">
        <v>5.7</v>
      </c>
      <c r="B228" s="4230" t="s">
        <v>2364</v>
      </c>
      <c r="C228" s="4231">
        <v>15.18</v>
      </c>
      <c r="D228" s="4249" t="s">
        <v>2432</v>
      </c>
      <c r="E228" s="4233"/>
      <c r="F228" s="4233">
        <f t="shared" si="10"/>
        <v>0</v>
      </c>
    </row>
    <row r="229" spans="1:6" ht="14.25" customHeight="1">
      <c r="A229" s="4392">
        <v>5.8</v>
      </c>
      <c r="B229" s="4230" t="s">
        <v>2365</v>
      </c>
      <c r="C229" s="4231">
        <v>4.95</v>
      </c>
      <c r="D229" s="4249" t="s">
        <v>2432</v>
      </c>
      <c r="E229" s="4233"/>
      <c r="F229" s="4233">
        <f t="shared" si="10"/>
        <v>0</v>
      </c>
    </row>
    <row r="230" spans="1:6" s="4225" customFormat="1" ht="14.25" customHeight="1">
      <c r="A230" s="4392">
        <v>5.9</v>
      </c>
      <c r="B230" s="4230" t="s">
        <v>2366</v>
      </c>
      <c r="C230" s="4231">
        <v>20.13</v>
      </c>
      <c r="D230" s="4249" t="s">
        <v>2432</v>
      </c>
      <c r="E230" s="4233"/>
      <c r="F230" s="4233">
        <f t="shared" si="10"/>
        <v>0</v>
      </c>
    </row>
    <row r="231" spans="1:6" ht="14.25" customHeight="1">
      <c r="A231" s="4388">
        <v>5.0999999999999996</v>
      </c>
      <c r="B231" s="4230" t="s">
        <v>2367</v>
      </c>
      <c r="C231" s="4231">
        <v>98.88</v>
      </c>
      <c r="D231" s="4249" t="s">
        <v>2432</v>
      </c>
      <c r="E231" s="4233"/>
      <c r="F231" s="4233">
        <f t="shared" si="10"/>
        <v>0</v>
      </c>
    </row>
    <row r="232" spans="1:6" ht="14.25" customHeight="1">
      <c r="A232" s="4388">
        <v>5.1100000000000003</v>
      </c>
      <c r="B232" s="4230" t="s">
        <v>2368</v>
      </c>
      <c r="C232" s="4231">
        <v>77.150000000000006</v>
      </c>
      <c r="D232" s="4249" t="s">
        <v>1</v>
      </c>
      <c r="E232" s="4233"/>
      <c r="F232" s="4233">
        <f t="shared" si="10"/>
        <v>0</v>
      </c>
    </row>
    <row r="233" spans="1:6" ht="14.25" customHeight="1">
      <c r="A233" s="4388">
        <v>5.12</v>
      </c>
      <c r="B233" s="4230" t="s">
        <v>2369</v>
      </c>
      <c r="C233" s="4231">
        <v>598.66</v>
      </c>
      <c r="D233" s="4249" t="s">
        <v>2432</v>
      </c>
      <c r="E233" s="4233"/>
      <c r="F233" s="4233">
        <f t="shared" si="10"/>
        <v>0</v>
      </c>
    </row>
    <row r="234" spans="1:6" ht="14.25" customHeight="1">
      <c r="A234" s="4388">
        <v>5.13</v>
      </c>
      <c r="B234" s="4230" t="s">
        <v>2352</v>
      </c>
      <c r="C234" s="4231">
        <v>598.66</v>
      </c>
      <c r="D234" s="4249" t="s">
        <v>2432</v>
      </c>
      <c r="E234" s="4233"/>
      <c r="F234" s="4233">
        <f t="shared" si="10"/>
        <v>0</v>
      </c>
    </row>
    <row r="235" spans="1:6" ht="14.25" customHeight="1">
      <c r="A235" s="4388">
        <v>5.14</v>
      </c>
      <c r="B235" s="4230" t="s">
        <v>2346</v>
      </c>
      <c r="C235" s="4231">
        <v>27.84</v>
      </c>
      <c r="D235" s="4249" t="s">
        <v>2432</v>
      </c>
      <c r="E235" s="4233"/>
      <c r="F235" s="4233">
        <f t="shared" si="10"/>
        <v>0</v>
      </c>
    </row>
    <row r="236" spans="1:6" ht="14.25" customHeight="1">
      <c r="A236" s="4388"/>
      <c r="B236" s="4230"/>
      <c r="C236" s="4231"/>
      <c r="D236" s="4249"/>
      <c r="E236" s="4233"/>
      <c r="F236" s="4233" t="str">
        <f t="shared" si="10"/>
        <v xml:space="preserve"> </v>
      </c>
    </row>
    <row r="237" spans="1:6" ht="15" customHeight="1">
      <c r="A237" s="4389">
        <v>6</v>
      </c>
      <c r="B237" s="4343" t="s">
        <v>2741</v>
      </c>
      <c r="C237" s="4231"/>
      <c r="D237" s="4249"/>
      <c r="E237" s="4233"/>
      <c r="F237" s="4233" t="str">
        <f t="shared" si="10"/>
        <v xml:space="preserve"> </v>
      </c>
    </row>
    <row r="238" spans="1:6" s="4225" customFormat="1" ht="14.25" customHeight="1">
      <c r="A238" s="4392">
        <v>6.1</v>
      </c>
      <c r="B238" s="4230" t="s">
        <v>2935</v>
      </c>
      <c r="C238" s="4231">
        <v>5</v>
      </c>
      <c r="D238" s="4232" t="s">
        <v>2433</v>
      </c>
      <c r="E238" s="4233"/>
      <c r="F238" s="4233">
        <f t="shared" si="10"/>
        <v>0</v>
      </c>
    </row>
    <row r="239" spans="1:6" s="4225" customFormat="1" ht="14.25" customHeight="1">
      <c r="A239" s="4392">
        <v>6.2</v>
      </c>
      <c r="B239" s="4230" t="s">
        <v>3603</v>
      </c>
      <c r="C239" s="4231">
        <v>1</v>
      </c>
      <c r="D239" s="4232" t="s">
        <v>2433</v>
      </c>
      <c r="E239" s="4233"/>
      <c r="F239" s="4233">
        <f t="shared" si="10"/>
        <v>0</v>
      </c>
    </row>
    <row r="240" spans="1:6" s="4225" customFormat="1" ht="14.25" customHeight="1">
      <c r="A240" s="4392">
        <v>6.3</v>
      </c>
      <c r="B240" s="4212" t="s">
        <v>3604</v>
      </c>
      <c r="C240" s="4233">
        <v>185.26</v>
      </c>
      <c r="D240" s="4232" t="s">
        <v>2601</v>
      </c>
      <c r="E240" s="4233"/>
      <c r="F240" s="4233">
        <f t="shared" si="10"/>
        <v>0</v>
      </c>
    </row>
    <row r="241" spans="1:6" ht="14.25" customHeight="1">
      <c r="A241" s="4388"/>
      <c r="B241" s="4230"/>
      <c r="C241" s="4231"/>
      <c r="D241" s="4249"/>
      <c r="E241" s="4233"/>
      <c r="F241" s="4233" t="str">
        <f t="shared" si="10"/>
        <v xml:space="preserve"> </v>
      </c>
    </row>
    <row r="242" spans="1:6" ht="15" customHeight="1">
      <c r="A242" s="4389">
        <v>7</v>
      </c>
      <c r="B242" s="4343" t="s">
        <v>3708</v>
      </c>
      <c r="C242" s="4231"/>
      <c r="D242" s="4249"/>
      <c r="E242" s="4233"/>
      <c r="F242" s="4233" t="str">
        <f t="shared" si="10"/>
        <v xml:space="preserve"> </v>
      </c>
    </row>
    <row r="243" spans="1:6" s="4225" customFormat="1" ht="14.25" customHeight="1">
      <c r="A243" s="4392">
        <v>7.1</v>
      </c>
      <c r="B243" s="4230" t="s">
        <v>2370</v>
      </c>
      <c r="C243" s="4231">
        <v>3</v>
      </c>
      <c r="D243" s="4232" t="s">
        <v>2433</v>
      </c>
      <c r="E243" s="4231"/>
      <c r="F243" s="4233">
        <f t="shared" si="10"/>
        <v>0</v>
      </c>
    </row>
    <row r="244" spans="1:6" ht="71.25" customHeight="1">
      <c r="A244" s="4392">
        <v>7.2</v>
      </c>
      <c r="B244" s="4206" t="s">
        <v>3987</v>
      </c>
      <c r="C244" s="4231">
        <v>2</v>
      </c>
      <c r="D244" s="4232" t="s">
        <v>2433</v>
      </c>
      <c r="E244" s="4345"/>
      <c r="F244" s="4233">
        <f t="shared" si="10"/>
        <v>0</v>
      </c>
    </row>
    <row r="245" spans="1:6" ht="14.25" customHeight="1">
      <c r="A245" s="4392">
        <v>7.3</v>
      </c>
      <c r="B245" s="4230" t="s">
        <v>2371</v>
      </c>
      <c r="C245" s="4231">
        <v>1</v>
      </c>
      <c r="D245" s="4232" t="s">
        <v>2433</v>
      </c>
      <c r="E245" s="4233"/>
      <c r="F245" s="4233">
        <f t="shared" si="10"/>
        <v>0</v>
      </c>
    </row>
    <row r="246" spans="1:6" s="4225" customFormat="1" ht="57" customHeight="1">
      <c r="A246" s="4392">
        <v>7.4</v>
      </c>
      <c r="B246" s="4206" t="s">
        <v>3605</v>
      </c>
      <c r="C246" s="4231">
        <v>2</v>
      </c>
      <c r="D246" s="4232" t="s">
        <v>2433</v>
      </c>
      <c r="E246" s="4233"/>
      <c r="F246" s="4233">
        <f t="shared" si="10"/>
        <v>0</v>
      </c>
    </row>
    <row r="247" spans="1:6" s="3532" customFormat="1" ht="15.75" customHeight="1">
      <c r="A247" s="4392">
        <v>7.5</v>
      </c>
      <c r="B247" s="4230" t="s">
        <v>3606</v>
      </c>
      <c r="C247" s="4231">
        <v>1</v>
      </c>
      <c r="D247" s="4232" t="s">
        <v>2433</v>
      </c>
      <c r="E247" s="4233"/>
      <c r="F247" s="4233">
        <f t="shared" si="10"/>
        <v>0</v>
      </c>
    </row>
    <row r="248" spans="1:6" s="3532" customFormat="1" ht="28.5" customHeight="1">
      <c r="A248" s="4392">
        <v>7.6</v>
      </c>
      <c r="B248" s="4230" t="s">
        <v>3607</v>
      </c>
      <c r="C248" s="4231">
        <v>1</v>
      </c>
      <c r="D248" s="4249" t="s">
        <v>42</v>
      </c>
      <c r="E248" s="4233"/>
      <c r="F248" s="4233">
        <f t="shared" si="10"/>
        <v>0</v>
      </c>
    </row>
    <row r="249" spans="1:6" s="4225" customFormat="1" ht="14.25" customHeight="1">
      <c r="A249" s="4392">
        <v>7.7</v>
      </c>
      <c r="B249" s="4212" t="s">
        <v>3988</v>
      </c>
      <c r="C249" s="4231">
        <v>1</v>
      </c>
      <c r="D249" s="4232" t="s">
        <v>2433</v>
      </c>
      <c r="E249" s="4233"/>
      <c r="F249" s="4233">
        <f t="shared" si="10"/>
        <v>0</v>
      </c>
    </row>
    <row r="250" spans="1:6" ht="14.25" customHeight="1">
      <c r="A250" s="4388"/>
      <c r="B250" s="4230"/>
      <c r="C250" s="4231"/>
      <c r="D250" s="4249"/>
      <c r="E250" s="4233"/>
      <c r="F250" s="4233" t="str">
        <f t="shared" si="10"/>
        <v xml:space="preserve"> </v>
      </c>
    </row>
    <row r="251" spans="1:6" ht="15" customHeight="1">
      <c r="A251" s="4389">
        <v>8</v>
      </c>
      <c r="B251" s="4343" t="s">
        <v>808</v>
      </c>
      <c r="C251" s="4231"/>
      <c r="D251" s="4249"/>
      <c r="E251" s="4233"/>
      <c r="F251" s="4233" t="str">
        <f t="shared" ref="F251" si="11">IF(C251&gt;0,(ROUND((E251*C251),2))," ")</f>
        <v xml:space="preserve"> </v>
      </c>
    </row>
    <row r="252" spans="1:6" ht="15" customHeight="1">
      <c r="A252" s="4389"/>
      <c r="B252" s="4207" t="s">
        <v>2028</v>
      </c>
      <c r="C252" s="4208"/>
      <c r="D252" s="4194"/>
      <c r="E252" s="4447"/>
      <c r="F252" s="4233"/>
    </row>
    <row r="253" spans="1:6" ht="15" customHeight="1">
      <c r="A253" s="4389"/>
      <c r="B253" s="4212" t="s">
        <v>3989</v>
      </c>
      <c r="C253" s="4191">
        <v>1</v>
      </c>
      <c r="D253" s="4194" t="s">
        <v>2433</v>
      </c>
      <c r="E253" s="4210"/>
      <c r="F253" s="4233">
        <f t="shared" ref="F253:F292" si="12">IF(C253&gt;0,(ROUND((E253*C253),2))," ")</f>
        <v>0</v>
      </c>
    </row>
    <row r="254" spans="1:6" ht="15" customHeight="1">
      <c r="A254" s="4389"/>
      <c r="B254" s="4212" t="s">
        <v>3990</v>
      </c>
      <c r="C254" s="4191">
        <v>36</v>
      </c>
      <c r="D254" s="4194" t="s">
        <v>2433</v>
      </c>
      <c r="E254" s="4210"/>
      <c r="F254" s="4233">
        <f t="shared" si="12"/>
        <v>0</v>
      </c>
    </row>
    <row r="255" spans="1:6" ht="15" customHeight="1">
      <c r="A255" s="4389"/>
      <c r="B255" s="4212" t="s">
        <v>3991</v>
      </c>
      <c r="C255" s="4191">
        <v>6</v>
      </c>
      <c r="D255" s="4194" t="s">
        <v>2433</v>
      </c>
      <c r="E255" s="4210"/>
      <c r="F255" s="4233">
        <f t="shared" si="12"/>
        <v>0</v>
      </c>
    </row>
    <row r="256" spans="1:6" ht="15" customHeight="1">
      <c r="A256" s="4389"/>
      <c r="B256" s="4212" t="s">
        <v>3992</v>
      </c>
      <c r="C256" s="4191">
        <v>1</v>
      </c>
      <c r="D256" s="4194" t="s">
        <v>2433</v>
      </c>
      <c r="E256" s="4210"/>
      <c r="F256" s="4233">
        <f t="shared" si="12"/>
        <v>0</v>
      </c>
    </row>
    <row r="257" spans="1:6" ht="15" customHeight="1">
      <c r="A257" s="4389"/>
      <c r="B257" s="4212" t="s">
        <v>3993</v>
      </c>
      <c r="C257" s="4191">
        <v>6</v>
      </c>
      <c r="D257" s="4194" t="s">
        <v>2433</v>
      </c>
      <c r="E257" s="4210"/>
      <c r="F257" s="4233">
        <f t="shared" si="12"/>
        <v>0</v>
      </c>
    </row>
    <row r="258" spans="1:6" ht="15" customHeight="1">
      <c r="A258" s="4389"/>
      <c r="B258" s="4212" t="s">
        <v>3994</v>
      </c>
      <c r="C258" s="4191">
        <v>3</v>
      </c>
      <c r="D258" s="4194" t="s">
        <v>2433</v>
      </c>
      <c r="E258" s="4210"/>
      <c r="F258" s="4233">
        <f t="shared" si="12"/>
        <v>0</v>
      </c>
    </row>
    <row r="259" spans="1:6" ht="15" customHeight="1">
      <c r="A259" s="4389"/>
      <c r="B259" s="4212" t="s">
        <v>3995</v>
      </c>
      <c r="C259" s="4191">
        <v>8</v>
      </c>
      <c r="D259" s="4194" t="s">
        <v>2433</v>
      </c>
      <c r="E259" s="4210"/>
      <c r="F259" s="4233">
        <f t="shared" si="12"/>
        <v>0</v>
      </c>
    </row>
    <row r="260" spans="1:6" ht="15" customHeight="1">
      <c r="A260" s="4389"/>
      <c r="B260" s="4212" t="s">
        <v>3996</v>
      </c>
      <c r="C260" s="4191">
        <v>7</v>
      </c>
      <c r="D260" s="4194" t="s">
        <v>2433</v>
      </c>
      <c r="E260" s="4210"/>
      <c r="F260" s="4233">
        <f t="shared" si="12"/>
        <v>0</v>
      </c>
    </row>
    <row r="261" spans="1:6" ht="15" customHeight="1">
      <c r="A261" s="4389"/>
      <c r="B261" s="4212" t="s">
        <v>3997</v>
      </c>
      <c r="C261" s="4191">
        <v>5</v>
      </c>
      <c r="D261" s="4194" t="s">
        <v>2433</v>
      </c>
      <c r="E261" s="4210"/>
      <c r="F261" s="4233">
        <f t="shared" si="12"/>
        <v>0</v>
      </c>
    </row>
    <row r="262" spans="1:6" ht="15" customHeight="1">
      <c r="A262" s="4389"/>
      <c r="B262" s="4212" t="s">
        <v>3998</v>
      </c>
      <c r="C262" s="4191">
        <v>1</v>
      </c>
      <c r="D262" s="4217" t="s">
        <v>42</v>
      </c>
      <c r="E262" s="4210"/>
      <c r="F262" s="4233">
        <f t="shared" si="12"/>
        <v>0</v>
      </c>
    </row>
    <row r="263" spans="1:6" ht="15" customHeight="1">
      <c r="A263" s="4389"/>
      <c r="B263" s="4212" t="s">
        <v>3999</v>
      </c>
      <c r="C263" s="4208">
        <v>16</v>
      </c>
      <c r="D263" s="4194" t="s">
        <v>2433</v>
      </c>
      <c r="E263" s="4359"/>
      <c r="F263" s="4233">
        <f t="shared" si="12"/>
        <v>0</v>
      </c>
    </row>
    <row r="264" spans="1:6" ht="15" customHeight="1">
      <c r="A264" s="4463"/>
      <c r="B264" s="4474" t="s">
        <v>4000</v>
      </c>
      <c r="C264" s="4475">
        <v>1</v>
      </c>
      <c r="D264" s="4476" t="s">
        <v>2433</v>
      </c>
      <c r="E264" s="4477"/>
      <c r="F264" s="4466">
        <f t="shared" si="12"/>
        <v>0</v>
      </c>
    </row>
    <row r="265" spans="1:6" ht="15" customHeight="1">
      <c r="A265" s="4389"/>
      <c r="B265" s="4212" t="s">
        <v>4001</v>
      </c>
      <c r="C265" s="4191">
        <v>8</v>
      </c>
      <c r="D265" s="4194" t="s">
        <v>2433</v>
      </c>
      <c r="E265" s="4210"/>
      <c r="F265" s="4233">
        <f t="shared" si="12"/>
        <v>0</v>
      </c>
    </row>
    <row r="266" spans="1:6" ht="15" customHeight="1">
      <c r="A266" s="4389"/>
      <c r="B266" s="4212" t="s">
        <v>4002</v>
      </c>
      <c r="C266" s="4191">
        <v>2</v>
      </c>
      <c r="D266" s="4194" t="s">
        <v>2433</v>
      </c>
      <c r="E266" s="4210"/>
      <c r="F266" s="4233">
        <f t="shared" si="12"/>
        <v>0</v>
      </c>
    </row>
    <row r="267" spans="1:6" ht="15" customHeight="1">
      <c r="A267" s="4389"/>
      <c r="B267" s="4212" t="s">
        <v>4003</v>
      </c>
      <c r="C267" s="4191">
        <v>5</v>
      </c>
      <c r="D267" s="4194" t="s">
        <v>3956</v>
      </c>
      <c r="E267" s="4210"/>
      <c r="F267" s="4233">
        <f t="shared" si="12"/>
        <v>0</v>
      </c>
    </row>
    <row r="268" spans="1:6" ht="15" customHeight="1">
      <c r="A268" s="4389"/>
      <c r="B268" s="4212" t="s">
        <v>4004</v>
      </c>
      <c r="C268" s="4191">
        <v>4</v>
      </c>
      <c r="D268" s="4194" t="s">
        <v>2433</v>
      </c>
      <c r="E268" s="4210"/>
      <c r="F268" s="4233">
        <f t="shared" si="12"/>
        <v>0</v>
      </c>
    </row>
    <row r="269" spans="1:6" ht="30" customHeight="1">
      <c r="A269" s="4392"/>
      <c r="B269" s="4212" t="s">
        <v>4005</v>
      </c>
      <c r="C269" s="4191">
        <v>1</v>
      </c>
      <c r="D269" s="4194" t="s">
        <v>2433</v>
      </c>
      <c r="E269" s="4210"/>
      <c r="F269" s="4233">
        <f t="shared" si="12"/>
        <v>0</v>
      </c>
    </row>
    <row r="270" spans="1:6" ht="30" customHeight="1">
      <c r="A270" s="4392"/>
      <c r="B270" s="3563" t="s">
        <v>4006</v>
      </c>
      <c r="C270" s="4191">
        <v>1</v>
      </c>
      <c r="D270" s="4194" t="s">
        <v>2433</v>
      </c>
      <c r="E270" s="4345"/>
      <c r="F270" s="4233">
        <f t="shared" si="12"/>
        <v>0</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c r="F272" s="4233">
        <f t="shared" si="12"/>
        <v>0</v>
      </c>
    </row>
    <row r="273" spans="1:6" ht="14.25" customHeight="1">
      <c r="A273" s="4392">
        <v>9.1999999999999993</v>
      </c>
      <c r="B273" s="4230" t="s">
        <v>2378</v>
      </c>
      <c r="C273" s="4231">
        <v>3</v>
      </c>
      <c r="D273" s="4249" t="s">
        <v>1</v>
      </c>
      <c r="E273" s="4233"/>
      <c r="F273" s="4233">
        <f t="shared" si="12"/>
        <v>0</v>
      </c>
    </row>
    <row r="274" spans="1:6" ht="14.25" customHeight="1">
      <c r="A274" s="4392">
        <v>9.3000000000000007</v>
      </c>
      <c r="B274" s="4230" t="s">
        <v>2379</v>
      </c>
      <c r="C274" s="4231">
        <v>1.8</v>
      </c>
      <c r="D274" s="4249" t="s">
        <v>2432</v>
      </c>
      <c r="E274" s="4233"/>
      <c r="F274" s="4233">
        <f t="shared" si="12"/>
        <v>0</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3615</v>
      </c>
      <c r="C277" s="4191">
        <v>1</v>
      </c>
      <c r="D277" s="4194" t="s">
        <v>2433</v>
      </c>
      <c r="E277" s="4210"/>
      <c r="F277" s="4233">
        <f t="shared" si="12"/>
        <v>0</v>
      </c>
    </row>
    <row r="278" spans="1:6" ht="14.25" customHeight="1">
      <c r="A278" s="4392">
        <v>10.199999999999999</v>
      </c>
      <c r="B278" s="4212" t="s">
        <v>3616</v>
      </c>
      <c r="C278" s="4191">
        <v>1</v>
      </c>
      <c r="D278" s="4194" t="s">
        <v>2433</v>
      </c>
      <c r="E278" s="4210"/>
      <c r="F278" s="4233">
        <f t="shared" si="12"/>
        <v>0</v>
      </c>
    </row>
    <row r="279" spans="1:6" ht="14.25" customHeight="1">
      <c r="A279" s="4392">
        <v>10.3</v>
      </c>
      <c r="B279" s="4212" t="s">
        <v>3617</v>
      </c>
      <c r="C279" s="4191">
        <v>1</v>
      </c>
      <c r="D279" s="4194" t="s">
        <v>2433</v>
      </c>
      <c r="E279" s="4210"/>
      <c r="F279" s="4233">
        <f t="shared" si="12"/>
        <v>0</v>
      </c>
    </row>
    <row r="280" spans="1:6" ht="14.25" customHeight="1">
      <c r="A280" s="4392">
        <v>10.4</v>
      </c>
      <c r="B280" s="4212" t="s">
        <v>2380</v>
      </c>
      <c r="C280" s="4191">
        <v>2</v>
      </c>
      <c r="D280" s="4194" t="s">
        <v>2433</v>
      </c>
      <c r="E280" s="4210"/>
      <c r="F280" s="4233">
        <f t="shared" si="12"/>
        <v>0</v>
      </c>
    </row>
    <row r="281" spans="1:6" ht="14.25" customHeight="1">
      <c r="A281" s="4392">
        <v>10.5</v>
      </c>
      <c r="B281" s="4212" t="s">
        <v>3618</v>
      </c>
      <c r="C281" s="4191">
        <v>2</v>
      </c>
      <c r="D281" s="4194" t="s">
        <v>2433</v>
      </c>
      <c r="E281" s="4210"/>
      <c r="F281" s="4233">
        <f t="shared" si="12"/>
        <v>0</v>
      </c>
    </row>
    <row r="282" spans="1:6" ht="14.25" customHeight="1">
      <c r="A282" s="4392">
        <v>10.6</v>
      </c>
      <c r="B282" s="4312" t="s">
        <v>2381</v>
      </c>
      <c r="C282" s="4313">
        <v>12</v>
      </c>
      <c r="D282" s="4314" t="s">
        <v>2433</v>
      </c>
      <c r="E282" s="4315"/>
      <c r="F282" s="4233">
        <f t="shared" si="12"/>
        <v>0</v>
      </c>
    </row>
    <row r="283" spans="1:6" ht="14.25" customHeight="1">
      <c r="A283" s="4392">
        <v>10.7</v>
      </c>
      <c r="B283" s="4212" t="s">
        <v>2382</v>
      </c>
      <c r="C283" s="4191">
        <v>2</v>
      </c>
      <c r="D283" s="4194" t="s">
        <v>2433</v>
      </c>
      <c r="E283" s="4210"/>
      <c r="F283" s="4233">
        <f t="shared" si="12"/>
        <v>0</v>
      </c>
    </row>
    <row r="284" spans="1:6" ht="14.25" customHeight="1">
      <c r="A284" s="4392">
        <v>10.8</v>
      </c>
      <c r="B284" s="4212" t="s">
        <v>2383</v>
      </c>
      <c r="C284" s="4191">
        <v>1</v>
      </c>
      <c r="D284" s="4194" t="s">
        <v>2433</v>
      </c>
      <c r="E284" s="4210"/>
      <c r="F284" s="4233">
        <f t="shared" si="12"/>
        <v>0</v>
      </c>
    </row>
    <row r="285" spans="1:6" ht="13.5" customHeight="1">
      <c r="A285" s="4392">
        <v>10.9</v>
      </c>
      <c r="B285" s="4212" t="s">
        <v>2384</v>
      </c>
      <c r="C285" s="4191">
        <v>1</v>
      </c>
      <c r="D285" s="4194" t="s">
        <v>2433</v>
      </c>
      <c r="E285" s="4210"/>
      <c r="F285" s="4233">
        <f t="shared" si="12"/>
        <v>0</v>
      </c>
    </row>
    <row r="286" spans="1:6" ht="75.75" customHeight="1">
      <c r="A286" s="4388">
        <v>10.1</v>
      </c>
      <c r="B286" s="4206" t="s">
        <v>3943</v>
      </c>
      <c r="C286" s="4191">
        <v>1</v>
      </c>
      <c r="D286" s="4194" t="s">
        <v>2433</v>
      </c>
      <c r="E286" s="4210"/>
      <c r="F286" s="4233">
        <f t="shared" si="12"/>
        <v>0</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3619</v>
      </c>
      <c r="C289" s="4191">
        <v>3</v>
      </c>
      <c r="D289" s="4194" t="s">
        <v>2433</v>
      </c>
      <c r="E289" s="4210"/>
      <c r="F289" s="4233">
        <f t="shared" si="12"/>
        <v>0</v>
      </c>
    </row>
    <row r="290" spans="1:6" ht="14.25" customHeight="1">
      <c r="A290" s="4392">
        <v>11.2</v>
      </c>
      <c r="B290" s="4212" t="s">
        <v>3620</v>
      </c>
      <c r="C290" s="4191">
        <v>1</v>
      </c>
      <c r="D290" s="4194" t="s">
        <v>2433</v>
      </c>
      <c r="E290" s="4316"/>
      <c r="F290" s="4233">
        <f t="shared" si="12"/>
        <v>0</v>
      </c>
    </row>
    <row r="291" spans="1:6" ht="14.25" customHeight="1">
      <c r="A291" s="4392">
        <v>11.3</v>
      </c>
      <c r="B291" s="4212" t="s">
        <v>3621</v>
      </c>
      <c r="C291" s="4191">
        <v>1</v>
      </c>
      <c r="D291" s="4194" t="s">
        <v>2433</v>
      </c>
      <c r="E291" s="4316"/>
      <c r="F291" s="4233">
        <f t="shared" si="12"/>
        <v>0</v>
      </c>
    </row>
    <row r="292" spans="1:6" ht="14.25" customHeight="1">
      <c r="A292" s="4392">
        <v>11.4</v>
      </c>
      <c r="B292" s="4212" t="s">
        <v>3622</v>
      </c>
      <c r="C292" s="4191">
        <v>2</v>
      </c>
      <c r="D292" s="4194" t="s">
        <v>2433</v>
      </c>
      <c r="E292" s="4316"/>
      <c r="F292" s="4233">
        <f t="shared" si="12"/>
        <v>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317">
        <v>2</v>
      </c>
      <c r="D295" s="4318" t="s">
        <v>2433</v>
      </c>
      <c r="E295" s="4316"/>
      <c r="F295" s="4233">
        <f t="shared" si="13"/>
        <v>0</v>
      </c>
    </row>
    <row r="296" spans="1:6" ht="14.25" customHeight="1">
      <c r="A296" s="4392">
        <v>12.2</v>
      </c>
      <c r="B296" s="3563" t="s">
        <v>2386</v>
      </c>
      <c r="C296" s="4317">
        <v>4</v>
      </c>
      <c r="D296" s="4318" t="s">
        <v>2433</v>
      </c>
      <c r="E296" s="4316"/>
      <c r="F296" s="4233">
        <f t="shared" si="13"/>
        <v>0</v>
      </c>
    </row>
    <row r="297" spans="1:6" ht="14.25" customHeight="1">
      <c r="A297" s="4392">
        <v>12.3</v>
      </c>
      <c r="B297" s="3563" t="s">
        <v>2387</v>
      </c>
      <c r="C297" s="4317">
        <v>4</v>
      </c>
      <c r="D297" s="4318" t="s">
        <v>2433</v>
      </c>
      <c r="E297" s="4316"/>
      <c r="F297" s="4233">
        <f t="shared" si="13"/>
        <v>0</v>
      </c>
    </row>
    <row r="298" spans="1:6" ht="14.25" customHeight="1">
      <c r="A298" s="4392">
        <v>12.4</v>
      </c>
      <c r="B298" s="3563" t="s">
        <v>3623</v>
      </c>
      <c r="C298" s="4317">
        <v>2</v>
      </c>
      <c r="D298" s="4318" t="s">
        <v>2433</v>
      </c>
      <c r="E298" s="4316"/>
      <c r="F298" s="4233">
        <f t="shared" si="13"/>
        <v>0</v>
      </c>
    </row>
    <row r="299" spans="1:6" ht="14.25" customHeight="1">
      <c r="A299" s="4392">
        <v>12.5</v>
      </c>
      <c r="B299" s="3563" t="s">
        <v>2388</v>
      </c>
      <c r="C299" s="4317">
        <v>2</v>
      </c>
      <c r="D299" s="4318" t="s">
        <v>2433</v>
      </c>
      <c r="E299" s="4316"/>
      <c r="F299" s="4233">
        <f t="shared" si="13"/>
        <v>0</v>
      </c>
    </row>
    <row r="300" spans="1:6" ht="14.25" customHeight="1">
      <c r="A300" s="4392">
        <v>12.6</v>
      </c>
      <c r="B300" s="3563" t="s">
        <v>2389</v>
      </c>
      <c r="C300" s="4317">
        <v>2</v>
      </c>
      <c r="D300" s="4318" t="s">
        <v>2433</v>
      </c>
      <c r="E300" s="4316"/>
      <c r="F300" s="4233">
        <f t="shared" si="13"/>
        <v>0</v>
      </c>
    </row>
    <row r="301" spans="1:6" ht="14.25" customHeight="1">
      <c r="A301" s="4392">
        <v>12.7</v>
      </c>
      <c r="B301" s="3563" t="s">
        <v>2390</v>
      </c>
      <c r="C301" s="4317">
        <v>1</v>
      </c>
      <c r="D301" s="4318" t="s">
        <v>2433</v>
      </c>
      <c r="E301" s="4316"/>
      <c r="F301" s="4233">
        <f t="shared" si="13"/>
        <v>0</v>
      </c>
    </row>
    <row r="302" spans="1:6" ht="14.25" customHeight="1">
      <c r="A302" s="4392">
        <v>12.8</v>
      </c>
      <c r="B302" s="3563" t="s">
        <v>3624</v>
      </c>
      <c r="C302" s="4317">
        <v>2</v>
      </c>
      <c r="D302" s="4318" t="s">
        <v>2433</v>
      </c>
      <c r="E302" s="4316"/>
      <c r="F302" s="4233">
        <f t="shared" si="13"/>
        <v>0</v>
      </c>
    </row>
    <row r="303" spans="1:6" ht="14.25" customHeight="1">
      <c r="A303" s="4392">
        <v>12.9</v>
      </c>
      <c r="B303" s="3563" t="s">
        <v>4020</v>
      </c>
      <c r="C303" s="4317">
        <v>2</v>
      </c>
      <c r="D303" s="4318" t="s">
        <v>2433</v>
      </c>
      <c r="E303" s="4316"/>
      <c r="F303" s="4233">
        <f t="shared" si="13"/>
        <v>0</v>
      </c>
    </row>
    <row r="304" spans="1:6" ht="14.25" customHeight="1">
      <c r="A304" s="4388">
        <v>12.1</v>
      </c>
      <c r="B304" s="3563" t="s">
        <v>2391</v>
      </c>
      <c r="C304" s="4317">
        <v>1</v>
      </c>
      <c r="D304" s="4318" t="s">
        <v>2957</v>
      </c>
      <c r="E304" s="4316"/>
      <c r="F304" s="4233">
        <f t="shared" si="13"/>
        <v>0</v>
      </c>
    </row>
    <row r="305" spans="1:6" ht="14.25" customHeight="1">
      <c r="A305" s="4388">
        <v>12.11</v>
      </c>
      <c r="B305" s="3563" t="s">
        <v>2392</v>
      </c>
      <c r="C305" s="4317">
        <v>2</v>
      </c>
      <c r="D305" s="4318" t="s">
        <v>2433</v>
      </c>
      <c r="E305" s="4316"/>
      <c r="F305" s="4233">
        <f t="shared" si="13"/>
        <v>0</v>
      </c>
    </row>
    <row r="306" spans="1:6" ht="14.25" customHeight="1">
      <c r="A306" s="4388">
        <v>12.13</v>
      </c>
      <c r="B306" s="3563" t="s">
        <v>2393</v>
      </c>
      <c r="C306" s="4317">
        <v>2</v>
      </c>
      <c r="D306" s="4318" t="s">
        <v>2433</v>
      </c>
      <c r="E306" s="4316"/>
      <c r="F306" s="4233">
        <f t="shared" si="13"/>
        <v>0</v>
      </c>
    </row>
    <row r="307" spans="1:6" ht="14.25" customHeight="1">
      <c r="A307" s="4388">
        <v>12.4</v>
      </c>
      <c r="B307" s="3563" t="s">
        <v>3625</v>
      </c>
      <c r="C307" s="4317">
        <v>2</v>
      </c>
      <c r="D307" s="4318" t="s">
        <v>2433</v>
      </c>
      <c r="E307" s="4316"/>
      <c r="F307" s="4233">
        <f t="shared" si="13"/>
        <v>0</v>
      </c>
    </row>
    <row r="308" spans="1:6" ht="14.25" customHeight="1">
      <c r="A308" s="4454"/>
      <c r="B308" s="4450"/>
      <c r="C308" s="4464"/>
      <c r="D308" s="4465"/>
      <c r="E308" s="4466"/>
      <c r="F308" s="4466" t="str">
        <f t="shared" si="13"/>
        <v xml:space="preserve"> </v>
      </c>
    </row>
    <row r="309" spans="1:6" s="4225" customFormat="1" ht="15" customHeight="1">
      <c r="A309" s="4389">
        <v>13</v>
      </c>
      <c r="B309" s="4343" t="s">
        <v>819</v>
      </c>
      <c r="C309" s="4231"/>
      <c r="D309" s="4249"/>
      <c r="E309" s="4233"/>
      <c r="F309" s="4233" t="str">
        <f t="shared" si="13"/>
        <v xml:space="preserve"> </v>
      </c>
    </row>
    <row r="310" spans="1:6" s="4225" customFormat="1" ht="14.25" customHeight="1">
      <c r="A310" s="4392">
        <v>13.1</v>
      </c>
      <c r="B310" s="4230" t="s">
        <v>4007</v>
      </c>
      <c r="C310" s="4448">
        <v>19</v>
      </c>
      <c r="D310" s="4232" t="s">
        <v>2433</v>
      </c>
      <c r="E310" s="4233"/>
      <c r="F310" s="4233">
        <f t="shared" si="13"/>
        <v>0</v>
      </c>
    </row>
    <row r="311" spans="1:6" s="4225" customFormat="1" ht="14.25" customHeight="1">
      <c r="A311" s="4392">
        <v>13.2</v>
      </c>
      <c r="B311" s="4230" t="s">
        <v>4008</v>
      </c>
      <c r="C311" s="4448">
        <v>10</v>
      </c>
      <c r="D311" s="4232" t="s">
        <v>2433</v>
      </c>
      <c r="E311" s="4233"/>
      <c r="F311" s="4233">
        <f t="shared" si="13"/>
        <v>0</v>
      </c>
    </row>
    <row r="312" spans="1:6" s="4225" customFormat="1" ht="14.25" customHeight="1">
      <c r="A312" s="4392">
        <v>13.3</v>
      </c>
      <c r="B312" s="4230" t="s">
        <v>4009</v>
      </c>
      <c r="C312" s="4448">
        <v>4</v>
      </c>
      <c r="D312" s="4232" t="s">
        <v>2433</v>
      </c>
      <c r="E312" s="4233"/>
      <c r="F312" s="4233">
        <f t="shared" si="13"/>
        <v>0</v>
      </c>
    </row>
    <row r="313" spans="1:6" s="4225" customFormat="1" ht="14.25" customHeight="1">
      <c r="A313" s="4392">
        <v>13.4</v>
      </c>
      <c r="B313" s="4230" t="s">
        <v>4010</v>
      </c>
      <c r="C313" s="4448">
        <v>1</v>
      </c>
      <c r="D313" s="4232" t="s">
        <v>2433</v>
      </c>
      <c r="E313" s="4233"/>
      <c r="F313" s="4233">
        <f t="shared" si="13"/>
        <v>0</v>
      </c>
    </row>
    <row r="314" spans="1:6" s="4225" customFormat="1" ht="14.25" customHeight="1">
      <c r="A314" s="4392">
        <v>13.4</v>
      </c>
      <c r="B314" s="4230" t="s">
        <v>4011</v>
      </c>
      <c r="C314" s="4448">
        <v>1</v>
      </c>
      <c r="D314" s="4232" t="s">
        <v>2433</v>
      </c>
      <c r="E314" s="4233"/>
      <c r="F314" s="4233">
        <f t="shared" si="13"/>
        <v>0</v>
      </c>
    </row>
    <row r="315" spans="1:6" s="4222" customFormat="1" ht="14.25" customHeight="1">
      <c r="A315" s="4391"/>
      <c r="B315" s="3563"/>
      <c r="C315" s="4369"/>
      <c r="D315" s="4217"/>
      <c r="E315" s="4216"/>
      <c r="F315" s="4216"/>
    </row>
    <row r="316" spans="1:6" ht="15" customHeight="1">
      <c r="A316" s="4389">
        <v>14</v>
      </c>
      <c r="B316" s="4343" t="s">
        <v>810</v>
      </c>
      <c r="C316" s="4231"/>
      <c r="D316" s="4249"/>
      <c r="E316" s="4233"/>
      <c r="F316" s="4233" t="str">
        <f t="shared" ref="F316:F364" si="14">IF(C316&gt;0,(ROUND((E316*C316),2))," ")</f>
        <v xml:space="preserve"> </v>
      </c>
    </row>
    <row r="317" spans="1:6" ht="14.25" customHeight="1">
      <c r="A317" s="4392">
        <v>14.1</v>
      </c>
      <c r="B317" s="4230" t="s">
        <v>2411</v>
      </c>
      <c r="C317" s="4231">
        <v>1</v>
      </c>
      <c r="D317" s="4232" t="s">
        <v>2433</v>
      </c>
      <c r="E317" s="4233"/>
      <c r="F317" s="4233">
        <f t="shared" si="14"/>
        <v>0</v>
      </c>
    </row>
    <row r="318" spans="1:6" ht="14.25" customHeight="1">
      <c r="A318" s="4392">
        <v>14.2</v>
      </c>
      <c r="B318" s="4230" t="s">
        <v>2410</v>
      </c>
      <c r="C318" s="4231">
        <v>1</v>
      </c>
      <c r="D318" s="4232" t="s">
        <v>2433</v>
      </c>
      <c r="E318" s="4233"/>
      <c r="F318" s="4233">
        <f t="shared" si="14"/>
        <v>0</v>
      </c>
    </row>
    <row r="319" spans="1:6" ht="14.25" customHeight="1">
      <c r="A319" s="4392">
        <v>14.3</v>
      </c>
      <c r="B319" s="4230" t="s">
        <v>2372</v>
      </c>
      <c r="C319" s="4231">
        <v>1</v>
      </c>
      <c r="D319" s="4232" t="s">
        <v>2433</v>
      </c>
      <c r="E319" s="4233"/>
      <c r="F319" s="4233">
        <f t="shared" si="14"/>
        <v>0</v>
      </c>
    </row>
    <row r="320" spans="1:6" ht="14.25" customHeight="1">
      <c r="A320" s="4392">
        <v>14.4</v>
      </c>
      <c r="B320" s="4230" t="s">
        <v>2373</v>
      </c>
      <c r="C320" s="4231">
        <v>1</v>
      </c>
      <c r="D320" s="4232" t="s">
        <v>2433</v>
      </c>
      <c r="E320" s="4233"/>
      <c r="F320" s="4233">
        <f t="shared" si="14"/>
        <v>0</v>
      </c>
    </row>
    <row r="321" spans="1:6" ht="14.25" customHeight="1">
      <c r="A321" s="4392">
        <v>14.5</v>
      </c>
      <c r="B321" s="4230" t="s">
        <v>2374</v>
      </c>
      <c r="C321" s="4231">
        <v>1</v>
      </c>
      <c r="D321" s="4232" t="s">
        <v>2433</v>
      </c>
      <c r="E321" s="4233"/>
      <c r="F321" s="4233">
        <f t="shared" si="14"/>
        <v>0</v>
      </c>
    </row>
    <row r="322" spans="1:6" ht="14.25" customHeight="1">
      <c r="A322" s="4392">
        <v>14.6</v>
      </c>
      <c r="B322" s="4230" t="s">
        <v>2375</v>
      </c>
      <c r="C322" s="4231">
        <v>1</v>
      </c>
      <c r="D322" s="4232" t="s">
        <v>2433</v>
      </c>
      <c r="E322" s="4233"/>
      <c r="F322" s="4233">
        <f t="shared" si="14"/>
        <v>0</v>
      </c>
    </row>
    <row r="323" spans="1:6" ht="14.25" customHeight="1">
      <c r="A323" s="4392">
        <v>14.7</v>
      </c>
      <c r="B323" s="4230" t="s">
        <v>2376</v>
      </c>
      <c r="C323" s="4231">
        <v>1</v>
      </c>
      <c r="D323" s="4232" t="s">
        <v>2433</v>
      </c>
      <c r="E323" s="4233"/>
      <c r="F323" s="4233">
        <f t="shared" si="14"/>
        <v>0</v>
      </c>
    </row>
    <row r="324" spans="1:6" ht="14.25" customHeight="1">
      <c r="A324" s="4392">
        <v>14.8</v>
      </c>
      <c r="B324" s="4230" t="s">
        <v>2937</v>
      </c>
      <c r="C324" s="4231">
        <v>1</v>
      </c>
      <c r="D324" s="4232" t="s">
        <v>2433</v>
      </c>
      <c r="E324" s="4233"/>
      <c r="F324" s="4233">
        <f t="shared" si="14"/>
        <v>0</v>
      </c>
    </row>
    <row r="325" spans="1:6" ht="14.25" customHeight="1">
      <c r="A325" s="4388"/>
      <c r="B325" s="4230"/>
      <c r="C325" s="4231"/>
      <c r="D325" s="4249"/>
      <c r="E325" s="4258"/>
      <c r="F325" s="4233" t="str">
        <f t="shared" si="14"/>
        <v xml:space="preserve"> </v>
      </c>
    </row>
    <row r="326" spans="1:6" s="4236" customFormat="1" ht="15" customHeight="1">
      <c r="A326" s="4389">
        <v>15</v>
      </c>
      <c r="B326" s="4343" t="s">
        <v>3834</v>
      </c>
      <c r="C326" s="4231"/>
      <c r="D326" s="4249"/>
      <c r="E326" s="4233"/>
      <c r="F326" s="4233" t="str">
        <f t="shared" si="14"/>
        <v xml:space="preserve"> </v>
      </c>
    </row>
    <row r="327" spans="1:6" s="4236" customFormat="1" ht="14.25" customHeight="1">
      <c r="A327" s="4392">
        <v>15.1</v>
      </c>
      <c r="B327" s="4230" t="s">
        <v>2394</v>
      </c>
      <c r="C327" s="4231">
        <v>1</v>
      </c>
      <c r="D327" s="4249" t="s">
        <v>42</v>
      </c>
      <c r="E327" s="4233"/>
      <c r="F327" s="4233">
        <f t="shared" si="14"/>
        <v>0</v>
      </c>
    </row>
    <row r="328" spans="1:6" s="4236" customFormat="1" ht="15" customHeight="1">
      <c r="A328" s="4393"/>
      <c r="B328" s="4230"/>
      <c r="C328" s="4231"/>
      <c r="D328" s="4249"/>
      <c r="E328" s="4233"/>
      <c r="F328" s="4233" t="str">
        <f t="shared" si="14"/>
        <v xml:space="preserve"> </v>
      </c>
    </row>
    <row r="329" spans="1:6" s="4236" customFormat="1" ht="27.75" customHeight="1">
      <c r="A329" s="4390">
        <v>15.2</v>
      </c>
      <c r="B329" s="4342" t="s">
        <v>3835</v>
      </c>
      <c r="C329" s="4231">
        <v>1</v>
      </c>
      <c r="D329" s="4249" t="s">
        <v>42</v>
      </c>
      <c r="E329" s="4233"/>
      <c r="F329" s="4233">
        <f t="shared" si="14"/>
        <v>0</v>
      </c>
    </row>
    <row r="330" spans="1:6" s="4236" customFormat="1" ht="15" customHeight="1">
      <c r="A330" s="4393"/>
      <c r="B330" s="3434"/>
      <c r="C330" s="4231"/>
      <c r="D330" s="4249"/>
      <c r="E330" s="4233"/>
      <c r="F330" s="4233" t="str">
        <f t="shared" si="14"/>
        <v xml:space="preserve"> </v>
      </c>
    </row>
    <row r="331" spans="1:6" s="4236" customFormat="1" ht="15" customHeight="1">
      <c r="A331" s="4390">
        <v>15.3</v>
      </c>
      <c r="B331" s="4343" t="s">
        <v>3511</v>
      </c>
      <c r="C331" s="4231"/>
      <c r="D331" s="4249"/>
      <c r="E331" s="4233"/>
      <c r="F331" s="4233" t="str">
        <f t="shared" si="14"/>
        <v xml:space="preserve"> </v>
      </c>
    </row>
    <row r="332" spans="1:6" s="4236" customFormat="1" ht="14.25" customHeight="1">
      <c r="A332" s="4388" t="s">
        <v>3841</v>
      </c>
      <c r="B332" s="4230" t="s">
        <v>3608</v>
      </c>
      <c r="C332" s="4231">
        <v>13.82</v>
      </c>
      <c r="D332" s="4249" t="s">
        <v>1</v>
      </c>
      <c r="E332" s="4223"/>
      <c r="F332" s="4233">
        <f t="shared" si="14"/>
        <v>0</v>
      </c>
    </row>
    <row r="333" spans="1:6" s="4236" customFormat="1" ht="15" customHeight="1">
      <c r="A333" s="4393"/>
      <c r="B333" s="4230"/>
      <c r="C333" s="4231"/>
      <c r="D333" s="4249"/>
      <c r="E333" s="4223"/>
      <c r="F333" s="4233" t="str">
        <f t="shared" si="14"/>
        <v xml:space="preserve"> </v>
      </c>
    </row>
    <row r="334" spans="1:6" s="4236" customFormat="1" ht="15" customHeight="1">
      <c r="A334" s="4390">
        <v>15.4</v>
      </c>
      <c r="B334" s="4343" t="s">
        <v>3512</v>
      </c>
      <c r="C334" s="4231"/>
      <c r="D334" s="4249"/>
      <c r="E334" s="4223"/>
      <c r="F334" s="4233" t="str">
        <f t="shared" si="14"/>
        <v xml:space="preserve"> </v>
      </c>
    </row>
    <row r="335" spans="1:6" s="4236" customFormat="1" ht="14.25" customHeight="1">
      <c r="A335" s="4388" t="s">
        <v>3836</v>
      </c>
      <c r="B335" s="4230" t="s">
        <v>3609</v>
      </c>
      <c r="C335" s="4231">
        <v>13.42</v>
      </c>
      <c r="D335" s="4249" t="s">
        <v>1</v>
      </c>
      <c r="E335" s="4223"/>
      <c r="F335" s="4233">
        <f t="shared" si="14"/>
        <v>0</v>
      </c>
    </row>
    <row r="336" spans="1:6" s="4236" customFormat="1" ht="15" customHeight="1">
      <c r="A336" s="4393"/>
      <c r="B336" s="4230"/>
      <c r="C336" s="4231"/>
      <c r="D336" s="4249"/>
      <c r="E336" s="4223"/>
      <c r="F336" s="4233" t="str">
        <f t="shared" si="14"/>
        <v xml:space="preserve"> </v>
      </c>
    </row>
    <row r="337" spans="1:6" s="4236" customFormat="1" ht="15" customHeight="1">
      <c r="A337" s="4390">
        <v>15.5</v>
      </c>
      <c r="B337" s="4343" t="s">
        <v>3513</v>
      </c>
      <c r="C337" s="4231"/>
      <c r="D337" s="4249"/>
      <c r="E337" s="4223"/>
      <c r="F337" s="4233" t="str">
        <f t="shared" si="14"/>
        <v xml:space="preserve"> </v>
      </c>
    </row>
    <row r="338" spans="1:6" s="4236" customFormat="1" ht="14.25" customHeight="1">
      <c r="A338" s="4388" t="s">
        <v>3842</v>
      </c>
      <c r="B338" s="4230" t="s">
        <v>3639</v>
      </c>
      <c r="C338" s="4231">
        <v>5</v>
      </c>
      <c r="D338" s="4232" t="s">
        <v>2433</v>
      </c>
      <c r="E338" s="4397"/>
      <c r="F338" s="4233">
        <f t="shared" si="14"/>
        <v>0</v>
      </c>
    </row>
    <row r="339" spans="1:6" s="4236" customFormat="1" ht="14.25" customHeight="1">
      <c r="A339" s="4388" t="s">
        <v>3843</v>
      </c>
      <c r="B339" s="4230" t="s">
        <v>3837</v>
      </c>
      <c r="C339" s="4231">
        <v>3</v>
      </c>
      <c r="D339" s="4232" t="s">
        <v>2433</v>
      </c>
      <c r="E339" s="4397"/>
      <c r="F339" s="4233">
        <f t="shared" si="14"/>
        <v>0</v>
      </c>
    </row>
    <row r="340" spans="1:6" s="4236" customFormat="1" ht="14.25" customHeight="1">
      <c r="A340" s="4388" t="s">
        <v>3844</v>
      </c>
      <c r="B340" s="4230" t="s">
        <v>3838</v>
      </c>
      <c r="C340" s="4231">
        <v>1</v>
      </c>
      <c r="D340" s="4232" t="s">
        <v>2433</v>
      </c>
      <c r="E340" s="4397"/>
      <c r="F340" s="4233">
        <f t="shared" si="14"/>
        <v>0</v>
      </c>
    </row>
    <row r="341" spans="1:6" s="4236" customFormat="1" ht="14.25" customHeight="1">
      <c r="A341" s="4388" t="s">
        <v>3845</v>
      </c>
      <c r="B341" s="4230" t="s">
        <v>3551</v>
      </c>
      <c r="C341" s="4231">
        <v>2</v>
      </c>
      <c r="D341" s="4232" t="s">
        <v>2433</v>
      </c>
      <c r="E341" s="4397"/>
      <c r="F341" s="4233">
        <f t="shared" si="14"/>
        <v>0</v>
      </c>
    </row>
    <row r="342" spans="1:6" s="4236" customFormat="1" ht="14.25" customHeight="1">
      <c r="A342" s="4388" t="s">
        <v>3846</v>
      </c>
      <c r="B342" s="4230" t="s">
        <v>3514</v>
      </c>
      <c r="C342" s="4231">
        <v>1</v>
      </c>
      <c r="D342" s="4232" t="s">
        <v>42</v>
      </c>
      <c r="E342" s="4233"/>
      <c r="F342" s="4233">
        <f t="shared" si="14"/>
        <v>0</v>
      </c>
    </row>
    <row r="343" spans="1:6" ht="14.25" customHeight="1">
      <c r="A343" s="4388"/>
      <c r="B343" s="4230"/>
      <c r="C343" s="4231"/>
      <c r="D343" s="4249"/>
      <c r="E343" s="4233"/>
      <c r="F343" s="4233" t="str">
        <f t="shared" si="14"/>
        <v xml:space="preserve"> </v>
      </c>
    </row>
    <row r="344" spans="1:6" s="4234" customFormat="1" ht="15" customHeight="1">
      <c r="A344" s="4390">
        <v>15.6</v>
      </c>
      <c r="B344" s="4343" t="s">
        <v>3537</v>
      </c>
      <c r="C344" s="4231"/>
      <c r="D344" s="4249"/>
      <c r="E344" s="4233"/>
      <c r="F344" s="4233" t="str">
        <f t="shared" si="14"/>
        <v xml:space="preserve"> </v>
      </c>
    </row>
    <row r="345" spans="1:6" s="4234" customFormat="1" ht="14.25" customHeight="1">
      <c r="A345" s="4388" t="s">
        <v>3847</v>
      </c>
      <c r="B345" s="4230" t="s">
        <v>2394</v>
      </c>
      <c r="C345" s="4231">
        <v>1</v>
      </c>
      <c r="D345" s="4249" t="s">
        <v>42</v>
      </c>
      <c r="E345" s="4233"/>
      <c r="F345" s="4233">
        <f>IF(C345&gt;0,(ROUND((E345*C345),2))," ")</f>
        <v>0</v>
      </c>
    </row>
    <row r="346" spans="1:6" s="4234" customFormat="1" ht="15" customHeight="1">
      <c r="A346" s="4393"/>
      <c r="B346" s="4398"/>
      <c r="C346" s="4231"/>
      <c r="D346" s="4249"/>
      <c r="E346" s="4233"/>
      <c r="F346" s="4233" t="str">
        <f t="shared" si="14"/>
        <v xml:space="preserve"> </v>
      </c>
    </row>
    <row r="347" spans="1:6" s="4234" customFormat="1" ht="15" customHeight="1">
      <c r="A347" s="4393" t="s">
        <v>3848</v>
      </c>
      <c r="B347" s="4342" t="s">
        <v>3835</v>
      </c>
      <c r="C347" s="4231">
        <v>1</v>
      </c>
      <c r="D347" s="4249" t="s">
        <v>42</v>
      </c>
      <c r="E347" s="4233"/>
      <c r="F347" s="4233">
        <f t="shared" si="14"/>
        <v>0</v>
      </c>
    </row>
    <row r="348" spans="1:6" s="4234" customFormat="1" ht="15" customHeight="1">
      <c r="A348" s="4393"/>
      <c r="B348" s="4398"/>
      <c r="C348" s="4231"/>
      <c r="D348" s="4249"/>
      <c r="E348" s="4233"/>
      <c r="F348" s="4233" t="str">
        <f t="shared" si="14"/>
        <v xml:space="preserve"> </v>
      </c>
    </row>
    <row r="349" spans="1:6" s="4234" customFormat="1" ht="15" customHeight="1">
      <c r="A349" s="4393" t="s">
        <v>3849</v>
      </c>
      <c r="B349" s="4343" t="s">
        <v>3511</v>
      </c>
      <c r="C349" s="4231"/>
      <c r="D349" s="4249"/>
      <c r="E349" s="4233"/>
      <c r="F349" s="4233" t="str">
        <f t="shared" si="14"/>
        <v xml:space="preserve"> </v>
      </c>
    </row>
    <row r="350" spans="1:6" s="4234" customFormat="1" ht="14.25" customHeight="1">
      <c r="A350" s="4388" t="s">
        <v>3850</v>
      </c>
      <c r="B350" s="4230" t="s">
        <v>3611</v>
      </c>
      <c r="C350" s="4231">
        <v>3.09</v>
      </c>
      <c r="D350" s="4249" t="s">
        <v>1</v>
      </c>
      <c r="E350" s="4233"/>
      <c r="F350" s="4233">
        <f t="shared" si="14"/>
        <v>0</v>
      </c>
    </row>
    <row r="351" spans="1:6" s="4234" customFormat="1" ht="14.25" customHeight="1">
      <c r="A351" s="4388" t="s">
        <v>3851</v>
      </c>
      <c r="B351" s="4230" t="s">
        <v>3610</v>
      </c>
      <c r="C351" s="4231">
        <v>7.28</v>
      </c>
      <c r="D351" s="4249" t="s">
        <v>1</v>
      </c>
      <c r="E351" s="4233"/>
      <c r="F351" s="4233">
        <f t="shared" si="14"/>
        <v>0</v>
      </c>
    </row>
    <row r="352" spans="1:6" s="4234" customFormat="1" ht="15" customHeight="1">
      <c r="A352" s="4393"/>
      <c r="B352" s="4398"/>
      <c r="C352" s="4231"/>
      <c r="D352" s="4249"/>
      <c r="E352" s="4233"/>
      <c r="F352" s="4233" t="str">
        <f t="shared" si="14"/>
        <v xml:space="preserve"> </v>
      </c>
    </row>
    <row r="353" spans="1:6" s="4234" customFormat="1" ht="15" customHeight="1">
      <c r="A353" s="4393" t="s">
        <v>3852</v>
      </c>
      <c r="B353" s="4343" t="s">
        <v>3512</v>
      </c>
      <c r="C353" s="4231"/>
      <c r="D353" s="4249"/>
      <c r="E353" s="4233"/>
      <c r="F353" s="4233" t="str">
        <f t="shared" si="14"/>
        <v xml:space="preserve"> </v>
      </c>
    </row>
    <row r="354" spans="1:6" s="4234" customFormat="1" ht="14.25" customHeight="1">
      <c r="A354" s="4388" t="s">
        <v>3853</v>
      </c>
      <c r="B354" s="4230" t="s">
        <v>3612</v>
      </c>
      <c r="C354" s="4231">
        <v>3</v>
      </c>
      <c r="D354" s="4249" t="s">
        <v>1</v>
      </c>
      <c r="E354" s="4233"/>
      <c r="F354" s="4233">
        <f t="shared" si="14"/>
        <v>0</v>
      </c>
    </row>
    <row r="355" spans="1:6" s="4234" customFormat="1" ht="14.25" customHeight="1">
      <c r="A355" s="4388" t="s">
        <v>3854</v>
      </c>
      <c r="B355" s="4230" t="s">
        <v>3613</v>
      </c>
      <c r="C355" s="4231">
        <v>7</v>
      </c>
      <c r="D355" s="4249" t="s">
        <v>1</v>
      </c>
      <c r="E355" s="4233"/>
      <c r="F355" s="4233">
        <f t="shared" si="14"/>
        <v>0</v>
      </c>
    </row>
    <row r="356" spans="1:6" s="4234" customFormat="1" ht="15" customHeight="1">
      <c r="A356" s="4467"/>
      <c r="B356" s="4478"/>
      <c r="C356" s="4464"/>
      <c r="D356" s="4465"/>
      <c r="E356" s="4466"/>
      <c r="F356" s="4466" t="str">
        <f t="shared" si="14"/>
        <v xml:space="preserve"> </v>
      </c>
    </row>
    <row r="357" spans="1:6" s="4234" customFormat="1" ht="15" customHeight="1">
      <c r="A357" s="4393" t="s">
        <v>3855</v>
      </c>
      <c r="B357" s="4343" t="s">
        <v>3534</v>
      </c>
      <c r="C357" s="4231"/>
      <c r="D357" s="4249"/>
      <c r="E357" s="4233"/>
      <c r="F357" s="4233" t="str">
        <f t="shared" si="14"/>
        <v xml:space="preserve"> </v>
      </c>
    </row>
    <row r="358" spans="1:6" s="4234" customFormat="1" ht="14.25" customHeight="1">
      <c r="A358" s="4388" t="s">
        <v>3856</v>
      </c>
      <c r="B358" s="4230" t="s">
        <v>3552</v>
      </c>
      <c r="C358" s="4231">
        <v>1</v>
      </c>
      <c r="D358" s="4232" t="s">
        <v>2433</v>
      </c>
      <c r="E358" s="4233"/>
      <c r="F358" s="4233">
        <f t="shared" si="14"/>
        <v>0</v>
      </c>
    </row>
    <row r="359" spans="1:6" s="4234" customFormat="1" ht="14.25" customHeight="1">
      <c r="A359" s="4388" t="s">
        <v>3857</v>
      </c>
      <c r="B359" s="4230" t="s">
        <v>3535</v>
      </c>
      <c r="C359" s="4231">
        <v>1</v>
      </c>
      <c r="D359" s="4232" t="s">
        <v>2433</v>
      </c>
      <c r="E359" s="4233"/>
      <c r="F359" s="4233">
        <f t="shared" si="14"/>
        <v>0</v>
      </c>
    </row>
    <row r="360" spans="1:6" s="4234" customFormat="1" ht="14.25" customHeight="1">
      <c r="A360" s="4388" t="s">
        <v>3858</v>
      </c>
      <c r="B360" s="4230" t="s">
        <v>3536</v>
      </c>
      <c r="C360" s="4231">
        <v>1</v>
      </c>
      <c r="D360" s="4232" t="s">
        <v>2433</v>
      </c>
      <c r="E360" s="4233"/>
      <c r="F360" s="4233">
        <f t="shared" si="14"/>
        <v>0</v>
      </c>
    </row>
    <row r="361" spans="1:6" s="4234" customFormat="1" ht="14.25" customHeight="1">
      <c r="A361" s="4388" t="s">
        <v>3859</v>
      </c>
      <c r="B361" s="4230" t="s">
        <v>3553</v>
      </c>
      <c r="C361" s="4231">
        <v>1</v>
      </c>
      <c r="D361" s="4232" t="s">
        <v>2433</v>
      </c>
      <c r="E361" s="4233"/>
      <c r="F361" s="4233">
        <f t="shared" si="14"/>
        <v>0</v>
      </c>
    </row>
    <row r="362" spans="1:6" s="4234" customFormat="1" ht="14.25" customHeight="1">
      <c r="A362" s="4388" t="s">
        <v>3860</v>
      </c>
      <c r="B362" s="4230" t="s">
        <v>3554</v>
      </c>
      <c r="C362" s="4231">
        <v>1</v>
      </c>
      <c r="D362" s="4232" t="s">
        <v>2433</v>
      </c>
      <c r="E362" s="4233"/>
      <c r="F362" s="4233">
        <f t="shared" si="14"/>
        <v>0</v>
      </c>
    </row>
    <row r="363" spans="1:6" s="4234" customFormat="1" ht="14.25" customHeight="1">
      <c r="A363" s="4388" t="s">
        <v>3861</v>
      </c>
      <c r="B363" s="4230" t="s">
        <v>3839</v>
      </c>
      <c r="C363" s="4231">
        <v>1</v>
      </c>
      <c r="D363" s="4232" t="s">
        <v>42</v>
      </c>
      <c r="E363" s="4233"/>
      <c r="F363" s="4233">
        <f t="shared" si="14"/>
        <v>0</v>
      </c>
    </row>
    <row r="364" spans="1:6" s="4234" customFormat="1" ht="14.25" customHeight="1">
      <c r="A364" s="4388" t="s">
        <v>3862</v>
      </c>
      <c r="B364" s="4230" t="s">
        <v>3840</v>
      </c>
      <c r="C364" s="4231">
        <v>2</v>
      </c>
      <c r="D364" s="4232" t="s">
        <v>2433</v>
      </c>
      <c r="E364" s="4233"/>
      <c r="F364" s="4233">
        <f t="shared" si="14"/>
        <v>0</v>
      </c>
    </row>
    <row r="365" spans="1:6" s="4234" customFormat="1" ht="14.25" customHeight="1">
      <c r="A365" s="4388"/>
      <c r="B365" s="4230"/>
      <c r="C365" s="4231"/>
      <c r="D365" s="4232"/>
      <c r="E365" s="4233"/>
      <c r="F365" s="4233"/>
    </row>
    <row r="366" spans="1:6" ht="14.25" customHeight="1">
      <c r="A366" s="4389">
        <v>16</v>
      </c>
      <c r="B366" s="4230" t="s">
        <v>2595</v>
      </c>
      <c r="C366" s="4231">
        <v>1</v>
      </c>
      <c r="D366" s="4232" t="s">
        <v>2433</v>
      </c>
      <c r="E366" s="4233"/>
      <c r="F366" s="4233">
        <f t="shared" ref="F366" si="15">IF(C366&gt;0,(ROUND((E366*C366),2))," ")</f>
        <v>0</v>
      </c>
    </row>
    <row r="367" spans="1:6" s="4266" customFormat="1" ht="12.75" customHeight="1">
      <c r="A367" s="4304"/>
      <c r="B367" s="4304" t="s">
        <v>2126</v>
      </c>
      <c r="C367" s="4304"/>
      <c r="D367" s="4304"/>
      <c r="E367" s="4304"/>
      <c r="F367" s="4319">
        <f>SUM(F183:F366)</f>
        <v>0</v>
      </c>
    </row>
    <row r="368" spans="1:6" s="4240" customFormat="1" ht="15" customHeight="1">
      <c r="A368" s="4393"/>
      <c r="B368" s="3435"/>
      <c r="C368" s="3538"/>
      <c r="D368" s="4263"/>
      <c r="E368" s="4264"/>
      <c r="F368" s="4264"/>
    </row>
    <row r="369" spans="1:6" s="4222" customFormat="1" ht="15">
      <c r="A369" s="4396" t="s">
        <v>851</v>
      </c>
      <c r="B369" s="3435" t="s">
        <v>1771</v>
      </c>
      <c r="C369" s="4221"/>
      <c r="D369" s="4311"/>
      <c r="E369" s="4216"/>
      <c r="F369" s="4216" t="str">
        <f t="shared" ref="F369:F432" si="16">IF(C369&gt;0,(ROUND((E369*C369),2))," ")</f>
        <v xml:space="preserve"> </v>
      </c>
    </row>
    <row r="370" spans="1:6" ht="15" customHeight="1">
      <c r="A370" s="4388"/>
      <c r="B370" s="3435"/>
      <c r="C370" s="4231"/>
      <c r="D370" s="4249"/>
      <c r="E370" s="4233"/>
      <c r="F370" s="4233" t="str">
        <f t="shared" si="16"/>
        <v xml:space="preserve"> </v>
      </c>
    </row>
    <row r="371" spans="1:6" ht="15" customHeight="1">
      <c r="A371" s="4389">
        <v>1</v>
      </c>
      <c r="B371" s="4343" t="s">
        <v>2165</v>
      </c>
      <c r="C371" s="4231"/>
      <c r="D371" s="4249"/>
      <c r="E371" s="4233"/>
      <c r="F371" s="4233" t="str">
        <f t="shared" si="16"/>
        <v xml:space="preserve"> </v>
      </c>
    </row>
    <row r="372" spans="1:6" ht="14.25" customHeight="1">
      <c r="A372" s="4392">
        <v>1.1000000000000001</v>
      </c>
      <c r="B372" s="4230" t="s">
        <v>4028</v>
      </c>
      <c r="C372" s="4231">
        <v>25.88</v>
      </c>
      <c r="D372" s="4249" t="s">
        <v>2432</v>
      </c>
      <c r="E372" s="4233"/>
      <c r="F372" s="4233">
        <f t="shared" si="16"/>
        <v>0</v>
      </c>
    </row>
    <row r="373" spans="1:6" ht="14.25" customHeight="1">
      <c r="A373" s="4388"/>
      <c r="B373" s="4230"/>
      <c r="C373" s="4231"/>
      <c r="D373" s="4249"/>
      <c r="E373" s="4233"/>
      <c r="F373" s="4233"/>
    </row>
    <row r="374" spans="1:6" s="4266" customFormat="1" ht="12.75" customHeight="1">
      <c r="A374" s="4350">
        <v>2</v>
      </c>
      <c r="B374" s="4351" t="s">
        <v>3752</v>
      </c>
      <c r="C374" s="3535"/>
      <c r="D374" s="3534"/>
      <c r="E374" s="3535"/>
      <c r="F374" s="4352"/>
    </row>
    <row r="375" spans="1:6" s="4225" customFormat="1" ht="14.25" customHeight="1">
      <c r="A375" s="4392">
        <v>2.1</v>
      </c>
      <c r="B375" s="4230" t="s">
        <v>2398</v>
      </c>
      <c r="C375" s="4231">
        <v>14.21</v>
      </c>
      <c r="D375" s="4249" t="s">
        <v>2430</v>
      </c>
      <c r="E375" s="4233"/>
      <c r="F375" s="4233">
        <f t="shared" si="16"/>
        <v>0</v>
      </c>
    </row>
    <row r="376" spans="1:6" s="4225" customFormat="1" ht="14.25" customHeight="1">
      <c r="A376" s="4392">
        <v>2.2000000000000002</v>
      </c>
      <c r="B376" s="3434" t="s">
        <v>3863</v>
      </c>
      <c r="C376" s="4233">
        <v>7.49</v>
      </c>
      <c r="D376" s="4249" t="s">
        <v>2431</v>
      </c>
      <c r="E376" s="4233"/>
      <c r="F376" s="4233">
        <f t="shared" si="16"/>
        <v>0</v>
      </c>
    </row>
    <row r="377" spans="1:6" s="4225" customFormat="1" ht="14.25" customHeight="1">
      <c r="A377" s="4392">
        <v>2.2999999999999998</v>
      </c>
      <c r="B377" s="4230" t="s">
        <v>4021</v>
      </c>
      <c r="C377" s="4231">
        <v>7.49</v>
      </c>
      <c r="D377" s="4249" t="s">
        <v>2430</v>
      </c>
      <c r="E377" s="4233"/>
      <c r="F377" s="4233">
        <f t="shared" si="16"/>
        <v>0</v>
      </c>
    </row>
    <row r="378" spans="1:6" s="4225" customFormat="1" ht="29.25" customHeight="1">
      <c r="A378" s="4392">
        <v>2.4</v>
      </c>
      <c r="B378" s="3434" t="s">
        <v>3833</v>
      </c>
      <c r="C378" s="4231">
        <v>8.73</v>
      </c>
      <c r="D378" s="4232" t="s">
        <v>2525</v>
      </c>
      <c r="E378" s="4233"/>
      <c r="F378" s="4233">
        <f>IF(C378&gt;0,(ROUND((E378*C378),2))," ")</f>
        <v>0</v>
      </c>
    </row>
    <row r="379" spans="1:6" ht="14.25" customHeight="1">
      <c r="A379" s="4388"/>
      <c r="B379" s="4230"/>
      <c r="C379" s="4231"/>
      <c r="D379" s="4249"/>
      <c r="E379" s="4233"/>
      <c r="F379" s="4233" t="str">
        <f t="shared" si="16"/>
        <v xml:space="preserve"> </v>
      </c>
    </row>
    <row r="380" spans="1:6" ht="15" customHeight="1">
      <c r="A380" s="4389">
        <v>3</v>
      </c>
      <c r="B380" s="4343" t="s">
        <v>1776</v>
      </c>
      <c r="C380" s="4231"/>
      <c r="D380" s="4249"/>
      <c r="E380" s="4233"/>
      <c r="F380" s="4233" t="str">
        <f t="shared" si="16"/>
        <v xml:space="preserve"> </v>
      </c>
    </row>
    <row r="381" spans="1:6" ht="14.25" customHeight="1">
      <c r="A381" s="4392">
        <v>3.1</v>
      </c>
      <c r="B381" s="4212" t="s">
        <v>3742</v>
      </c>
      <c r="C381" s="3533">
        <v>1.28</v>
      </c>
      <c r="D381" s="4348" t="s">
        <v>3747</v>
      </c>
      <c r="E381" s="4233"/>
      <c r="F381" s="4233">
        <f t="shared" si="16"/>
        <v>0</v>
      </c>
    </row>
    <row r="382" spans="1:6" ht="14.25" customHeight="1">
      <c r="A382" s="4392">
        <v>3.2</v>
      </c>
      <c r="B382" s="4212" t="s">
        <v>3748</v>
      </c>
      <c r="C382" s="4349">
        <v>2.59</v>
      </c>
      <c r="D382" s="4348" t="s">
        <v>3747</v>
      </c>
      <c r="E382" s="4233"/>
      <c r="F382" s="4233">
        <f t="shared" si="16"/>
        <v>0</v>
      </c>
    </row>
    <row r="383" spans="1:6" ht="14.25" customHeight="1">
      <c r="A383" s="4392">
        <v>3.3</v>
      </c>
      <c r="B383" s="4206" t="s">
        <v>4022</v>
      </c>
      <c r="C383" s="4349">
        <v>2.11</v>
      </c>
      <c r="D383" s="4348" t="s">
        <v>3747</v>
      </c>
      <c r="E383" s="4233"/>
      <c r="F383" s="4233">
        <f t="shared" si="16"/>
        <v>0</v>
      </c>
    </row>
    <row r="384" spans="1:6" ht="14.25" customHeight="1">
      <c r="A384" s="4392">
        <v>3.4</v>
      </c>
      <c r="B384" s="3563" t="s">
        <v>3743</v>
      </c>
      <c r="C384" s="4349">
        <v>0.5</v>
      </c>
      <c r="D384" s="4348" t="s">
        <v>3747</v>
      </c>
      <c r="E384" s="4233"/>
      <c r="F384" s="4233">
        <f t="shared" si="16"/>
        <v>0</v>
      </c>
    </row>
    <row r="385" spans="1:6" ht="14.25" customHeight="1">
      <c r="A385" s="4392">
        <v>3.5</v>
      </c>
      <c r="B385" s="3563" t="s">
        <v>3744</v>
      </c>
      <c r="C385" s="4349">
        <v>0.78</v>
      </c>
      <c r="D385" s="4348" t="s">
        <v>3747</v>
      </c>
      <c r="E385" s="4233"/>
      <c r="F385" s="4233">
        <f t="shared" si="16"/>
        <v>0</v>
      </c>
    </row>
    <row r="386" spans="1:6" ht="14.25" customHeight="1">
      <c r="A386" s="4392">
        <v>3.6</v>
      </c>
      <c r="B386" s="3563" t="s">
        <v>3745</v>
      </c>
      <c r="C386" s="4349">
        <v>0.84</v>
      </c>
      <c r="D386" s="4348" t="s">
        <v>3747</v>
      </c>
      <c r="E386" s="4233"/>
      <c r="F386" s="4233">
        <f t="shared" si="16"/>
        <v>0</v>
      </c>
    </row>
    <row r="387" spans="1:6" ht="14.25" customHeight="1">
      <c r="A387" s="4392">
        <v>3.7</v>
      </c>
      <c r="B387" s="3563" t="s">
        <v>3746</v>
      </c>
      <c r="C387" s="3533">
        <v>2.17</v>
      </c>
      <c r="D387" s="4348" t="s">
        <v>3747</v>
      </c>
      <c r="E387" s="4233"/>
      <c r="F387" s="4233">
        <f t="shared" si="16"/>
        <v>0</v>
      </c>
    </row>
    <row r="388" spans="1:6" ht="14.25" customHeight="1">
      <c r="A388" s="4392">
        <v>3.8</v>
      </c>
      <c r="B388" s="3563" t="s">
        <v>4023</v>
      </c>
      <c r="C388" s="3533">
        <v>3.5</v>
      </c>
      <c r="D388" s="4348" t="s">
        <v>3747</v>
      </c>
      <c r="E388" s="4233"/>
      <c r="F388" s="4233">
        <f t="shared" si="16"/>
        <v>0</v>
      </c>
    </row>
    <row r="389" spans="1:6" ht="14.25" customHeight="1">
      <c r="A389" s="4388"/>
      <c r="B389" s="4230"/>
      <c r="C389" s="4231"/>
      <c r="D389" s="4249"/>
      <c r="E389" s="4233"/>
      <c r="F389" s="4233"/>
    </row>
    <row r="390" spans="1:6" s="4222" customFormat="1" ht="15" customHeight="1">
      <c r="A390" s="4394">
        <v>4</v>
      </c>
      <c r="B390" s="4211" t="s">
        <v>1784</v>
      </c>
      <c r="C390" s="4221"/>
      <c r="D390" s="4311"/>
      <c r="E390" s="4216"/>
      <c r="F390" s="4216" t="str">
        <f t="shared" si="16"/>
        <v xml:space="preserve"> </v>
      </c>
    </row>
    <row r="391" spans="1:6" s="4222" customFormat="1" ht="14.25" customHeight="1">
      <c r="A391" s="4399">
        <v>4.0999999999999996</v>
      </c>
      <c r="B391" s="4212" t="s">
        <v>3739</v>
      </c>
      <c r="C391" s="4212">
        <v>6.968</v>
      </c>
      <c r="D391" s="4217" t="s">
        <v>2432</v>
      </c>
      <c r="E391" s="4216"/>
      <c r="F391" s="4216">
        <f t="shared" si="16"/>
        <v>0</v>
      </c>
    </row>
    <row r="392" spans="1:6" s="4222" customFormat="1" ht="14.25" customHeight="1">
      <c r="A392" s="4399">
        <v>4.2</v>
      </c>
      <c r="B392" s="4212" t="s">
        <v>3740</v>
      </c>
      <c r="C392" s="4221">
        <v>40.700000000000003</v>
      </c>
      <c r="D392" s="4217" t="s">
        <v>2432</v>
      </c>
      <c r="E392" s="4216"/>
      <c r="F392" s="4216">
        <f t="shared" si="16"/>
        <v>0</v>
      </c>
    </row>
    <row r="393" spans="1:6" s="4222" customFormat="1" ht="14.25" customHeight="1">
      <c r="A393" s="4399">
        <v>4.3</v>
      </c>
      <c r="B393" s="3563" t="s">
        <v>2362</v>
      </c>
      <c r="C393" s="4221">
        <v>17.8</v>
      </c>
      <c r="D393" s="4311" t="s">
        <v>1</v>
      </c>
      <c r="E393" s="4216"/>
      <c r="F393" s="4216">
        <f t="shared" si="16"/>
        <v>0</v>
      </c>
    </row>
    <row r="394" spans="1:6" s="4222" customFormat="1" ht="15" customHeight="1">
      <c r="A394" s="4400"/>
      <c r="B394" s="4220"/>
      <c r="C394" s="4221"/>
      <c r="D394" s="4311"/>
      <c r="E394" s="4216"/>
      <c r="F394" s="4216" t="str">
        <f t="shared" si="16"/>
        <v xml:space="preserve"> </v>
      </c>
    </row>
    <row r="395" spans="1:6" s="4222" customFormat="1" ht="15" customHeight="1">
      <c r="A395" s="4394">
        <v>5</v>
      </c>
      <c r="B395" s="4211" t="s">
        <v>859</v>
      </c>
      <c r="C395" s="4221"/>
      <c r="D395" s="4311"/>
      <c r="E395" s="4216"/>
      <c r="F395" s="4216" t="str">
        <f t="shared" si="16"/>
        <v xml:space="preserve"> </v>
      </c>
    </row>
    <row r="396" spans="1:6" s="4266" customFormat="1" ht="14.25" customHeight="1">
      <c r="A396" s="4399">
        <v>5.0999999999999996</v>
      </c>
      <c r="B396" s="3563" t="s">
        <v>2567</v>
      </c>
      <c r="C396" s="4221">
        <v>66.63</v>
      </c>
      <c r="D396" s="4311" t="s">
        <v>2432</v>
      </c>
      <c r="E396" s="4216"/>
      <c r="F396" s="4216">
        <f t="shared" si="16"/>
        <v>0</v>
      </c>
    </row>
    <row r="397" spans="1:6" s="4222" customFormat="1" ht="14.25" customHeight="1">
      <c r="A397" s="4399">
        <v>5.2</v>
      </c>
      <c r="B397" s="3563" t="s">
        <v>2396</v>
      </c>
      <c r="C397" s="4221">
        <v>47.93</v>
      </c>
      <c r="D397" s="4311" t="s">
        <v>2432</v>
      </c>
      <c r="E397" s="4216"/>
      <c r="F397" s="4216">
        <f t="shared" si="16"/>
        <v>0</v>
      </c>
    </row>
    <row r="398" spans="1:6" s="4222" customFormat="1" ht="14.25" customHeight="1">
      <c r="A398" s="4399">
        <v>5.3</v>
      </c>
      <c r="B398" s="3563" t="s">
        <v>2395</v>
      </c>
      <c r="C398" s="4221">
        <v>51.06</v>
      </c>
      <c r="D398" s="4311" t="s">
        <v>2432</v>
      </c>
      <c r="E398" s="4216"/>
      <c r="F398" s="4216">
        <f t="shared" si="16"/>
        <v>0</v>
      </c>
    </row>
    <row r="399" spans="1:6" s="4266" customFormat="1" ht="14.25">
      <c r="A399" s="4399">
        <v>5.4</v>
      </c>
      <c r="B399" s="4212" t="s">
        <v>3456</v>
      </c>
      <c r="C399" s="3533">
        <v>26.94</v>
      </c>
      <c r="D399" s="3534" t="s">
        <v>3741</v>
      </c>
      <c r="E399" s="3535"/>
      <c r="F399" s="4347">
        <f t="shared" ref="F399" si="17">ROUND(C399*E399,2)</f>
        <v>0</v>
      </c>
    </row>
    <row r="400" spans="1:6" s="4222" customFormat="1" ht="14.25" customHeight="1">
      <c r="A400" s="4399">
        <v>5.5</v>
      </c>
      <c r="B400" s="3563" t="s">
        <v>2397</v>
      </c>
      <c r="C400" s="4221">
        <v>29.81</v>
      </c>
      <c r="D400" s="4311" t="s">
        <v>2432</v>
      </c>
      <c r="E400" s="4216"/>
      <c r="F400" s="4216">
        <f t="shared" si="16"/>
        <v>0</v>
      </c>
    </row>
    <row r="401" spans="1:6" s="4222" customFormat="1" ht="14.25" customHeight="1">
      <c r="A401" s="4399">
        <v>5.6</v>
      </c>
      <c r="B401" s="3563" t="s">
        <v>1548</v>
      </c>
      <c r="C401" s="4221">
        <v>104</v>
      </c>
      <c r="D401" s="4311" t="s">
        <v>1</v>
      </c>
      <c r="E401" s="4216"/>
      <c r="F401" s="4216">
        <f t="shared" si="16"/>
        <v>0</v>
      </c>
    </row>
    <row r="402" spans="1:6" s="4222" customFormat="1" ht="14.25" customHeight="1">
      <c r="A402" s="4399">
        <v>5.7</v>
      </c>
      <c r="B402" s="3563" t="s">
        <v>3527</v>
      </c>
      <c r="C402" s="4221">
        <v>18.8</v>
      </c>
      <c r="D402" s="4311" t="s">
        <v>1</v>
      </c>
      <c r="E402" s="4216"/>
      <c r="F402" s="4216">
        <f t="shared" si="16"/>
        <v>0</v>
      </c>
    </row>
    <row r="403" spans="1:6" s="4222" customFormat="1" ht="14.25" customHeight="1">
      <c r="A403" s="4399">
        <v>5.8</v>
      </c>
      <c r="B403" s="3563" t="s">
        <v>2352</v>
      </c>
      <c r="C403" s="4221">
        <v>125.93</v>
      </c>
      <c r="D403" s="4311" t="s">
        <v>2432</v>
      </c>
      <c r="E403" s="4216"/>
      <c r="F403" s="4216">
        <f t="shared" si="16"/>
        <v>0</v>
      </c>
    </row>
    <row r="404" spans="1:6" s="4222" customFormat="1" ht="14.25" customHeight="1">
      <c r="A404" s="4399">
        <v>5.9</v>
      </c>
      <c r="B404" s="3563" t="s">
        <v>2346</v>
      </c>
      <c r="C404" s="4221">
        <v>15.86</v>
      </c>
      <c r="D404" s="4311" t="s">
        <v>2432</v>
      </c>
      <c r="E404" s="4216"/>
      <c r="F404" s="4216">
        <f t="shared" si="16"/>
        <v>0</v>
      </c>
    </row>
    <row r="405" spans="1:6" s="4222" customFormat="1" ht="14.25" customHeight="1">
      <c r="A405" s="4391">
        <v>5.0999999999999996</v>
      </c>
      <c r="B405" s="4212" t="s">
        <v>3864</v>
      </c>
      <c r="C405" s="4221">
        <v>1</v>
      </c>
      <c r="D405" s="4217" t="s">
        <v>2433</v>
      </c>
      <c r="E405" s="4216"/>
      <c r="F405" s="4216">
        <f t="shared" si="16"/>
        <v>0</v>
      </c>
    </row>
    <row r="406" spans="1:6" ht="14.25" customHeight="1">
      <c r="A406" s="4454"/>
      <c r="B406" s="4450"/>
      <c r="C406" s="4464"/>
      <c r="D406" s="4465"/>
      <c r="E406" s="4466"/>
      <c r="F406" s="4466" t="str">
        <f t="shared" si="16"/>
        <v xml:space="preserve"> </v>
      </c>
    </row>
    <row r="407" spans="1:6" s="4240" customFormat="1" ht="15" customHeight="1">
      <c r="A407" s="4389">
        <v>6</v>
      </c>
      <c r="B407" s="4211" t="s">
        <v>2948</v>
      </c>
      <c r="C407" s="4262"/>
      <c r="D407" s="4271"/>
      <c r="E407" s="4264"/>
      <c r="F407" s="4264" t="str">
        <f t="shared" si="16"/>
        <v xml:space="preserve"> </v>
      </c>
    </row>
    <row r="408" spans="1:6" ht="14.25" customHeight="1">
      <c r="A408" s="4392">
        <v>6.1</v>
      </c>
      <c r="B408" s="4230" t="s">
        <v>2949</v>
      </c>
      <c r="C408" s="4231">
        <v>630</v>
      </c>
      <c r="D408" s="4249" t="s">
        <v>2602</v>
      </c>
      <c r="E408" s="4233"/>
      <c r="F408" s="4233">
        <f t="shared" si="16"/>
        <v>0</v>
      </c>
    </row>
    <row r="409" spans="1:6" ht="14.25" customHeight="1">
      <c r="A409" s="4392">
        <v>6.2</v>
      </c>
      <c r="B409" s="4230" t="s">
        <v>2950</v>
      </c>
      <c r="C409" s="4231">
        <v>127.5</v>
      </c>
      <c r="D409" s="4249" t="s">
        <v>2602</v>
      </c>
      <c r="E409" s="4233"/>
      <c r="F409" s="4233">
        <f t="shared" si="16"/>
        <v>0</v>
      </c>
    </row>
    <row r="410" spans="1:6" ht="14.25" customHeight="1">
      <c r="A410" s="4392">
        <v>6.3</v>
      </c>
      <c r="B410" s="4230" t="s">
        <v>2951</v>
      </c>
      <c r="C410" s="4231">
        <v>6</v>
      </c>
      <c r="D410" s="4232" t="s">
        <v>2433</v>
      </c>
      <c r="E410" s="4233"/>
      <c r="F410" s="4233">
        <f t="shared" si="16"/>
        <v>0</v>
      </c>
    </row>
    <row r="411" spans="1:6" ht="14.25" customHeight="1">
      <c r="A411" s="4392">
        <v>6.4</v>
      </c>
      <c r="B411" s="4230" t="s">
        <v>2952</v>
      </c>
      <c r="C411" s="4231">
        <v>8</v>
      </c>
      <c r="D411" s="4232" t="s">
        <v>2433</v>
      </c>
      <c r="E411" s="4233"/>
      <c r="F411" s="4233">
        <f t="shared" si="16"/>
        <v>0</v>
      </c>
    </row>
    <row r="412" spans="1:6" ht="14.25" customHeight="1">
      <c r="A412" s="4392">
        <v>6.5</v>
      </c>
      <c r="B412" s="4230" t="s">
        <v>2953</v>
      </c>
      <c r="C412" s="4231">
        <v>1</v>
      </c>
      <c r="D412" s="4232" t="s">
        <v>2433</v>
      </c>
      <c r="E412" s="4233"/>
      <c r="F412" s="4233">
        <f t="shared" si="16"/>
        <v>0</v>
      </c>
    </row>
    <row r="413" spans="1:6" ht="14.25" customHeight="1">
      <c r="A413" s="4392">
        <v>6.6</v>
      </c>
      <c r="B413" s="4230" t="s">
        <v>2954</v>
      </c>
      <c r="C413" s="4231">
        <v>1</v>
      </c>
      <c r="D413" s="4249" t="s">
        <v>42</v>
      </c>
      <c r="E413" s="4233"/>
      <c r="F413" s="4233">
        <f t="shared" si="16"/>
        <v>0</v>
      </c>
    </row>
    <row r="414" spans="1:6" ht="14.25" customHeight="1">
      <c r="A414" s="4388"/>
      <c r="B414" s="4230"/>
      <c r="C414" s="4231"/>
      <c r="D414" s="4249"/>
      <c r="E414" s="4233"/>
      <c r="F414" s="4233" t="str">
        <f t="shared" si="16"/>
        <v xml:space="preserve"> </v>
      </c>
    </row>
    <row r="415" spans="1:6" s="4222" customFormat="1" ht="15" customHeight="1">
      <c r="A415" s="4394">
        <v>7</v>
      </c>
      <c r="B415" s="4211" t="s">
        <v>3865</v>
      </c>
      <c r="C415" s="4221"/>
      <c r="D415" s="4311"/>
      <c r="E415" s="4216"/>
      <c r="F415" s="4216" t="str">
        <f t="shared" si="16"/>
        <v xml:space="preserve"> </v>
      </c>
    </row>
    <row r="416" spans="1:6" s="4222" customFormat="1" ht="14.25" customHeight="1">
      <c r="A416" s="4399">
        <v>7.1</v>
      </c>
      <c r="B416" s="4212" t="s">
        <v>3749</v>
      </c>
      <c r="C416" s="3533">
        <v>4</v>
      </c>
      <c r="D416" s="3534" t="s">
        <v>2433</v>
      </c>
      <c r="E416" s="3535"/>
      <c r="F416" s="4216">
        <f t="shared" si="16"/>
        <v>0</v>
      </c>
    </row>
    <row r="417" spans="1:6" s="4222" customFormat="1" ht="14.25" customHeight="1">
      <c r="A417" s="4399">
        <v>7.2</v>
      </c>
      <c r="B417" s="3563" t="s">
        <v>3750</v>
      </c>
      <c r="C417" s="3533">
        <v>1</v>
      </c>
      <c r="D417" s="3534" t="s">
        <v>2433</v>
      </c>
      <c r="E417" s="3535"/>
      <c r="F417" s="4216">
        <f t="shared" si="16"/>
        <v>0</v>
      </c>
    </row>
    <row r="418" spans="1:6" s="4222" customFormat="1" ht="14.25" customHeight="1">
      <c r="A418" s="4399">
        <v>7.3</v>
      </c>
      <c r="B418" s="3563" t="s">
        <v>3751</v>
      </c>
      <c r="C418" s="3533">
        <v>2</v>
      </c>
      <c r="D418" s="3534" t="s">
        <v>2433</v>
      </c>
      <c r="E418" s="3535"/>
      <c r="F418" s="4216">
        <f t="shared" si="16"/>
        <v>0</v>
      </c>
    </row>
    <row r="419" spans="1:6" s="4222" customFormat="1" ht="14.25" customHeight="1">
      <c r="A419" s="4399">
        <v>7.4</v>
      </c>
      <c r="B419" s="3563" t="s">
        <v>3866</v>
      </c>
      <c r="C419" s="3533">
        <v>1</v>
      </c>
      <c r="D419" s="3534" t="s">
        <v>2433</v>
      </c>
      <c r="E419" s="4345"/>
      <c r="F419" s="4216">
        <f t="shared" si="16"/>
        <v>0</v>
      </c>
    </row>
    <row r="420" spans="1:6" ht="14.25" customHeight="1">
      <c r="A420" s="4388"/>
      <c r="B420" s="4230"/>
      <c r="C420" s="4231"/>
      <c r="D420" s="4249"/>
      <c r="E420" s="4233"/>
      <c r="F420" s="4233" t="str">
        <f t="shared" si="16"/>
        <v xml:space="preserve"> </v>
      </c>
    </row>
    <row r="421" spans="1:6" ht="15" customHeight="1">
      <c r="A421" s="4389">
        <v>8</v>
      </c>
      <c r="B421" s="4343" t="s">
        <v>1816</v>
      </c>
      <c r="C421" s="4231"/>
      <c r="D421" s="4249"/>
      <c r="E421" s="4233"/>
      <c r="F421" s="4233" t="str">
        <f t="shared" si="16"/>
        <v xml:space="preserve"> </v>
      </c>
    </row>
    <row r="422" spans="1:6" ht="28.5" customHeight="1">
      <c r="A422" s="4392">
        <v>8.1</v>
      </c>
      <c r="B422" s="3563" t="s">
        <v>4024</v>
      </c>
      <c r="C422" s="4275">
        <v>2</v>
      </c>
      <c r="D422" s="4232" t="s">
        <v>2433</v>
      </c>
      <c r="E422" s="4233"/>
      <c r="F422" s="4233">
        <f t="shared" si="16"/>
        <v>0</v>
      </c>
    </row>
    <row r="423" spans="1:6" ht="14.25" customHeight="1">
      <c r="A423" s="4392">
        <v>8.1999999999999993</v>
      </c>
      <c r="B423" s="3563" t="s">
        <v>4025</v>
      </c>
      <c r="C423" s="4275">
        <v>2</v>
      </c>
      <c r="D423" s="4232" t="s">
        <v>2433</v>
      </c>
      <c r="E423" s="4233"/>
      <c r="F423" s="4233">
        <f t="shared" si="16"/>
        <v>0</v>
      </c>
    </row>
    <row r="424" spans="1:6" ht="14.25" customHeight="1">
      <c r="A424" s="4392">
        <v>8.3000000000000007</v>
      </c>
      <c r="B424" s="4212" t="s">
        <v>3626</v>
      </c>
      <c r="C424" s="4275">
        <v>3</v>
      </c>
      <c r="D424" s="4232" t="s">
        <v>2433</v>
      </c>
      <c r="E424" s="4233"/>
      <c r="F424" s="4233">
        <f t="shared" si="16"/>
        <v>0</v>
      </c>
    </row>
    <row r="425" spans="1:6" ht="14.25" customHeight="1">
      <c r="A425" s="4392">
        <v>8.4</v>
      </c>
      <c r="B425" s="4212" t="s">
        <v>3627</v>
      </c>
      <c r="C425" s="4275">
        <v>1</v>
      </c>
      <c r="D425" s="4232" t="s">
        <v>2433</v>
      </c>
      <c r="E425" s="4233"/>
      <c r="F425" s="4233">
        <f t="shared" si="16"/>
        <v>0</v>
      </c>
    </row>
    <row r="426" spans="1:6" ht="14.25" customHeight="1">
      <c r="A426" s="4392">
        <v>8.5</v>
      </c>
      <c r="B426" s="4212" t="s">
        <v>3628</v>
      </c>
      <c r="C426" s="4275">
        <v>1</v>
      </c>
      <c r="D426" s="4232" t="s">
        <v>2433</v>
      </c>
      <c r="E426" s="4233"/>
      <c r="F426" s="4233">
        <f t="shared" si="16"/>
        <v>0</v>
      </c>
    </row>
    <row r="427" spans="1:6" ht="14.25" customHeight="1">
      <c r="A427" s="4392">
        <v>8.6</v>
      </c>
      <c r="B427" s="4320" t="s">
        <v>3629</v>
      </c>
      <c r="C427" s="4275">
        <v>5</v>
      </c>
      <c r="D427" s="4232" t="s">
        <v>2433</v>
      </c>
      <c r="E427" s="4233"/>
      <c r="F427" s="4233">
        <f t="shared" si="16"/>
        <v>0</v>
      </c>
    </row>
    <row r="428" spans="1:6" ht="14.25" customHeight="1">
      <c r="A428" s="4392">
        <v>8.6999999999999993</v>
      </c>
      <c r="B428" s="3563" t="s">
        <v>3630</v>
      </c>
      <c r="C428" s="4275">
        <v>4</v>
      </c>
      <c r="D428" s="4232" t="s">
        <v>2433</v>
      </c>
      <c r="E428" s="4233"/>
      <c r="F428" s="4233">
        <f t="shared" si="16"/>
        <v>0</v>
      </c>
    </row>
    <row r="429" spans="1:6" ht="14.25" customHeight="1">
      <c r="A429" s="4392">
        <v>8.8000000000000007</v>
      </c>
      <c r="B429" s="4212" t="s">
        <v>3631</v>
      </c>
      <c r="C429" s="4275">
        <v>1</v>
      </c>
      <c r="D429" s="4232" t="s">
        <v>2433</v>
      </c>
      <c r="E429" s="4233"/>
      <c r="F429" s="4233">
        <f t="shared" si="16"/>
        <v>0</v>
      </c>
    </row>
    <row r="430" spans="1:6" ht="14.25" customHeight="1">
      <c r="A430" s="4392">
        <v>8.9</v>
      </c>
      <c r="B430" s="4212" t="s">
        <v>3632</v>
      </c>
      <c r="C430" s="4275">
        <v>1</v>
      </c>
      <c r="D430" s="4232" t="s">
        <v>2433</v>
      </c>
      <c r="E430" s="4233"/>
      <c r="F430" s="4233">
        <f t="shared" si="16"/>
        <v>0</v>
      </c>
    </row>
    <row r="431" spans="1:6" ht="14.25" customHeight="1">
      <c r="A431" s="4388">
        <v>8.1</v>
      </c>
      <c r="B431" s="3563" t="s">
        <v>3633</v>
      </c>
      <c r="C431" s="4275">
        <v>1</v>
      </c>
      <c r="D431" s="4232" t="s">
        <v>2433</v>
      </c>
      <c r="E431" s="4233"/>
      <c r="F431" s="4233">
        <f t="shared" si="16"/>
        <v>0</v>
      </c>
    </row>
    <row r="432" spans="1:6" ht="14.25" customHeight="1">
      <c r="A432" s="4388">
        <v>8.11</v>
      </c>
      <c r="B432" s="4212" t="s">
        <v>2945</v>
      </c>
      <c r="C432" s="4275">
        <v>1</v>
      </c>
      <c r="D432" s="4232" t="s">
        <v>2433</v>
      </c>
      <c r="E432" s="4233"/>
      <c r="F432" s="4233">
        <f t="shared" si="16"/>
        <v>0</v>
      </c>
    </row>
    <row r="433" spans="1:6" ht="14.25" customHeight="1">
      <c r="A433" s="4388">
        <v>8.1199999999999992</v>
      </c>
      <c r="B433" s="4212" t="s">
        <v>2946</v>
      </c>
      <c r="C433" s="4275">
        <v>8</v>
      </c>
      <c r="D433" s="4232" t="s">
        <v>2433</v>
      </c>
      <c r="E433" s="4233"/>
      <c r="F433" s="4233">
        <f t="shared" ref="F433:F444" si="18">IF(C433&gt;0,(ROUND((E433*C433),2))," ")</f>
        <v>0</v>
      </c>
    </row>
    <row r="434" spans="1:6" ht="14.25" customHeight="1">
      <c r="A434" s="4388">
        <v>8.1300000000000008</v>
      </c>
      <c r="B434" s="4212" t="s">
        <v>2947</v>
      </c>
      <c r="C434" s="4275">
        <v>1</v>
      </c>
      <c r="D434" s="4232" t="s">
        <v>2433</v>
      </c>
      <c r="E434" s="4233"/>
      <c r="F434" s="4233">
        <f t="shared" si="18"/>
        <v>0</v>
      </c>
    </row>
    <row r="435" spans="1:6" ht="14.25" customHeight="1">
      <c r="A435" s="4388"/>
      <c r="B435" s="4274"/>
      <c r="C435" s="4275"/>
      <c r="D435" s="4276"/>
      <c r="E435" s="4233"/>
      <c r="F435" s="4233" t="str">
        <f t="shared" si="18"/>
        <v xml:space="preserve"> </v>
      </c>
    </row>
    <row r="436" spans="1:6" s="4240" customFormat="1" ht="15" customHeight="1">
      <c r="A436" s="4389">
        <v>9</v>
      </c>
      <c r="B436" s="4343" t="s">
        <v>2958</v>
      </c>
      <c r="C436" s="4277"/>
      <c r="D436" s="4278"/>
      <c r="E436" s="4264"/>
      <c r="F436" s="4233" t="str">
        <f t="shared" si="18"/>
        <v xml:space="preserve"> </v>
      </c>
    </row>
    <row r="437" spans="1:6" ht="14.25" customHeight="1">
      <c r="A437" s="4392">
        <v>9.1</v>
      </c>
      <c r="B437" s="4274" t="s">
        <v>2394</v>
      </c>
      <c r="C437" s="4275">
        <v>37</v>
      </c>
      <c r="D437" s="4232" t="s">
        <v>1</v>
      </c>
      <c r="E437" s="4233"/>
      <c r="F437" s="4233">
        <f t="shared" si="18"/>
        <v>0</v>
      </c>
    </row>
    <row r="438" spans="1:6" ht="14.25" customHeight="1">
      <c r="A438" s="4392">
        <v>9.1999999999999993</v>
      </c>
      <c r="B438" s="4274" t="s">
        <v>2955</v>
      </c>
      <c r="C438" s="4275">
        <v>14.8</v>
      </c>
      <c r="D438" s="4249" t="s">
        <v>3154</v>
      </c>
      <c r="E438" s="4233"/>
      <c r="F438" s="4233">
        <f t="shared" si="18"/>
        <v>0</v>
      </c>
    </row>
    <row r="439" spans="1:6" ht="14.25" customHeight="1">
      <c r="A439" s="4392">
        <v>9.3000000000000007</v>
      </c>
      <c r="B439" s="4274" t="s">
        <v>2546</v>
      </c>
      <c r="C439" s="4275">
        <v>1.85</v>
      </c>
      <c r="D439" s="4276" t="s">
        <v>2618</v>
      </c>
      <c r="E439" s="4233"/>
      <c r="F439" s="4233">
        <f t="shared" si="18"/>
        <v>0</v>
      </c>
    </row>
    <row r="440" spans="1:6" ht="14.25" customHeight="1">
      <c r="A440" s="4392">
        <v>9.4</v>
      </c>
      <c r="B440" s="3434" t="s">
        <v>2399</v>
      </c>
      <c r="C440" s="4275">
        <v>10.36</v>
      </c>
      <c r="D440" s="4249" t="s">
        <v>2431</v>
      </c>
      <c r="E440" s="4233"/>
      <c r="F440" s="4233">
        <f t="shared" si="18"/>
        <v>0</v>
      </c>
    </row>
    <row r="441" spans="1:6" ht="28.5" customHeight="1">
      <c r="A441" s="4392">
        <v>9.5</v>
      </c>
      <c r="B441" s="4274" t="s">
        <v>2956</v>
      </c>
      <c r="C441" s="4275">
        <v>5.33</v>
      </c>
      <c r="D441" s="4276" t="s">
        <v>2525</v>
      </c>
      <c r="E441" s="4233"/>
      <c r="F441" s="4233">
        <f t="shared" si="18"/>
        <v>0</v>
      </c>
    </row>
    <row r="442" spans="1:6" ht="14.25" customHeight="1">
      <c r="A442" s="4392">
        <v>9.6</v>
      </c>
      <c r="B442" s="4274" t="s">
        <v>3480</v>
      </c>
      <c r="C442" s="4275">
        <v>37</v>
      </c>
      <c r="D442" s="4276" t="s">
        <v>1</v>
      </c>
      <c r="E442" s="4233"/>
      <c r="F442" s="4233">
        <f t="shared" si="18"/>
        <v>0</v>
      </c>
    </row>
    <row r="443" spans="1:6" ht="14.25" customHeight="1">
      <c r="A443" s="4392">
        <v>9.6999999999999993</v>
      </c>
      <c r="B443" s="4274" t="s">
        <v>2959</v>
      </c>
      <c r="C443" s="4275">
        <v>7</v>
      </c>
      <c r="D443" s="4232" t="s">
        <v>2433</v>
      </c>
      <c r="E443" s="4233"/>
      <c r="F443" s="4233">
        <f t="shared" si="18"/>
        <v>0</v>
      </c>
    </row>
    <row r="444" spans="1:6" ht="14.25" customHeight="1">
      <c r="A444" s="4392">
        <v>9.8000000000000007</v>
      </c>
      <c r="B444" s="4274" t="s">
        <v>3867</v>
      </c>
      <c r="C444" s="4275">
        <v>1</v>
      </c>
      <c r="D444" s="4276" t="s">
        <v>42</v>
      </c>
      <c r="E444" s="4233"/>
      <c r="F444" s="4233">
        <f t="shared" si="18"/>
        <v>0</v>
      </c>
    </row>
    <row r="445" spans="1:6" s="4266" customFormat="1" ht="12.75" customHeight="1">
      <c r="A445" s="4305"/>
      <c r="B445" s="4304" t="s">
        <v>2125</v>
      </c>
      <c r="C445" s="4305"/>
      <c r="D445" s="4305"/>
      <c r="E445" s="4305"/>
      <c r="F445" s="4307">
        <f>SUM(F369:F444)</f>
        <v>0</v>
      </c>
    </row>
    <row r="446" spans="1:6" ht="15" customHeight="1">
      <c r="A446" s="4393"/>
      <c r="B446" s="3435"/>
      <c r="C446" s="3538"/>
      <c r="D446" s="4263"/>
      <c r="E446" s="4264"/>
      <c r="F446" s="4264"/>
    </row>
    <row r="447" spans="1:6" s="4222" customFormat="1" ht="15">
      <c r="A447" s="4396" t="s">
        <v>877</v>
      </c>
      <c r="B447" s="3435" t="s">
        <v>3123</v>
      </c>
      <c r="C447" s="4321"/>
      <c r="D447" s="4322"/>
      <c r="E447" s="4323"/>
      <c r="F447" s="4323" t="str">
        <f t="shared" ref="F447:F485" si="19">IF(C447&gt;0,(ROUND((E447*C447),2))," ")</f>
        <v xml:space="preserve"> </v>
      </c>
    </row>
    <row r="448" spans="1:6" s="4240" customFormat="1" ht="15" customHeight="1">
      <c r="A448" s="4389">
        <v>1</v>
      </c>
      <c r="B448" s="4343" t="s">
        <v>2165</v>
      </c>
      <c r="C448" s="4262"/>
      <c r="D448" s="4271"/>
      <c r="E448" s="4264"/>
      <c r="F448" s="4264" t="str">
        <f t="shared" si="19"/>
        <v xml:space="preserve"> </v>
      </c>
    </row>
    <row r="449" spans="1:6" ht="14.25" customHeight="1">
      <c r="A449" s="4392">
        <v>1.1000000000000001</v>
      </c>
      <c r="B449" s="4230" t="s">
        <v>4028</v>
      </c>
      <c r="C449" s="4208">
        <v>1</v>
      </c>
      <c r="D449" s="4232" t="s">
        <v>2433</v>
      </c>
      <c r="E449" s="4210"/>
      <c r="F449" s="4226">
        <f t="shared" si="19"/>
        <v>0</v>
      </c>
    </row>
    <row r="450" spans="1:6" ht="14.25" customHeight="1">
      <c r="A450" s="4388"/>
      <c r="B450" s="4230"/>
      <c r="C450" s="4231"/>
      <c r="D450" s="4249"/>
      <c r="E450" s="4233"/>
      <c r="F450" s="4233" t="str">
        <f t="shared" si="19"/>
        <v xml:space="preserve"> </v>
      </c>
    </row>
    <row r="451" spans="1:6" ht="15" customHeight="1">
      <c r="A451" s="4389">
        <v>2</v>
      </c>
      <c r="B451" s="4343" t="s">
        <v>3709</v>
      </c>
      <c r="C451" s="4231"/>
      <c r="D451" s="4249"/>
      <c r="E451" s="4233"/>
      <c r="F451" s="4233" t="str">
        <f t="shared" si="19"/>
        <v xml:space="preserve"> </v>
      </c>
    </row>
    <row r="452" spans="1:6" ht="14.25" customHeight="1">
      <c r="A452" s="4392">
        <v>2.1</v>
      </c>
      <c r="B452" s="3434" t="s">
        <v>2398</v>
      </c>
      <c r="C452" s="4231">
        <v>8.9499999999999993</v>
      </c>
      <c r="D452" s="4249" t="s">
        <v>2430</v>
      </c>
      <c r="E452" s="4233"/>
      <c r="F452" s="4233">
        <f t="shared" si="19"/>
        <v>0</v>
      </c>
    </row>
    <row r="453" spans="1:6" ht="14.25" customHeight="1">
      <c r="A453" s="4392">
        <v>2.2000000000000002</v>
      </c>
      <c r="B453" s="3434" t="s">
        <v>2399</v>
      </c>
      <c r="C453" s="4233">
        <v>4.33</v>
      </c>
      <c r="D453" s="4249" t="s">
        <v>2431</v>
      </c>
      <c r="E453" s="4233"/>
      <c r="F453" s="4233">
        <f t="shared" si="19"/>
        <v>0</v>
      </c>
    </row>
    <row r="454" spans="1:6" ht="29.25" customHeight="1">
      <c r="A454" s="4392">
        <v>2.2999999999999998</v>
      </c>
      <c r="B454" s="3434" t="s">
        <v>3833</v>
      </c>
      <c r="C454" s="4231">
        <v>6</v>
      </c>
      <c r="D454" s="4232" t="s">
        <v>2525</v>
      </c>
      <c r="E454" s="4233"/>
      <c r="F454" s="4233">
        <f t="shared" si="19"/>
        <v>0</v>
      </c>
    </row>
    <row r="455" spans="1:6" ht="14.25" customHeight="1">
      <c r="A455" s="4454"/>
      <c r="B455" s="4450"/>
      <c r="C455" s="4464"/>
      <c r="D455" s="4465"/>
      <c r="E455" s="4466"/>
      <c r="F455" s="4466" t="str">
        <f t="shared" si="19"/>
        <v xml:space="preserve"> </v>
      </c>
    </row>
    <row r="456" spans="1:6" ht="15" customHeight="1">
      <c r="A456" s="4389">
        <v>3</v>
      </c>
      <c r="B456" s="4343" t="s">
        <v>3710</v>
      </c>
      <c r="C456" s="4231"/>
      <c r="D456" s="4249"/>
      <c r="E456" s="4233"/>
      <c r="F456" s="4233" t="str">
        <f t="shared" si="19"/>
        <v xml:space="preserve"> </v>
      </c>
    </row>
    <row r="457" spans="1:6" ht="14.25" customHeight="1">
      <c r="A457" s="4392">
        <v>3.1</v>
      </c>
      <c r="B457" s="4230" t="s">
        <v>3516</v>
      </c>
      <c r="C457" s="4191">
        <v>1.78</v>
      </c>
      <c r="D457" s="4249" t="s">
        <v>2430</v>
      </c>
      <c r="E457" s="4233"/>
      <c r="F457" s="4233">
        <f t="shared" si="19"/>
        <v>0</v>
      </c>
    </row>
    <row r="458" spans="1:6" ht="14.25" customHeight="1">
      <c r="A458" s="4392">
        <v>3.2</v>
      </c>
      <c r="B458" s="4230" t="s">
        <v>3517</v>
      </c>
      <c r="C458" s="4191">
        <v>1.32</v>
      </c>
      <c r="D458" s="4249" t="s">
        <v>2430</v>
      </c>
      <c r="E458" s="4233"/>
      <c r="F458" s="4233">
        <f t="shared" si="19"/>
        <v>0</v>
      </c>
    </row>
    <row r="459" spans="1:6" ht="14.25" customHeight="1">
      <c r="A459" s="4392">
        <v>3.3</v>
      </c>
      <c r="B459" s="4230" t="s">
        <v>3518</v>
      </c>
      <c r="C459" s="4191">
        <v>1.22</v>
      </c>
      <c r="D459" s="4249" t="s">
        <v>2430</v>
      </c>
      <c r="E459" s="4233"/>
      <c r="F459" s="4233">
        <f t="shared" si="19"/>
        <v>0</v>
      </c>
    </row>
    <row r="460" spans="1:6" ht="14.25" customHeight="1">
      <c r="A460" s="4392">
        <v>3.4</v>
      </c>
      <c r="B460" s="4230" t="s">
        <v>3519</v>
      </c>
      <c r="C460" s="4191">
        <v>0.51</v>
      </c>
      <c r="D460" s="4249" t="s">
        <v>2430</v>
      </c>
      <c r="E460" s="4233"/>
      <c r="F460" s="4233">
        <f t="shared" si="19"/>
        <v>0</v>
      </c>
    </row>
    <row r="461" spans="1:6" ht="14.25" customHeight="1">
      <c r="A461" s="4392">
        <v>3.5</v>
      </c>
      <c r="B461" s="4230" t="s">
        <v>3520</v>
      </c>
      <c r="C461" s="4191">
        <v>0.98</v>
      </c>
      <c r="D461" s="4249" t="s">
        <v>2430</v>
      </c>
      <c r="E461" s="4233"/>
      <c r="F461" s="4233">
        <f t="shared" si="19"/>
        <v>0</v>
      </c>
    </row>
    <row r="462" spans="1:6" ht="14.25" customHeight="1">
      <c r="A462" s="4392">
        <v>3.6</v>
      </c>
      <c r="B462" s="4230" t="s">
        <v>3150</v>
      </c>
      <c r="C462" s="4191">
        <v>0.16</v>
      </c>
      <c r="D462" s="4232" t="s">
        <v>2430</v>
      </c>
      <c r="E462" s="4233"/>
      <c r="F462" s="4233">
        <f t="shared" si="19"/>
        <v>0</v>
      </c>
    </row>
    <row r="463" spans="1:6" ht="14.25" customHeight="1">
      <c r="A463" s="4392">
        <v>3.7</v>
      </c>
      <c r="B463" s="4230" t="s">
        <v>3521</v>
      </c>
      <c r="C463" s="4191">
        <v>2.1800000000000002</v>
      </c>
      <c r="D463" s="4232" t="s">
        <v>2430</v>
      </c>
      <c r="E463" s="4233"/>
      <c r="F463" s="4233">
        <f t="shared" si="19"/>
        <v>0</v>
      </c>
    </row>
    <row r="464" spans="1:6" ht="14.25" customHeight="1">
      <c r="A464" s="4392">
        <v>3.8</v>
      </c>
      <c r="B464" s="4230" t="s">
        <v>3556</v>
      </c>
      <c r="C464" s="4191">
        <v>1.07</v>
      </c>
      <c r="D464" s="4232" t="s">
        <v>2430</v>
      </c>
      <c r="E464" s="4233"/>
      <c r="F464" s="4233">
        <f t="shared" si="19"/>
        <v>0</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3522</v>
      </c>
      <c r="C467" s="4231">
        <v>5.0599999999999996</v>
      </c>
      <c r="D467" s="4249" t="s">
        <v>2432</v>
      </c>
      <c r="E467" s="4233"/>
      <c r="F467" s="4233">
        <f t="shared" si="19"/>
        <v>0</v>
      </c>
    </row>
    <row r="468" spans="1:6" ht="14.25" customHeight="1">
      <c r="A468" s="4392">
        <v>4.2</v>
      </c>
      <c r="B468" s="4272" t="s">
        <v>3523</v>
      </c>
      <c r="C468" s="4231">
        <v>25.13</v>
      </c>
      <c r="D468" s="4249" t="s">
        <v>2432</v>
      </c>
      <c r="E468" s="4233"/>
      <c r="F468" s="4233">
        <f t="shared" si="19"/>
        <v>0</v>
      </c>
    </row>
    <row r="469" spans="1:6" ht="14.25" customHeight="1">
      <c r="A469" s="4392">
        <v>4.3</v>
      </c>
      <c r="B469" s="4230" t="s">
        <v>2401</v>
      </c>
      <c r="C469" s="4231">
        <v>5.2</v>
      </c>
      <c r="D469" s="4249" t="s">
        <v>2432</v>
      </c>
      <c r="E469" s="4233"/>
      <c r="F469" s="4233">
        <f t="shared" si="19"/>
        <v>0</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c r="F472" s="4233">
        <f t="shared" si="19"/>
        <v>0</v>
      </c>
    </row>
    <row r="473" spans="1:6" ht="14.25" customHeight="1">
      <c r="A473" s="4392">
        <v>5.2</v>
      </c>
      <c r="B473" s="4230" t="s">
        <v>2402</v>
      </c>
      <c r="C473" s="4231">
        <v>40.64</v>
      </c>
      <c r="D473" s="4249" t="s">
        <v>2432</v>
      </c>
      <c r="E473" s="4233"/>
      <c r="F473" s="4233">
        <f t="shared" si="19"/>
        <v>0</v>
      </c>
    </row>
    <row r="474" spans="1:6" ht="14.25" customHeight="1">
      <c r="A474" s="4392">
        <v>5.3</v>
      </c>
      <c r="B474" s="4230" t="s">
        <v>2345</v>
      </c>
      <c r="C474" s="4191">
        <v>34.11</v>
      </c>
      <c r="D474" s="4249" t="s">
        <v>2432</v>
      </c>
      <c r="E474" s="4233"/>
      <c r="F474" s="4233">
        <f t="shared" si="19"/>
        <v>0</v>
      </c>
    </row>
    <row r="475" spans="1:6" ht="14.25" customHeight="1">
      <c r="A475" s="4392">
        <v>5.4</v>
      </c>
      <c r="B475" s="4230" t="s">
        <v>2343</v>
      </c>
      <c r="C475" s="4231">
        <v>18.09</v>
      </c>
      <c r="D475" s="4249" t="s">
        <v>2432</v>
      </c>
      <c r="E475" s="4233"/>
      <c r="F475" s="4233">
        <f t="shared" si="19"/>
        <v>0</v>
      </c>
    </row>
    <row r="476" spans="1:6" ht="14.25" customHeight="1">
      <c r="A476" s="4392">
        <v>5.5</v>
      </c>
      <c r="B476" s="3563" t="s">
        <v>3561</v>
      </c>
      <c r="C476" s="4191">
        <v>85.15</v>
      </c>
      <c r="D476" s="4249" t="s">
        <v>2432</v>
      </c>
      <c r="E476" s="4233"/>
      <c r="F476" s="4233">
        <f t="shared" si="19"/>
        <v>0</v>
      </c>
    </row>
    <row r="477" spans="1:6" ht="14.25" customHeight="1">
      <c r="A477" s="4392">
        <v>5.6</v>
      </c>
      <c r="B477" s="4230" t="s">
        <v>2558</v>
      </c>
      <c r="C477" s="4231">
        <v>14.3</v>
      </c>
      <c r="D477" s="4249" t="s">
        <v>2432</v>
      </c>
      <c r="E477" s="4233"/>
      <c r="F477" s="4233">
        <f t="shared" si="19"/>
        <v>0</v>
      </c>
    </row>
    <row r="478" spans="1:6" ht="14.25" customHeight="1">
      <c r="A478" s="4392">
        <v>5.7</v>
      </c>
      <c r="B478" s="3563" t="s">
        <v>3524</v>
      </c>
      <c r="C478" s="4231">
        <v>147.72</v>
      </c>
      <c r="D478" s="4249" t="s">
        <v>1</v>
      </c>
      <c r="E478" s="4233"/>
      <c r="F478" s="4233">
        <f t="shared" si="19"/>
        <v>0</v>
      </c>
    </row>
    <row r="479" spans="1:6" ht="14.25" customHeight="1">
      <c r="A479" s="4392">
        <v>5.8</v>
      </c>
      <c r="B479" s="3563" t="s">
        <v>3527</v>
      </c>
      <c r="C479" s="4231">
        <v>15.14</v>
      </c>
      <c r="D479" s="4249" t="s">
        <v>1</v>
      </c>
      <c r="E479" s="4233"/>
      <c r="F479" s="4233">
        <f t="shared" si="19"/>
        <v>0</v>
      </c>
    </row>
    <row r="480" spans="1:6" ht="14.25" customHeight="1">
      <c r="A480" s="4392">
        <v>5.9</v>
      </c>
      <c r="B480" s="4230" t="s">
        <v>2346</v>
      </c>
      <c r="C480" s="4191">
        <v>12.11</v>
      </c>
      <c r="D480" s="4249" t="s">
        <v>2432</v>
      </c>
      <c r="E480" s="4233"/>
      <c r="F480" s="4233">
        <f t="shared" si="19"/>
        <v>0</v>
      </c>
    </row>
    <row r="481" spans="1:6" ht="14.25" customHeight="1">
      <c r="A481" s="4388">
        <v>5.0999999999999996</v>
      </c>
      <c r="B481" s="4212" t="s">
        <v>3864</v>
      </c>
      <c r="C481" s="4231">
        <v>1</v>
      </c>
      <c r="D481" s="4232" t="s">
        <v>2433</v>
      </c>
      <c r="E481" s="4233"/>
      <c r="F481" s="4233">
        <f t="shared" si="19"/>
        <v>0</v>
      </c>
    </row>
    <row r="482" spans="1:6" ht="14.25" customHeight="1">
      <c r="A482" s="4388"/>
      <c r="B482" s="4212"/>
      <c r="C482" s="4231"/>
      <c r="D482" s="4249"/>
      <c r="E482" s="4233"/>
      <c r="F482" s="4233" t="str">
        <f t="shared" si="19"/>
        <v xml:space="preserve"> </v>
      </c>
    </row>
    <row r="483" spans="1:6" ht="15" customHeight="1">
      <c r="A483" s="4389">
        <v>6</v>
      </c>
      <c r="B483" s="4343" t="s">
        <v>3531</v>
      </c>
      <c r="C483" s="4191"/>
      <c r="D483" s="4194"/>
      <c r="E483" s="4210"/>
      <c r="F483" s="4233" t="str">
        <f t="shared" si="19"/>
        <v xml:space="preserve"> </v>
      </c>
    </row>
    <row r="484" spans="1:6" ht="14.25" customHeight="1">
      <c r="A484" s="4392">
        <v>6.1</v>
      </c>
      <c r="B484" s="4212" t="s">
        <v>3532</v>
      </c>
      <c r="C484" s="4191">
        <v>1</v>
      </c>
      <c r="D484" s="4232" t="s">
        <v>2433</v>
      </c>
      <c r="E484" s="4210"/>
      <c r="F484" s="4233">
        <f t="shared" si="19"/>
        <v>0</v>
      </c>
    </row>
    <row r="485" spans="1:6" ht="14.25" customHeight="1">
      <c r="A485" s="4392">
        <v>6.2</v>
      </c>
      <c r="B485" s="4212" t="s">
        <v>2418</v>
      </c>
      <c r="C485" s="4191">
        <v>22.6</v>
      </c>
      <c r="D485" s="4232" t="s">
        <v>2601</v>
      </c>
      <c r="E485" s="4210"/>
      <c r="F485" s="4233">
        <f t="shared" si="19"/>
        <v>0</v>
      </c>
    </row>
    <row r="486" spans="1:6" ht="14.25" customHeight="1">
      <c r="A486" s="4388"/>
      <c r="B486" s="4212"/>
      <c r="C486" s="4191"/>
      <c r="D486" s="4232"/>
      <c r="E486" s="4210"/>
      <c r="F486" s="4233"/>
    </row>
    <row r="487" spans="1:6" ht="15" customHeight="1">
      <c r="A487" s="4389">
        <v>7</v>
      </c>
      <c r="B487" s="4343" t="s">
        <v>904</v>
      </c>
      <c r="C487" s="4231"/>
      <c r="D487" s="4249"/>
      <c r="E487" s="4233"/>
      <c r="F487" s="4233" t="str">
        <f t="shared" ref="F487:F491" si="20">IF(C487&gt;0,(ROUND((E487*C487),2))," ")</f>
        <v xml:space="preserve"> </v>
      </c>
    </row>
    <row r="488" spans="1:6" s="4273" customFormat="1" ht="14.25" customHeight="1">
      <c r="A488" s="4392">
        <v>7.1</v>
      </c>
      <c r="B488" s="4230" t="s">
        <v>3533</v>
      </c>
      <c r="C488" s="4191">
        <v>1</v>
      </c>
      <c r="D488" s="4232" t="s">
        <v>2433</v>
      </c>
      <c r="E488" s="4233"/>
      <c r="F488" s="4233">
        <f t="shared" si="20"/>
        <v>0</v>
      </c>
    </row>
    <row r="489" spans="1:6" s="4273" customFormat="1" ht="14.25" customHeight="1">
      <c r="A489" s="4392">
        <v>7.2</v>
      </c>
      <c r="B489" s="4230" t="s">
        <v>3614</v>
      </c>
      <c r="C489" s="4191">
        <v>2</v>
      </c>
      <c r="D489" s="4232" t="s">
        <v>2433</v>
      </c>
      <c r="E489" s="4233"/>
      <c r="F489" s="4233">
        <f t="shared" si="20"/>
        <v>0</v>
      </c>
    </row>
    <row r="490" spans="1:6" s="4273" customFormat="1" ht="14.25" customHeight="1">
      <c r="A490" s="4392">
        <v>7.3</v>
      </c>
      <c r="B490" s="4230" t="s">
        <v>2521</v>
      </c>
      <c r="C490" s="4191">
        <v>1</v>
      </c>
      <c r="D490" s="4232" t="s">
        <v>2433</v>
      </c>
      <c r="E490" s="4233"/>
      <c r="F490" s="4233">
        <f t="shared" si="20"/>
        <v>0</v>
      </c>
    </row>
    <row r="491" spans="1:6" s="4273" customFormat="1" ht="14.25" customHeight="1">
      <c r="A491" s="4392">
        <v>7.4</v>
      </c>
      <c r="B491" s="4230" t="s">
        <v>3634</v>
      </c>
      <c r="C491" s="4191">
        <v>2</v>
      </c>
      <c r="D491" s="4232" t="s">
        <v>2433</v>
      </c>
      <c r="E491" s="4233"/>
      <c r="F491" s="4233">
        <f t="shared" si="20"/>
        <v>0</v>
      </c>
    </row>
    <row r="492" spans="1:6" s="4266" customFormat="1" ht="12.75" customHeight="1">
      <c r="A492" s="4305"/>
      <c r="B492" s="4304" t="s">
        <v>2121</v>
      </c>
      <c r="C492" s="4305"/>
      <c r="D492" s="4305"/>
      <c r="E492" s="4305"/>
      <c r="F492" s="4307">
        <f>SUM(F448:F491)</f>
        <v>0</v>
      </c>
    </row>
    <row r="493" spans="1:6" ht="14.25" customHeight="1">
      <c r="A493" s="4388"/>
      <c r="B493" s="4230"/>
      <c r="C493" s="4231"/>
      <c r="D493" s="4249"/>
      <c r="E493" s="4233"/>
      <c r="F493" s="4233" t="str">
        <f>IF(C493&gt;0,(ROUND((E493*C493),2))," ")</f>
        <v xml:space="preserve"> </v>
      </c>
    </row>
    <row r="494" spans="1:6" s="4222" customFormat="1" ht="15">
      <c r="A494" s="4396" t="s">
        <v>912</v>
      </c>
      <c r="B494" s="3435" t="s">
        <v>1668</v>
      </c>
      <c r="C494" s="4308"/>
      <c r="D494" s="4309"/>
      <c r="E494" s="4310"/>
      <c r="F494" s="4310" t="str">
        <f t="shared" si="8"/>
        <v xml:space="preserve"> </v>
      </c>
    </row>
    <row r="495" spans="1:6" s="4222" customFormat="1" ht="15">
      <c r="A495" s="4396"/>
      <c r="B495" s="3435"/>
      <c r="C495" s="4308"/>
      <c r="D495" s="4309"/>
      <c r="E495" s="4310"/>
      <c r="F495" s="4310"/>
    </row>
    <row r="496" spans="1:6" ht="15">
      <c r="A496" s="4389">
        <v>1</v>
      </c>
      <c r="B496" s="4343" t="s">
        <v>2165</v>
      </c>
      <c r="C496" s="4231"/>
      <c r="D496" s="4249"/>
      <c r="E496" s="4233"/>
      <c r="F496" s="4233" t="str">
        <f t="shared" si="8"/>
        <v xml:space="preserve"> </v>
      </c>
    </row>
    <row r="497" spans="1:6" ht="14.25">
      <c r="A497" s="4392">
        <v>1.1000000000000001</v>
      </c>
      <c r="B497" s="4230" t="s">
        <v>4028</v>
      </c>
      <c r="C497" s="4231">
        <v>92.31</v>
      </c>
      <c r="D497" s="4249" t="s">
        <v>2432</v>
      </c>
      <c r="E497" s="4233"/>
      <c r="F497" s="4233">
        <f>IF(C497&gt;0,(ROUND((E497*C497),2))," ")</f>
        <v>0</v>
      </c>
    </row>
    <row r="498" spans="1:6" ht="14.25">
      <c r="A498" s="4388"/>
      <c r="B498" s="4230"/>
      <c r="C498" s="4231"/>
      <c r="D498" s="4232"/>
      <c r="E498" s="4233"/>
      <c r="F498" s="4233" t="str">
        <f t="shared" si="8"/>
        <v xml:space="preserve"> </v>
      </c>
    </row>
    <row r="499" spans="1:6" ht="15">
      <c r="A499" s="4389">
        <v>2</v>
      </c>
      <c r="B499" s="4343" t="s">
        <v>38</v>
      </c>
      <c r="C499" s="4231"/>
      <c r="D499" s="4232"/>
      <c r="E499" s="4233"/>
      <c r="F499" s="4233" t="str">
        <f t="shared" si="8"/>
        <v xml:space="preserve"> </v>
      </c>
    </row>
    <row r="500" spans="1:6" ht="14.25">
      <c r="A500" s="4392">
        <v>2.1</v>
      </c>
      <c r="B500" s="4248" t="s">
        <v>2403</v>
      </c>
      <c r="C500" s="4231">
        <v>29.83</v>
      </c>
      <c r="D500" s="4249" t="s">
        <v>2430</v>
      </c>
      <c r="E500" s="4233"/>
      <c r="F500" s="4233">
        <f t="shared" si="8"/>
        <v>0</v>
      </c>
    </row>
    <row r="501" spans="1:6" ht="15" customHeight="1">
      <c r="A501" s="4392">
        <v>2.2000000000000002</v>
      </c>
      <c r="B501" s="4248" t="s">
        <v>2399</v>
      </c>
      <c r="C501" s="4231">
        <v>28.26</v>
      </c>
      <c r="D501" s="4249" t="s">
        <v>2431</v>
      </c>
      <c r="E501" s="4233"/>
      <c r="F501" s="4233">
        <f t="shared" si="8"/>
        <v>0</v>
      </c>
    </row>
    <row r="502" spans="1:6" ht="14.25">
      <c r="A502" s="4392">
        <v>2.2999999999999998</v>
      </c>
      <c r="B502" s="4248" t="s">
        <v>2400</v>
      </c>
      <c r="C502" s="4231">
        <v>11.12</v>
      </c>
      <c r="D502" s="4232" t="s">
        <v>2525</v>
      </c>
      <c r="E502" s="4233"/>
      <c r="F502" s="4233">
        <f t="shared" si="8"/>
        <v>0</v>
      </c>
    </row>
    <row r="503" spans="1:6" ht="14.25">
      <c r="A503" s="4388"/>
      <c r="B503" s="4230"/>
      <c r="C503" s="4231"/>
      <c r="D503" s="4249"/>
      <c r="E503" s="4233"/>
      <c r="F503" s="4233" t="str">
        <f t="shared" si="8"/>
        <v xml:space="preserve"> </v>
      </c>
    </row>
    <row r="504" spans="1:6" ht="15">
      <c r="A504" s="4389">
        <v>3</v>
      </c>
      <c r="B504" s="4343" t="s">
        <v>3711</v>
      </c>
      <c r="C504" s="4231"/>
      <c r="D504" s="4249"/>
      <c r="E504" s="4233"/>
      <c r="F504" s="4233" t="str">
        <f t="shared" si="8"/>
        <v xml:space="preserve"> </v>
      </c>
    </row>
    <row r="505" spans="1:6" ht="14.25">
      <c r="A505" s="4392">
        <v>3.1</v>
      </c>
      <c r="B505" s="4230" t="s">
        <v>3870</v>
      </c>
      <c r="C505" s="4231">
        <v>8.24</v>
      </c>
      <c r="D505" s="4249" t="s">
        <v>2430</v>
      </c>
      <c r="E505" s="4233"/>
      <c r="F505" s="4233">
        <f t="shared" si="8"/>
        <v>0</v>
      </c>
    </row>
    <row r="506" spans="1:6" ht="14.25">
      <c r="A506" s="4392">
        <v>3.2</v>
      </c>
      <c r="B506" s="4230" t="s">
        <v>3871</v>
      </c>
      <c r="C506" s="4231">
        <v>0.93</v>
      </c>
      <c r="D506" s="4249" t="s">
        <v>2430</v>
      </c>
      <c r="E506" s="4233"/>
      <c r="F506" s="4233">
        <f t="shared" si="8"/>
        <v>0</v>
      </c>
    </row>
    <row r="507" spans="1:6" ht="14.25">
      <c r="A507" s="4392">
        <v>3.3</v>
      </c>
      <c r="B507" s="4230" t="s">
        <v>3869</v>
      </c>
      <c r="C507" s="4231">
        <v>8.83</v>
      </c>
      <c r="D507" s="4249" t="s">
        <v>2430</v>
      </c>
      <c r="E507" s="4233"/>
      <c r="F507" s="4233">
        <f t="shared" si="8"/>
        <v>0</v>
      </c>
    </row>
    <row r="508" spans="1:6" ht="14.25">
      <c r="A508" s="4449">
        <v>3.4</v>
      </c>
      <c r="B508" s="4450" t="s">
        <v>3868</v>
      </c>
      <c r="C508" s="4464">
        <v>2</v>
      </c>
      <c r="D508" s="4452" t="s">
        <v>2433</v>
      </c>
      <c r="E508" s="4466"/>
      <c r="F508" s="4466">
        <f t="shared" si="8"/>
        <v>0</v>
      </c>
    </row>
    <row r="509" spans="1:6" ht="14.25">
      <c r="A509" s="4388"/>
      <c r="B509" s="4230"/>
      <c r="C509" s="4231"/>
      <c r="D509" s="4249"/>
      <c r="E509" s="4233"/>
      <c r="F509" s="4233" t="str">
        <f t="shared" si="8"/>
        <v xml:space="preserve"> </v>
      </c>
    </row>
    <row r="510" spans="1:6" ht="15">
      <c r="A510" s="4389">
        <v>4</v>
      </c>
      <c r="B510" s="4343" t="s">
        <v>884</v>
      </c>
      <c r="C510" s="4231"/>
      <c r="D510" s="4249"/>
      <c r="E510" s="4233"/>
      <c r="F510" s="4233" t="str">
        <f t="shared" si="8"/>
        <v xml:space="preserve"> </v>
      </c>
    </row>
    <row r="511" spans="1:6" ht="14.25">
      <c r="A511" s="4392">
        <v>4.0999999999999996</v>
      </c>
      <c r="B511" s="4230" t="s">
        <v>3635</v>
      </c>
      <c r="C511" s="4231">
        <v>47.35</v>
      </c>
      <c r="D511" s="4249" t="s">
        <v>2432</v>
      </c>
      <c r="E511" s="4233"/>
      <c r="F511" s="4233">
        <f t="shared" si="8"/>
        <v>0</v>
      </c>
    </row>
    <row r="512" spans="1:6" ht="14.25">
      <c r="A512" s="4392">
        <v>4.2</v>
      </c>
      <c r="B512" s="4230" t="s">
        <v>3602</v>
      </c>
      <c r="C512" s="4231">
        <v>136.49</v>
      </c>
      <c r="D512" s="4249" t="s">
        <v>2432</v>
      </c>
      <c r="E512" s="4233"/>
      <c r="F512" s="4233">
        <f t="shared" si="8"/>
        <v>0</v>
      </c>
    </row>
    <row r="513" spans="1:6" ht="14.25">
      <c r="A513" s="4392">
        <v>4.3</v>
      </c>
      <c r="B513" s="4230" t="s">
        <v>2404</v>
      </c>
      <c r="C513" s="4231">
        <v>4.29</v>
      </c>
      <c r="D513" s="4249" t="s">
        <v>2432</v>
      </c>
      <c r="E513" s="4233"/>
      <c r="F513" s="4233">
        <f t="shared" si="8"/>
        <v>0</v>
      </c>
    </row>
    <row r="514" spans="1:6" ht="14.25">
      <c r="A514" s="4388"/>
      <c r="B514" s="4230"/>
      <c r="C514" s="4231"/>
      <c r="D514" s="4249"/>
      <c r="E514" s="4233"/>
      <c r="F514" s="4233" t="str">
        <f t="shared" si="8"/>
        <v xml:space="preserve"> </v>
      </c>
    </row>
    <row r="515" spans="1:6" ht="15">
      <c r="A515" s="4389">
        <v>5</v>
      </c>
      <c r="B515" s="4343" t="s">
        <v>886</v>
      </c>
      <c r="C515" s="4231"/>
      <c r="D515" s="4249"/>
      <c r="E515" s="4233"/>
      <c r="F515" s="4233" t="str">
        <f t="shared" si="8"/>
        <v xml:space="preserve"> </v>
      </c>
    </row>
    <row r="516" spans="1:6" ht="14.25">
      <c r="A516" s="4392">
        <v>5.0999999999999996</v>
      </c>
      <c r="B516" s="4230" t="s">
        <v>2567</v>
      </c>
      <c r="C516" s="4231">
        <v>88.34</v>
      </c>
      <c r="D516" s="4249" t="s">
        <v>2432</v>
      </c>
      <c r="E516" s="4233"/>
      <c r="F516" s="4233">
        <f t="shared" si="8"/>
        <v>0</v>
      </c>
    </row>
    <row r="517" spans="1:6" ht="14.25">
      <c r="A517" s="4392">
        <v>5.2</v>
      </c>
      <c r="B517" s="4230" t="s">
        <v>2405</v>
      </c>
      <c r="C517" s="4231">
        <v>369.85</v>
      </c>
      <c r="D517" s="4249" t="s">
        <v>2432</v>
      </c>
      <c r="E517" s="4233"/>
      <c r="F517" s="4233">
        <f t="shared" si="8"/>
        <v>0</v>
      </c>
    </row>
    <row r="518" spans="1:6" ht="14.25">
      <c r="A518" s="4392">
        <v>5.3</v>
      </c>
      <c r="B518" s="4230" t="s">
        <v>1548</v>
      </c>
      <c r="C518" s="4231">
        <v>201.45</v>
      </c>
      <c r="D518" s="4249" t="s">
        <v>1</v>
      </c>
      <c r="E518" s="4233"/>
      <c r="F518" s="4233">
        <f t="shared" si="8"/>
        <v>0</v>
      </c>
    </row>
    <row r="519" spans="1:6" ht="14.25">
      <c r="A519" s="4392">
        <v>5.4</v>
      </c>
      <c r="B519" s="4230" t="s">
        <v>2562</v>
      </c>
      <c r="C519" s="3540">
        <v>61.58</v>
      </c>
      <c r="D519" s="4232" t="s">
        <v>2432</v>
      </c>
      <c r="E519" s="4233"/>
      <c r="F519" s="4233">
        <f t="shared" si="8"/>
        <v>0</v>
      </c>
    </row>
    <row r="520" spans="1:6" ht="14.25">
      <c r="A520" s="4392">
        <v>5.5</v>
      </c>
      <c r="B520" s="4230" t="s">
        <v>3636</v>
      </c>
      <c r="C520" s="4231">
        <v>46.2</v>
      </c>
      <c r="D520" s="4249" t="s">
        <v>2432</v>
      </c>
      <c r="E520" s="4233"/>
      <c r="F520" s="4233">
        <f t="shared" si="8"/>
        <v>0</v>
      </c>
    </row>
    <row r="521" spans="1:6" ht="14.25">
      <c r="A521" s="4392">
        <v>5.6</v>
      </c>
      <c r="B521" s="4230" t="s">
        <v>2397</v>
      </c>
      <c r="C521" s="4231">
        <v>86.58</v>
      </c>
      <c r="D521" s="4249" t="s">
        <v>2432</v>
      </c>
      <c r="E521" s="4233"/>
      <c r="F521" s="4233">
        <f t="shared" si="8"/>
        <v>0</v>
      </c>
    </row>
    <row r="522" spans="1:6" ht="14.25">
      <c r="A522" s="4392">
        <v>5.7</v>
      </c>
      <c r="B522" s="4230" t="s">
        <v>2406</v>
      </c>
      <c r="C522" s="4231">
        <v>54.95</v>
      </c>
      <c r="D522" s="4249" t="s">
        <v>1</v>
      </c>
      <c r="E522" s="4233"/>
      <c r="F522" s="4233">
        <f t="shared" si="8"/>
        <v>0</v>
      </c>
    </row>
    <row r="523" spans="1:6" ht="14.25">
      <c r="A523" s="4392">
        <v>5.8</v>
      </c>
      <c r="B523" s="4230" t="s">
        <v>2407</v>
      </c>
      <c r="C523" s="4231">
        <v>38.1</v>
      </c>
      <c r="D523" s="4249" t="s">
        <v>2432</v>
      </c>
      <c r="E523" s="4233"/>
      <c r="F523" s="4233">
        <f t="shared" si="8"/>
        <v>0</v>
      </c>
    </row>
    <row r="524" spans="1:6" ht="14.25">
      <c r="A524" s="4392">
        <v>5.9</v>
      </c>
      <c r="B524" s="4230" t="s">
        <v>2408</v>
      </c>
      <c r="C524" s="4231">
        <v>334.81</v>
      </c>
      <c r="D524" s="4249" t="s">
        <v>2432</v>
      </c>
      <c r="E524" s="4233"/>
      <c r="F524" s="4233">
        <f t="shared" ref="F524:F532" si="21">IF(C524&gt;0,(ROUND((E524*C524),2))," ")</f>
        <v>0</v>
      </c>
    </row>
    <row r="525" spans="1:6" ht="14.25">
      <c r="A525" s="4388">
        <v>5.0999999999999996</v>
      </c>
      <c r="B525" s="4184" t="s">
        <v>3526</v>
      </c>
      <c r="C525" s="4175">
        <v>20.100000000000001</v>
      </c>
      <c r="D525" s="4269" t="s">
        <v>1</v>
      </c>
      <c r="E525" s="4233"/>
      <c r="F525" s="4233">
        <f t="shared" si="21"/>
        <v>0</v>
      </c>
    </row>
    <row r="526" spans="1:6" ht="14.25">
      <c r="A526" s="4388"/>
      <c r="B526" s="4230"/>
      <c r="C526" s="4231"/>
      <c r="D526" s="4249"/>
      <c r="E526" s="4233"/>
      <c r="F526" s="4233" t="str">
        <f t="shared" si="21"/>
        <v xml:space="preserve"> </v>
      </c>
    </row>
    <row r="527" spans="1:6" ht="15">
      <c r="A527" s="4389">
        <v>6</v>
      </c>
      <c r="B527" s="4343" t="s">
        <v>909</v>
      </c>
      <c r="C527" s="4231"/>
      <c r="D527" s="4249"/>
      <c r="E527" s="4233"/>
      <c r="F527" s="4233" t="str">
        <f t="shared" si="21"/>
        <v xml:space="preserve"> </v>
      </c>
    </row>
    <row r="528" spans="1:6" ht="14.25">
      <c r="A528" s="4392">
        <v>6.1</v>
      </c>
      <c r="B528" s="4230" t="s">
        <v>2935</v>
      </c>
      <c r="C528" s="4231">
        <v>6</v>
      </c>
      <c r="D528" s="4232" t="s">
        <v>2433</v>
      </c>
      <c r="E528" s="4233"/>
      <c r="F528" s="4233">
        <f>IF(C528&gt;0,(ROUND((E528*C528),2))," ")</f>
        <v>0</v>
      </c>
    </row>
    <row r="529" spans="1:6" ht="14.25">
      <c r="A529" s="4388"/>
      <c r="B529" s="4230"/>
      <c r="C529" s="4231"/>
      <c r="D529" s="4249"/>
      <c r="E529" s="4233"/>
      <c r="F529" s="4233" t="str">
        <f t="shared" si="21"/>
        <v xml:space="preserve"> </v>
      </c>
    </row>
    <row r="530" spans="1:6" ht="15">
      <c r="A530" s="4389">
        <v>7</v>
      </c>
      <c r="B530" s="4343" t="s">
        <v>910</v>
      </c>
      <c r="C530" s="4231"/>
      <c r="D530" s="4249"/>
      <c r="E530" s="4233"/>
      <c r="F530" s="4233" t="str">
        <f t="shared" si="21"/>
        <v xml:space="preserve"> </v>
      </c>
    </row>
    <row r="531" spans="1:6" ht="14.25">
      <c r="A531" s="4392">
        <v>7.1</v>
      </c>
      <c r="B531" s="4230" t="s">
        <v>2418</v>
      </c>
      <c r="C531" s="4231">
        <v>80.48</v>
      </c>
      <c r="D531" s="4232" t="s">
        <v>2601</v>
      </c>
      <c r="E531" s="4233"/>
      <c r="F531" s="4233">
        <f>IF(C531&gt;0,(ROUND((E531*C531),2))," ")</f>
        <v>0</v>
      </c>
    </row>
    <row r="532" spans="1:6" ht="14.25">
      <c r="A532" s="4388"/>
      <c r="B532" s="4230"/>
      <c r="C532" s="4231"/>
      <c r="D532" s="4249"/>
      <c r="E532" s="4233"/>
      <c r="F532" s="4233" t="str">
        <f t="shared" si="21"/>
        <v xml:space="preserve"> </v>
      </c>
    </row>
    <row r="533" spans="1:6" ht="15">
      <c r="A533" s="4389">
        <v>8</v>
      </c>
      <c r="B533" s="4343" t="s">
        <v>904</v>
      </c>
      <c r="C533" s="4231"/>
      <c r="D533" s="4249"/>
      <c r="E533" s="4233"/>
      <c r="F533" s="4233" t="str">
        <f>IF(C533&gt;0,(ROUND((E533*C533),2))," ")</f>
        <v xml:space="preserve"> </v>
      </c>
    </row>
    <row r="534" spans="1:6" ht="14.25">
      <c r="A534" s="4392">
        <v>8.1</v>
      </c>
      <c r="B534" s="4230" t="s">
        <v>2417</v>
      </c>
      <c r="C534" s="4231">
        <v>8</v>
      </c>
      <c r="D534" s="4232" t="s">
        <v>2433</v>
      </c>
      <c r="E534" s="4233"/>
      <c r="F534" s="4233">
        <f>IF(C534&gt;0,(ROUND((E534*C534),2))," ")</f>
        <v>0</v>
      </c>
    </row>
    <row r="535" spans="1:6" ht="14.25">
      <c r="A535" s="4392">
        <v>8.1999999999999993</v>
      </c>
      <c r="B535" s="4230" t="s">
        <v>2520</v>
      </c>
      <c r="C535" s="4231">
        <v>10</v>
      </c>
      <c r="D535" s="4232" t="s">
        <v>2433</v>
      </c>
      <c r="E535" s="4233"/>
      <c r="F535" s="4233">
        <f>IF(C535&gt;0,(ROUND((E535*C535),2))," ")</f>
        <v>0</v>
      </c>
    </row>
    <row r="536" spans="1:6" ht="14.25">
      <c r="A536" s="4392">
        <v>8.3000000000000007</v>
      </c>
      <c r="B536" s="4230" t="s">
        <v>2521</v>
      </c>
      <c r="C536" s="4231">
        <v>8</v>
      </c>
      <c r="D536" s="4232" t="s">
        <v>2433</v>
      </c>
      <c r="E536" s="4233"/>
      <c r="F536" s="4233">
        <f>IF(C536&gt;0,(ROUND((E536*C536),2))," ")</f>
        <v>0</v>
      </c>
    </row>
    <row r="537" spans="1:6" ht="14.25">
      <c r="A537" s="4392">
        <v>8.4</v>
      </c>
      <c r="B537" s="4230" t="s">
        <v>2522</v>
      </c>
      <c r="C537" s="4231">
        <v>1</v>
      </c>
      <c r="D537" s="4232" t="s">
        <v>2433</v>
      </c>
      <c r="E537" s="4233"/>
      <c r="F537" s="4233">
        <f>IF(C537&gt;0,(ROUND((E537*C537),2))," ")</f>
        <v>0</v>
      </c>
    </row>
    <row r="538" spans="1:6" ht="14.25">
      <c r="A538" s="4392"/>
      <c r="B538" s="4230"/>
      <c r="C538" s="4231"/>
      <c r="D538" s="4232"/>
      <c r="E538" s="4233"/>
      <c r="F538" s="4233"/>
    </row>
    <row r="539" spans="1:6" ht="15">
      <c r="A539" s="4389">
        <v>9</v>
      </c>
      <c r="B539" s="4343" t="s">
        <v>892</v>
      </c>
      <c r="C539" s="4231"/>
      <c r="D539" s="4249"/>
      <c r="E539" s="4233"/>
      <c r="F539" s="4233" t="str">
        <f t="shared" ref="F539:F550" si="22">IF(C539&gt;0,(ROUND((E539*C539),2))," ")</f>
        <v xml:space="preserve"> </v>
      </c>
    </row>
    <row r="540" spans="1:6" s="4234" customFormat="1" ht="14.25">
      <c r="A540" s="4392">
        <v>9.1</v>
      </c>
      <c r="B540" s="4230" t="s">
        <v>2409</v>
      </c>
      <c r="C540" s="4231">
        <v>1</v>
      </c>
      <c r="D540" s="4232" t="s">
        <v>2433</v>
      </c>
      <c r="E540" s="4233"/>
      <c r="F540" s="4233">
        <f t="shared" si="22"/>
        <v>0</v>
      </c>
    </row>
    <row r="541" spans="1:6" s="4234" customFormat="1" ht="14.25">
      <c r="A541" s="4392">
        <v>9.1999999999999993</v>
      </c>
      <c r="B541" s="4230" t="s">
        <v>2410</v>
      </c>
      <c r="C541" s="4231">
        <v>1</v>
      </c>
      <c r="D541" s="4232" t="s">
        <v>2433</v>
      </c>
      <c r="E541" s="4233"/>
      <c r="F541" s="4233">
        <f t="shared" si="22"/>
        <v>0</v>
      </c>
    </row>
    <row r="542" spans="1:6" s="4234" customFormat="1" ht="14.25">
      <c r="A542" s="4392">
        <v>9.3000000000000007</v>
      </c>
      <c r="B542" s="4230" t="s">
        <v>2411</v>
      </c>
      <c r="C542" s="4231">
        <v>1</v>
      </c>
      <c r="D542" s="4232" t="s">
        <v>2433</v>
      </c>
      <c r="E542" s="4233"/>
      <c r="F542" s="4233">
        <f t="shared" si="22"/>
        <v>0</v>
      </c>
    </row>
    <row r="543" spans="1:6" s="4234" customFormat="1" ht="14.25">
      <c r="A543" s="4392">
        <v>9.4</v>
      </c>
      <c r="B543" s="4230" t="s">
        <v>2412</v>
      </c>
      <c r="C543" s="4231">
        <v>1</v>
      </c>
      <c r="D543" s="4232" t="s">
        <v>2433</v>
      </c>
      <c r="E543" s="4233"/>
      <c r="F543" s="4233">
        <f t="shared" si="22"/>
        <v>0</v>
      </c>
    </row>
    <row r="544" spans="1:6" s="4234" customFormat="1" ht="14.25">
      <c r="A544" s="4392">
        <v>9.5</v>
      </c>
      <c r="B544" s="4230" t="s">
        <v>2413</v>
      </c>
      <c r="C544" s="4231">
        <v>1</v>
      </c>
      <c r="D544" s="4232" t="s">
        <v>2433</v>
      </c>
      <c r="E544" s="4233"/>
      <c r="F544" s="4233">
        <f t="shared" si="22"/>
        <v>0</v>
      </c>
    </row>
    <row r="545" spans="1:6" s="4234" customFormat="1" ht="14.25">
      <c r="A545" s="4392">
        <v>9.6</v>
      </c>
      <c r="B545" s="4230" t="s">
        <v>2414</v>
      </c>
      <c r="C545" s="4231">
        <v>1</v>
      </c>
      <c r="D545" s="4232" t="s">
        <v>2433</v>
      </c>
      <c r="E545" s="4233"/>
      <c r="F545" s="4233">
        <f t="shared" si="22"/>
        <v>0</v>
      </c>
    </row>
    <row r="546" spans="1:6" ht="14.25">
      <c r="A546" s="4392">
        <v>9.6999999999999993</v>
      </c>
      <c r="B546" s="4212" t="s">
        <v>3530</v>
      </c>
      <c r="C546" s="4231">
        <v>3</v>
      </c>
      <c r="D546" s="4232" t="s">
        <v>2433</v>
      </c>
      <c r="E546" s="4233"/>
      <c r="F546" s="4233">
        <f t="shared" si="22"/>
        <v>0</v>
      </c>
    </row>
    <row r="547" spans="1:6" s="4234" customFormat="1" ht="14.25">
      <c r="A547" s="4392">
        <v>9.8000000000000007</v>
      </c>
      <c r="B547" s="4230" t="s">
        <v>3028</v>
      </c>
      <c r="C547" s="4231">
        <v>1</v>
      </c>
      <c r="D547" s="4232" t="s">
        <v>2433</v>
      </c>
      <c r="E547" s="4233"/>
      <c r="F547" s="4233">
        <f t="shared" si="22"/>
        <v>0</v>
      </c>
    </row>
    <row r="548" spans="1:6" s="4236" customFormat="1" ht="14.25">
      <c r="A548" s="4392">
        <v>9.9</v>
      </c>
      <c r="B548" s="4230" t="s">
        <v>2376</v>
      </c>
      <c r="C548" s="4231">
        <v>3</v>
      </c>
      <c r="D548" s="4232" t="s">
        <v>2433</v>
      </c>
      <c r="E548" s="4233"/>
      <c r="F548" s="4233">
        <f t="shared" si="22"/>
        <v>0</v>
      </c>
    </row>
    <row r="549" spans="1:6" s="4236" customFormat="1" ht="14.25">
      <c r="A549" s="4388">
        <v>9.1</v>
      </c>
      <c r="B549" s="4230" t="s">
        <v>2415</v>
      </c>
      <c r="C549" s="4231">
        <v>1</v>
      </c>
      <c r="D549" s="4232" t="s">
        <v>2433</v>
      </c>
      <c r="E549" s="4233"/>
      <c r="F549" s="4233">
        <f t="shared" si="22"/>
        <v>0</v>
      </c>
    </row>
    <row r="550" spans="1:6" s="4234" customFormat="1" ht="14.25">
      <c r="A550" s="4388">
        <v>9.11</v>
      </c>
      <c r="B550" s="4230" t="s">
        <v>2416</v>
      </c>
      <c r="C550" s="4231">
        <v>1</v>
      </c>
      <c r="D550" s="4232" t="s">
        <v>42</v>
      </c>
      <c r="E550" s="4233"/>
      <c r="F550" s="4233">
        <f t="shared" si="22"/>
        <v>0</v>
      </c>
    </row>
    <row r="551" spans="1:6" s="4325" customFormat="1" ht="14.25">
      <c r="A551" s="4324">
        <v>9.1199999999999992</v>
      </c>
      <c r="B551" s="4212" t="s">
        <v>3637</v>
      </c>
      <c r="C551" s="4191">
        <v>1</v>
      </c>
      <c r="D551" s="4194" t="s">
        <v>2433</v>
      </c>
      <c r="E551" s="4210"/>
      <c r="F551" s="4226">
        <f t="shared" ref="F551" si="23">ROUND(C551*E551,2)</f>
        <v>0</v>
      </c>
    </row>
    <row r="552" spans="1:6" s="4325" customFormat="1" ht="14.25">
      <c r="A552" s="4324"/>
      <c r="B552" s="4212"/>
      <c r="C552" s="4191"/>
      <c r="D552" s="4194"/>
      <c r="E552" s="4210"/>
      <c r="F552" s="4226"/>
    </row>
    <row r="553" spans="1:6" s="4260" customFormat="1" ht="15">
      <c r="A553" s="4389">
        <v>14</v>
      </c>
      <c r="B553" s="4343" t="s">
        <v>3873</v>
      </c>
      <c r="C553" s="4257"/>
      <c r="D553" s="4270"/>
      <c r="E553" s="4258"/>
      <c r="F553" s="4258" t="str">
        <f t="shared" ref="F553:F592" si="24">IF(C553&gt;0,(ROUND((E553*C553),2))," ")</f>
        <v xml:space="preserve"> </v>
      </c>
    </row>
    <row r="554" spans="1:6" s="4260" customFormat="1" ht="14.25">
      <c r="A554" s="4392">
        <v>14.1</v>
      </c>
      <c r="B554" s="4230" t="s">
        <v>3510</v>
      </c>
      <c r="C554" s="4231">
        <v>1</v>
      </c>
      <c r="D554" s="4249" t="s">
        <v>42</v>
      </c>
      <c r="E554" s="4233"/>
      <c r="F554" s="4233">
        <f t="shared" si="24"/>
        <v>0</v>
      </c>
    </row>
    <row r="555" spans="1:6" s="4260" customFormat="1" ht="15">
      <c r="A555" s="4393"/>
      <c r="B555" s="4398"/>
      <c r="C555" s="4257"/>
      <c r="D555" s="4270"/>
      <c r="E555" s="4258"/>
      <c r="F555" s="4258" t="str">
        <f t="shared" si="24"/>
        <v xml:space="preserve"> </v>
      </c>
    </row>
    <row r="556" spans="1:6" s="4236" customFormat="1" ht="25.5">
      <c r="A556" s="4390">
        <v>14.2</v>
      </c>
      <c r="B556" s="4342" t="s">
        <v>3835</v>
      </c>
      <c r="C556" s="4231">
        <v>1</v>
      </c>
      <c r="D556" s="4249" t="s">
        <v>42</v>
      </c>
      <c r="E556" s="4233"/>
      <c r="F556" s="4233">
        <f t="shared" si="24"/>
        <v>0</v>
      </c>
    </row>
    <row r="557" spans="1:6" s="4236" customFormat="1" ht="15">
      <c r="A557" s="4393"/>
      <c r="B557" s="4398"/>
      <c r="C557" s="4231"/>
      <c r="D557" s="4249"/>
      <c r="E557" s="4233"/>
      <c r="F557" s="4233" t="str">
        <f t="shared" si="24"/>
        <v xml:space="preserve"> </v>
      </c>
    </row>
    <row r="558" spans="1:6" s="4236" customFormat="1" ht="15">
      <c r="A558" s="4390">
        <v>14.3</v>
      </c>
      <c r="B558" s="4343" t="s">
        <v>3511</v>
      </c>
      <c r="C558" s="4231"/>
      <c r="D558" s="4249"/>
      <c r="E558" s="4233"/>
      <c r="F558" s="4233" t="str">
        <f t="shared" si="24"/>
        <v xml:space="preserve"> </v>
      </c>
    </row>
    <row r="559" spans="1:6" s="4236" customFormat="1" ht="14.25">
      <c r="A559" s="4388" t="s">
        <v>3874</v>
      </c>
      <c r="B559" s="4230" t="s">
        <v>3608</v>
      </c>
      <c r="C559" s="4231">
        <v>43.34</v>
      </c>
      <c r="D559" s="4249" t="s">
        <v>1</v>
      </c>
      <c r="E559" s="4233"/>
      <c r="F559" s="4233">
        <f t="shared" si="24"/>
        <v>0</v>
      </c>
    </row>
    <row r="560" spans="1:6" s="4236" customFormat="1" ht="15">
      <c r="A560" s="4467"/>
      <c r="B560" s="4478"/>
      <c r="C560" s="4464"/>
      <c r="D560" s="4465"/>
      <c r="E560" s="4466"/>
      <c r="F560" s="4466" t="str">
        <f t="shared" si="24"/>
        <v xml:space="preserve"> </v>
      </c>
    </row>
    <row r="561" spans="1:6" s="4236" customFormat="1" ht="15">
      <c r="A561" s="4390">
        <v>14.4</v>
      </c>
      <c r="B561" s="4343" t="s">
        <v>3512</v>
      </c>
      <c r="C561" s="4231"/>
      <c r="D561" s="4249"/>
      <c r="E561" s="4233"/>
      <c r="F561" s="4233" t="str">
        <f t="shared" si="24"/>
        <v xml:space="preserve"> </v>
      </c>
    </row>
    <row r="562" spans="1:6" s="4236" customFormat="1" ht="14.25">
      <c r="A562" s="4388" t="s">
        <v>3875</v>
      </c>
      <c r="B562" s="4230" t="s">
        <v>3638</v>
      </c>
      <c r="C562" s="4231">
        <v>42.08</v>
      </c>
      <c r="D562" s="4249" t="s">
        <v>1</v>
      </c>
      <c r="E562" s="4233"/>
      <c r="F562" s="4233">
        <f t="shared" si="24"/>
        <v>0</v>
      </c>
    </row>
    <row r="563" spans="1:6" s="4236" customFormat="1" ht="15">
      <c r="A563" s="4393"/>
      <c r="B563" s="4343"/>
      <c r="C563" s="4231"/>
      <c r="D563" s="4249"/>
      <c r="E563" s="4233"/>
      <c r="F563" s="4233" t="str">
        <f t="shared" si="24"/>
        <v xml:space="preserve"> </v>
      </c>
    </row>
    <row r="564" spans="1:6" s="4236" customFormat="1" ht="15">
      <c r="A564" s="4390">
        <v>14.5</v>
      </c>
      <c r="B564" s="4343" t="s">
        <v>3513</v>
      </c>
      <c r="C564" s="4231"/>
      <c r="D564" s="4249"/>
      <c r="E564" s="4233"/>
      <c r="F564" s="4233" t="str">
        <f t="shared" si="24"/>
        <v xml:space="preserve"> </v>
      </c>
    </row>
    <row r="565" spans="1:6" s="4236" customFormat="1" ht="14.25">
      <c r="A565" s="4388" t="s">
        <v>3876</v>
      </c>
      <c r="B565" s="4230" t="s">
        <v>3639</v>
      </c>
      <c r="C565" s="4231">
        <v>8</v>
      </c>
      <c r="D565" s="4232" t="s">
        <v>2433</v>
      </c>
      <c r="E565" s="4233"/>
      <c r="F565" s="4233">
        <f t="shared" si="24"/>
        <v>0</v>
      </c>
    </row>
    <row r="566" spans="1:6" s="4236" customFormat="1" ht="14.25">
      <c r="A566" s="4388" t="s">
        <v>3877</v>
      </c>
      <c r="B566" s="4230" t="s">
        <v>3640</v>
      </c>
      <c r="C566" s="4231">
        <v>2</v>
      </c>
      <c r="D566" s="4232" t="s">
        <v>2433</v>
      </c>
      <c r="E566" s="4233"/>
      <c r="F566" s="4233">
        <f t="shared" si="24"/>
        <v>0</v>
      </c>
    </row>
    <row r="567" spans="1:6" s="4236" customFormat="1" ht="14.25">
      <c r="A567" s="4388" t="s">
        <v>3878</v>
      </c>
      <c r="B567" s="4230" t="s">
        <v>3641</v>
      </c>
      <c r="C567" s="4231">
        <v>3</v>
      </c>
      <c r="D567" s="4232" t="s">
        <v>2433</v>
      </c>
      <c r="E567" s="4233"/>
      <c r="F567" s="4233">
        <f t="shared" si="24"/>
        <v>0</v>
      </c>
    </row>
    <row r="568" spans="1:6" s="4236" customFormat="1" ht="14.25">
      <c r="A568" s="4388" t="s">
        <v>3879</v>
      </c>
      <c r="B568" s="4230" t="s">
        <v>3514</v>
      </c>
      <c r="C568" s="4231">
        <v>1</v>
      </c>
      <c r="D568" s="4232" t="s">
        <v>42</v>
      </c>
      <c r="E568" s="4233"/>
      <c r="F568" s="4233">
        <f t="shared" si="24"/>
        <v>0</v>
      </c>
    </row>
    <row r="569" spans="1:6" s="4260" customFormat="1" ht="15">
      <c r="A569" s="4401"/>
      <c r="B569" s="4250"/>
      <c r="C569" s="4257"/>
      <c r="D569" s="4270"/>
      <c r="E569" s="4258"/>
      <c r="F569" s="4233" t="str">
        <f t="shared" si="24"/>
        <v xml:space="preserve"> </v>
      </c>
    </row>
    <row r="570" spans="1:6" s="4236" customFormat="1" ht="15">
      <c r="A570" s="4390">
        <v>14.6</v>
      </c>
      <c r="B570" s="4343" t="s">
        <v>3537</v>
      </c>
      <c r="C570" s="4231"/>
      <c r="D570" s="4249"/>
      <c r="E570" s="4233"/>
      <c r="F570" s="4233" t="str">
        <f t="shared" si="24"/>
        <v xml:space="preserve"> </v>
      </c>
    </row>
    <row r="571" spans="1:6" s="4236" customFormat="1" ht="14.25">
      <c r="A571" s="4388" t="s">
        <v>3880</v>
      </c>
      <c r="B571" s="4402" t="s">
        <v>3510</v>
      </c>
      <c r="C571" s="4231">
        <v>22.68</v>
      </c>
      <c r="D571" s="4249" t="s">
        <v>1</v>
      </c>
      <c r="E571" s="4233"/>
      <c r="F571" s="4233">
        <f t="shared" si="24"/>
        <v>0</v>
      </c>
    </row>
    <row r="572" spans="1:6" s="4259" customFormat="1" ht="15">
      <c r="A572" s="4401"/>
      <c r="B572" s="4250"/>
      <c r="C572" s="4231"/>
      <c r="D572" s="4249"/>
      <c r="E572" s="4233"/>
      <c r="F572" s="4233" t="str">
        <f t="shared" si="24"/>
        <v xml:space="preserve"> </v>
      </c>
    </row>
    <row r="573" spans="1:6" s="4234" customFormat="1" ht="25.5">
      <c r="A573" s="4393" t="s">
        <v>3881</v>
      </c>
      <c r="B573" s="4342" t="s">
        <v>3835</v>
      </c>
      <c r="C573" s="4231">
        <v>1</v>
      </c>
      <c r="D573" s="4249" t="s">
        <v>42</v>
      </c>
      <c r="E573" s="4233"/>
      <c r="F573" s="4233">
        <f t="shared" si="24"/>
        <v>0</v>
      </c>
    </row>
    <row r="574" spans="1:6" s="4234" customFormat="1" ht="15">
      <c r="A574" s="4393"/>
      <c r="B574" s="4398"/>
      <c r="C574" s="4231"/>
      <c r="D574" s="4249"/>
      <c r="E574" s="4233"/>
      <c r="F574" s="4233" t="str">
        <f t="shared" si="24"/>
        <v xml:space="preserve"> </v>
      </c>
    </row>
    <row r="575" spans="1:6" s="4234" customFormat="1" ht="15">
      <c r="A575" s="4393" t="s">
        <v>3882</v>
      </c>
      <c r="B575" s="4343" t="s">
        <v>3511</v>
      </c>
      <c r="C575" s="4231"/>
      <c r="D575" s="4249"/>
      <c r="E575" s="4233"/>
      <c r="F575" s="4233" t="str">
        <f t="shared" si="24"/>
        <v xml:space="preserve"> </v>
      </c>
    </row>
    <row r="576" spans="1:6" s="4234" customFormat="1" ht="14.25">
      <c r="A576" s="4388" t="s">
        <v>3883</v>
      </c>
      <c r="B576" s="4402" t="s">
        <v>3642</v>
      </c>
      <c r="C576" s="4231">
        <v>7.62</v>
      </c>
      <c r="D576" s="4249" t="s">
        <v>1</v>
      </c>
      <c r="E576" s="4223"/>
      <c r="F576" s="4233">
        <f t="shared" si="24"/>
        <v>0</v>
      </c>
    </row>
    <row r="577" spans="1:6" s="4234" customFormat="1" ht="14.25">
      <c r="A577" s="4388" t="s">
        <v>3884</v>
      </c>
      <c r="B577" s="4402" t="s">
        <v>3611</v>
      </c>
      <c r="C577" s="4231">
        <v>1.8</v>
      </c>
      <c r="D577" s="4249" t="s">
        <v>1</v>
      </c>
      <c r="E577" s="4223"/>
      <c r="F577" s="4233">
        <f t="shared" si="24"/>
        <v>0</v>
      </c>
    </row>
    <row r="578" spans="1:6" s="4234" customFormat="1" ht="14.25">
      <c r="A578" s="4388" t="s">
        <v>3885</v>
      </c>
      <c r="B578" s="4402" t="s">
        <v>3610</v>
      </c>
      <c r="C578" s="4231">
        <v>14.07</v>
      </c>
      <c r="D578" s="4249" t="s">
        <v>1</v>
      </c>
      <c r="E578" s="4223"/>
      <c r="F578" s="4233">
        <f t="shared" si="24"/>
        <v>0</v>
      </c>
    </row>
    <row r="579" spans="1:6" s="4234" customFormat="1" ht="15">
      <c r="A579" s="4393"/>
      <c r="B579" s="4398"/>
      <c r="C579" s="4231"/>
      <c r="D579" s="4249"/>
      <c r="E579" s="4223"/>
      <c r="F579" s="4233" t="str">
        <f t="shared" si="24"/>
        <v xml:space="preserve"> </v>
      </c>
    </row>
    <row r="580" spans="1:6" s="4234" customFormat="1" ht="15">
      <c r="A580" s="4393" t="s">
        <v>3886</v>
      </c>
      <c r="B580" s="4343" t="s">
        <v>3512</v>
      </c>
      <c r="C580" s="4231"/>
      <c r="D580" s="4249"/>
      <c r="E580" s="4223"/>
      <c r="F580" s="4233" t="str">
        <f t="shared" si="24"/>
        <v xml:space="preserve"> </v>
      </c>
    </row>
    <row r="581" spans="1:6" s="4234" customFormat="1" ht="14.25">
      <c r="A581" s="4388" t="s">
        <v>3887</v>
      </c>
      <c r="B581" s="4402" t="s">
        <v>3643</v>
      </c>
      <c r="C581" s="4231">
        <v>7.4</v>
      </c>
      <c r="D581" s="4249" t="s">
        <v>1</v>
      </c>
      <c r="E581" s="4223"/>
      <c r="F581" s="4233">
        <f t="shared" si="24"/>
        <v>0</v>
      </c>
    </row>
    <row r="582" spans="1:6" s="4234" customFormat="1" ht="14.25">
      <c r="A582" s="4388" t="s">
        <v>3888</v>
      </c>
      <c r="B582" s="4402" t="s">
        <v>3612</v>
      </c>
      <c r="C582" s="4231">
        <v>1.75</v>
      </c>
      <c r="D582" s="4249" t="s">
        <v>1</v>
      </c>
      <c r="E582" s="4223"/>
      <c r="F582" s="4233">
        <f t="shared" si="24"/>
        <v>0</v>
      </c>
    </row>
    <row r="583" spans="1:6" s="4234" customFormat="1" ht="14.25">
      <c r="A583" s="4388" t="s">
        <v>3889</v>
      </c>
      <c r="B583" s="4402" t="s">
        <v>3613</v>
      </c>
      <c r="C583" s="4231">
        <v>13.53</v>
      </c>
      <c r="D583" s="4249" t="s">
        <v>1</v>
      </c>
      <c r="E583" s="4223"/>
      <c r="F583" s="4233">
        <f t="shared" si="24"/>
        <v>0</v>
      </c>
    </row>
    <row r="584" spans="1:6" s="4234" customFormat="1" ht="15">
      <c r="A584" s="4393"/>
      <c r="B584" s="4398"/>
      <c r="C584" s="4231"/>
      <c r="D584" s="4249"/>
      <c r="E584" s="4223"/>
      <c r="F584" s="4233" t="str">
        <f t="shared" si="24"/>
        <v xml:space="preserve"> </v>
      </c>
    </row>
    <row r="585" spans="1:6" s="4234" customFormat="1" ht="15">
      <c r="A585" s="4393" t="s">
        <v>3890</v>
      </c>
      <c r="B585" s="4343" t="s">
        <v>3534</v>
      </c>
      <c r="C585" s="4231"/>
      <c r="D585" s="4249"/>
      <c r="E585" s="4223"/>
      <c r="F585" s="4233" t="str">
        <f t="shared" si="24"/>
        <v xml:space="preserve"> </v>
      </c>
    </row>
    <row r="586" spans="1:6" s="4234" customFormat="1" ht="14.25">
      <c r="A586" s="4388" t="s">
        <v>3891</v>
      </c>
      <c r="B586" s="4402" t="s">
        <v>3893</v>
      </c>
      <c r="C586" s="4231">
        <v>1</v>
      </c>
      <c r="D586" s="4232" t="s">
        <v>2433</v>
      </c>
      <c r="E586" s="4397"/>
      <c r="F586" s="4233">
        <f t="shared" si="24"/>
        <v>0</v>
      </c>
    </row>
    <row r="587" spans="1:6" s="4234" customFormat="1" ht="14.25">
      <c r="A587" s="4388" t="s">
        <v>3892</v>
      </c>
      <c r="B587" s="4402" t="s">
        <v>3894</v>
      </c>
      <c r="C587" s="4231">
        <v>2</v>
      </c>
      <c r="D587" s="4232" t="s">
        <v>2433</v>
      </c>
      <c r="E587" s="4397"/>
      <c r="F587" s="4233">
        <f t="shared" si="24"/>
        <v>0</v>
      </c>
    </row>
    <row r="588" spans="1:6" s="4234" customFormat="1" ht="14.25">
      <c r="A588" s="4388" t="s">
        <v>3898</v>
      </c>
      <c r="B588" s="4402" t="s">
        <v>3895</v>
      </c>
      <c r="C588" s="4231">
        <v>1</v>
      </c>
      <c r="D588" s="4232" t="s">
        <v>2433</v>
      </c>
      <c r="E588" s="4397"/>
      <c r="F588" s="4233">
        <f t="shared" si="24"/>
        <v>0</v>
      </c>
    </row>
    <row r="589" spans="1:6" s="4234" customFormat="1" ht="14.25">
      <c r="A589" s="4388" t="s">
        <v>3899</v>
      </c>
      <c r="B589" s="4402" t="s">
        <v>3896</v>
      </c>
      <c r="C589" s="4231">
        <v>2</v>
      </c>
      <c r="D589" s="4232" t="s">
        <v>2433</v>
      </c>
      <c r="E589" s="4397"/>
      <c r="F589" s="4233">
        <f t="shared" si="24"/>
        <v>0</v>
      </c>
    </row>
    <row r="590" spans="1:6" s="4234" customFormat="1" ht="14.25">
      <c r="A590" s="4388" t="s">
        <v>3900</v>
      </c>
      <c r="B590" s="4402" t="s">
        <v>3897</v>
      </c>
      <c r="C590" s="4231">
        <v>1</v>
      </c>
      <c r="D590" s="4232" t="s">
        <v>42</v>
      </c>
      <c r="E590" s="4397"/>
      <c r="F590" s="4233">
        <f t="shared" si="24"/>
        <v>0</v>
      </c>
    </row>
    <row r="591" spans="1:6" s="4234" customFormat="1" ht="14.25">
      <c r="A591" s="4388"/>
      <c r="B591" s="4402"/>
      <c r="C591" s="4231"/>
      <c r="D591" s="4232"/>
      <c r="E591" s="4397"/>
      <c r="F591" s="4233"/>
    </row>
    <row r="592" spans="1:6" s="4234" customFormat="1" ht="15">
      <c r="A592" s="4393">
        <v>14.7</v>
      </c>
      <c r="B592" s="4212" t="s">
        <v>3760</v>
      </c>
      <c r="C592" s="4231">
        <v>3</v>
      </c>
      <c r="D592" s="4232" t="s">
        <v>2433</v>
      </c>
      <c r="E592" s="4403"/>
      <c r="F592" s="4233">
        <f t="shared" si="24"/>
        <v>0</v>
      </c>
    </row>
    <row r="593" spans="1:6" s="4240" customFormat="1" ht="15">
      <c r="A593" s="4393"/>
      <c r="B593" s="3435"/>
      <c r="C593" s="3538"/>
      <c r="D593" s="4263"/>
      <c r="E593" s="4264"/>
      <c r="F593" s="4264"/>
    </row>
    <row r="594" spans="1:6" s="4222" customFormat="1" ht="15">
      <c r="A594" s="4404">
        <v>15</v>
      </c>
      <c r="B594" s="4343" t="s">
        <v>3120</v>
      </c>
      <c r="C594" s="4221"/>
      <c r="D594" s="4217"/>
      <c r="E594" s="4216"/>
      <c r="F594" s="4216" t="str">
        <f t="shared" ref="F594:F623" si="25">IF(C594&gt;0,(ROUND((E594*C594),2))," ")</f>
        <v xml:space="preserve"> </v>
      </c>
    </row>
    <row r="595" spans="1:6" ht="14.25" customHeight="1">
      <c r="A595" s="4392">
        <v>15.1</v>
      </c>
      <c r="B595" s="4230" t="s">
        <v>4028</v>
      </c>
      <c r="C595" s="4231">
        <v>12.24</v>
      </c>
      <c r="D595" s="4249" t="s">
        <v>2432</v>
      </c>
      <c r="E595" s="4233"/>
      <c r="F595" s="4233">
        <f>IF(C595&gt;0,(ROUND((E595*C595),2))," ")</f>
        <v>0</v>
      </c>
    </row>
    <row r="596" spans="1:6" ht="14.25" customHeight="1">
      <c r="A596" s="4388"/>
      <c r="B596" s="4230"/>
      <c r="C596" s="4231"/>
      <c r="D596" s="4249"/>
      <c r="E596" s="4233"/>
      <c r="F596" s="4233" t="str">
        <f t="shared" si="25"/>
        <v xml:space="preserve"> </v>
      </c>
    </row>
    <row r="597" spans="1:6" ht="15" customHeight="1">
      <c r="A597" s="4390">
        <v>15.2</v>
      </c>
      <c r="B597" s="4343" t="s">
        <v>38</v>
      </c>
      <c r="C597" s="4231"/>
      <c r="D597" s="4232"/>
      <c r="E597" s="4233"/>
      <c r="F597" s="4233" t="str">
        <f t="shared" si="25"/>
        <v xml:space="preserve"> </v>
      </c>
    </row>
    <row r="598" spans="1:6" ht="14.25" customHeight="1">
      <c r="A598" s="4388" t="s">
        <v>725</v>
      </c>
      <c r="B598" s="4248" t="s">
        <v>2403</v>
      </c>
      <c r="C598" s="4231">
        <v>27.3</v>
      </c>
      <c r="D598" s="4249" t="s">
        <v>2430</v>
      </c>
      <c r="E598" s="4233"/>
      <c r="F598" s="4233">
        <f t="shared" si="25"/>
        <v>0</v>
      </c>
    </row>
    <row r="599" spans="1:6" ht="14.25" customHeight="1">
      <c r="A599" s="4388" t="s">
        <v>726</v>
      </c>
      <c r="B599" s="4248" t="s">
        <v>2399</v>
      </c>
      <c r="C599" s="4231">
        <v>7.95</v>
      </c>
      <c r="D599" s="4249" t="s">
        <v>2431</v>
      </c>
      <c r="E599" s="4233"/>
      <c r="F599" s="4233">
        <f t="shared" si="25"/>
        <v>0</v>
      </c>
    </row>
    <row r="600" spans="1:6" ht="31.5" customHeight="1">
      <c r="A600" s="4388" t="s">
        <v>727</v>
      </c>
      <c r="B600" s="4248" t="s">
        <v>3833</v>
      </c>
      <c r="C600" s="4231">
        <v>19.34</v>
      </c>
      <c r="D600" s="4232" t="s">
        <v>2525</v>
      </c>
      <c r="E600" s="4233"/>
      <c r="F600" s="4233">
        <f t="shared" si="25"/>
        <v>0</v>
      </c>
    </row>
    <row r="601" spans="1:6" ht="13.5" customHeight="1">
      <c r="A601" s="4388"/>
      <c r="B601" s="4248"/>
      <c r="C601" s="4231"/>
      <c r="D601" s="4232"/>
      <c r="E601" s="4233"/>
      <c r="F601" s="4233" t="str">
        <f t="shared" si="25"/>
        <v xml:space="preserve"> </v>
      </c>
    </row>
    <row r="602" spans="1:6" ht="15" customHeight="1">
      <c r="A602" s="4390">
        <v>15.3</v>
      </c>
      <c r="B602" s="4343" t="s">
        <v>880</v>
      </c>
      <c r="C602" s="4231"/>
      <c r="D602" s="4232"/>
      <c r="E602" s="4233"/>
      <c r="F602" s="4233" t="str">
        <f t="shared" si="25"/>
        <v xml:space="preserve"> </v>
      </c>
    </row>
    <row r="603" spans="1:6" ht="14.25" customHeight="1">
      <c r="A603" s="4388" t="s">
        <v>3841</v>
      </c>
      <c r="B603" s="4212" t="s">
        <v>3753</v>
      </c>
      <c r="C603" s="4231">
        <v>1.1499999999999999</v>
      </c>
      <c r="D603" s="4249" t="s">
        <v>2430</v>
      </c>
      <c r="E603" s="4233"/>
      <c r="F603" s="4233">
        <f t="shared" si="25"/>
        <v>0</v>
      </c>
    </row>
    <row r="604" spans="1:6" ht="14.25" customHeight="1">
      <c r="A604" s="4388" t="s">
        <v>3901</v>
      </c>
      <c r="B604" s="4353" t="s">
        <v>3754</v>
      </c>
      <c r="C604" s="4231">
        <v>0.51</v>
      </c>
      <c r="D604" s="4249" t="s">
        <v>2430</v>
      </c>
      <c r="E604" s="4233"/>
      <c r="F604" s="4233">
        <f t="shared" si="25"/>
        <v>0</v>
      </c>
    </row>
    <row r="605" spans="1:6" ht="14.25" customHeight="1">
      <c r="A605" s="4388" t="s">
        <v>3902</v>
      </c>
      <c r="B605" s="4212" t="s">
        <v>3755</v>
      </c>
      <c r="C605" s="4231">
        <v>0.41</v>
      </c>
      <c r="D605" s="4249" t="s">
        <v>2430</v>
      </c>
      <c r="E605" s="4233"/>
      <c r="F605" s="4233">
        <f t="shared" si="25"/>
        <v>0</v>
      </c>
    </row>
    <row r="606" spans="1:6" ht="14.25" customHeight="1">
      <c r="A606" s="4388"/>
      <c r="B606" s="4248"/>
      <c r="C606" s="4231"/>
      <c r="D606" s="4232"/>
      <c r="E606" s="4233"/>
      <c r="F606" s="4233" t="str">
        <f t="shared" si="25"/>
        <v xml:space="preserve"> </v>
      </c>
    </row>
    <row r="607" spans="1:6" ht="15" customHeight="1">
      <c r="A607" s="4390">
        <v>15.4</v>
      </c>
      <c r="B607" s="4343" t="s">
        <v>3121</v>
      </c>
      <c r="C607" s="4231"/>
      <c r="D607" s="4232"/>
      <c r="E607" s="4233"/>
      <c r="F607" s="4233" t="str">
        <f t="shared" si="25"/>
        <v xml:space="preserve"> </v>
      </c>
    </row>
    <row r="608" spans="1:6" ht="14.25" customHeight="1">
      <c r="A608" s="4388" t="s">
        <v>3903</v>
      </c>
      <c r="B608" s="4248" t="s">
        <v>3124</v>
      </c>
      <c r="C608" s="4231">
        <v>43.75</v>
      </c>
      <c r="D608" s="4249" t="s">
        <v>2432</v>
      </c>
      <c r="E608" s="4233"/>
      <c r="F608" s="4233">
        <f>IF(C608&gt;0,(ROUND((E608*C608),2))," ")</f>
        <v>0</v>
      </c>
    </row>
    <row r="609" spans="1:8" ht="14.25" customHeight="1">
      <c r="A609" s="4454"/>
      <c r="B609" s="4479"/>
      <c r="C609" s="4464"/>
      <c r="D609" s="4452"/>
      <c r="E609" s="4466"/>
      <c r="F609" s="4466" t="str">
        <f t="shared" si="25"/>
        <v xml:space="preserve"> </v>
      </c>
    </row>
    <row r="610" spans="1:8" ht="15" customHeight="1">
      <c r="A610" s="4390">
        <v>15.5</v>
      </c>
      <c r="B610" s="4343" t="s">
        <v>3706</v>
      </c>
      <c r="C610" s="4231"/>
      <c r="D610" s="4232"/>
      <c r="E610" s="4233"/>
      <c r="F610" s="4233" t="str">
        <f t="shared" si="25"/>
        <v xml:space="preserve"> </v>
      </c>
    </row>
    <row r="611" spans="1:8" s="4222" customFormat="1" ht="14.25" customHeight="1">
      <c r="A611" s="4388" t="s">
        <v>3842</v>
      </c>
      <c r="B611" s="3563" t="s">
        <v>3122</v>
      </c>
      <c r="C611" s="4221">
        <v>18.899999999999999</v>
      </c>
      <c r="D611" s="4311" t="s">
        <v>2432</v>
      </c>
      <c r="E611" s="4216"/>
      <c r="F611" s="4216">
        <f t="shared" si="25"/>
        <v>0</v>
      </c>
    </row>
    <row r="612" spans="1:8" s="4222" customFormat="1" ht="14.25" customHeight="1">
      <c r="A612" s="4388" t="s">
        <v>3843</v>
      </c>
      <c r="B612" s="3563" t="s">
        <v>2435</v>
      </c>
      <c r="C612" s="4221">
        <v>3.3</v>
      </c>
      <c r="D612" s="4311" t="s">
        <v>2432</v>
      </c>
      <c r="E612" s="4216"/>
      <c r="F612" s="4216">
        <f t="shared" si="25"/>
        <v>0</v>
      </c>
    </row>
    <row r="613" spans="1:8" s="4222" customFormat="1" ht="14.25" customHeight="1">
      <c r="A613" s="4388" t="s">
        <v>3844</v>
      </c>
      <c r="B613" s="3563" t="s">
        <v>3644</v>
      </c>
      <c r="C613" s="4221">
        <v>8.8000000000000007</v>
      </c>
      <c r="D613" s="4311" t="s">
        <v>1</v>
      </c>
      <c r="E613" s="4216"/>
      <c r="F613" s="4216">
        <f t="shared" si="25"/>
        <v>0</v>
      </c>
    </row>
    <row r="614" spans="1:8" s="4356" customFormat="1" ht="13.5" customHeight="1">
      <c r="A614" s="4388" t="s">
        <v>3845</v>
      </c>
      <c r="B614" s="4212" t="s">
        <v>1548</v>
      </c>
      <c r="C614" s="4191">
        <v>19.88</v>
      </c>
      <c r="D614" s="4194" t="s">
        <v>1</v>
      </c>
      <c r="E614" s="4210"/>
      <c r="F614" s="4210">
        <f t="shared" ref="F614:F615" si="26">ROUND(C614*E614,2)</f>
        <v>0</v>
      </c>
      <c r="G614" s="4355"/>
      <c r="H614" s="4355"/>
    </row>
    <row r="615" spans="1:8" s="4356" customFormat="1" ht="13.5" customHeight="1">
      <c r="A615" s="4388" t="s">
        <v>3846</v>
      </c>
      <c r="B615" s="4212" t="s">
        <v>3756</v>
      </c>
      <c r="C615" s="4191">
        <v>4.2699999999999996</v>
      </c>
      <c r="D615" s="4194" t="s">
        <v>3741</v>
      </c>
      <c r="E615" s="4210"/>
      <c r="F615" s="4210">
        <f t="shared" si="26"/>
        <v>0</v>
      </c>
      <c r="G615" s="4355"/>
      <c r="H615" s="4355"/>
    </row>
    <row r="616" spans="1:8" ht="14.25" customHeight="1">
      <c r="A616" s="4388"/>
      <c r="B616" s="4230"/>
      <c r="C616" s="4231"/>
      <c r="D616" s="4249"/>
      <c r="E616" s="4233"/>
      <c r="F616" s="4233" t="str">
        <f t="shared" si="25"/>
        <v xml:space="preserve"> </v>
      </c>
    </row>
    <row r="617" spans="1:8" s="4356" customFormat="1">
      <c r="A617" s="4334">
        <v>15.6</v>
      </c>
      <c r="B617" s="4207" t="s">
        <v>3757</v>
      </c>
      <c r="C617" s="4191"/>
      <c r="D617" s="4194"/>
      <c r="E617" s="4210"/>
      <c r="F617" s="4226"/>
      <c r="G617" s="4355"/>
      <c r="H617" s="4355"/>
    </row>
    <row r="618" spans="1:8" s="4356" customFormat="1">
      <c r="A618" s="4354" t="s">
        <v>3847</v>
      </c>
      <c r="B618" s="4272" t="s">
        <v>3758</v>
      </c>
      <c r="C618" s="4191">
        <v>0.36</v>
      </c>
      <c r="D618" s="4194" t="s">
        <v>3747</v>
      </c>
      <c r="E618" s="4210"/>
      <c r="F618" s="4210">
        <f>+C618*E618</f>
        <v>0</v>
      </c>
      <c r="G618" s="4355"/>
      <c r="H618" s="4355"/>
    </row>
    <row r="619" spans="1:8" s="4356" customFormat="1">
      <c r="A619" s="4354" t="s">
        <v>3848</v>
      </c>
      <c r="B619" s="4272" t="s">
        <v>3759</v>
      </c>
      <c r="C619" s="4191">
        <v>0.27</v>
      </c>
      <c r="D619" s="4194" t="s">
        <v>3747</v>
      </c>
      <c r="E619" s="4210"/>
      <c r="F619" s="4210">
        <f>+C619*E619</f>
        <v>0</v>
      </c>
      <c r="G619" s="4355"/>
      <c r="H619" s="4355"/>
    </row>
    <row r="620" spans="1:8" s="4356" customFormat="1">
      <c r="A620" s="4354"/>
      <c r="B620" s="4272"/>
      <c r="C620" s="4191"/>
      <c r="D620" s="4194"/>
      <c r="E620" s="4210"/>
      <c r="F620" s="4210"/>
      <c r="G620" s="4355"/>
      <c r="H620" s="4355"/>
    </row>
    <row r="621" spans="1:8" ht="14.25" customHeight="1">
      <c r="A621" s="4390">
        <v>15.7</v>
      </c>
      <c r="B621" s="4248" t="s">
        <v>3944</v>
      </c>
      <c r="C621" s="4231">
        <v>3</v>
      </c>
      <c r="D621" s="4232" t="s">
        <v>2433</v>
      </c>
      <c r="E621" s="4233"/>
      <c r="F621" s="4233">
        <f>IF(C621&gt;0,(ROUND((E621*C621),2))," ")</f>
        <v>0</v>
      </c>
    </row>
    <row r="622" spans="1:8" ht="14.25" customHeight="1">
      <c r="A622" s="4390"/>
      <c r="B622" s="4248"/>
      <c r="C622" s="4231"/>
      <c r="D622" s="4232"/>
      <c r="E622" s="4233"/>
      <c r="F622" s="4233"/>
    </row>
    <row r="623" spans="1:8" s="4266" customFormat="1" ht="14.25" customHeight="1">
      <c r="A623" s="4395">
        <v>15.8</v>
      </c>
      <c r="B623" s="4212" t="s">
        <v>3761</v>
      </c>
      <c r="C623" s="4221">
        <v>1</v>
      </c>
      <c r="D623" s="4217" t="s">
        <v>2433</v>
      </c>
      <c r="E623" s="4210"/>
      <c r="F623" s="4216">
        <f t="shared" si="25"/>
        <v>0</v>
      </c>
    </row>
    <row r="624" spans="1:8" s="4266" customFormat="1" ht="12.75" customHeight="1">
      <c r="A624" s="4305"/>
      <c r="B624" s="4304" t="s">
        <v>2122</v>
      </c>
      <c r="C624" s="4305"/>
      <c r="D624" s="4305"/>
      <c r="E624" s="4305"/>
      <c r="F624" s="4307">
        <f>SUM(F494:F623)</f>
        <v>0</v>
      </c>
    </row>
    <row r="625" spans="1:6" ht="14.25" customHeight="1">
      <c r="A625" s="4388"/>
      <c r="B625" s="4230"/>
      <c r="C625" s="4231"/>
      <c r="D625" s="4232"/>
      <c r="E625" s="4233"/>
      <c r="F625" s="4233" t="str">
        <f t="shared" ref="F625:F693" si="27">IF(C625&gt;0,(ROUND((E625*C625),2))," ")</f>
        <v xml:space="preserve"> </v>
      </c>
    </row>
    <row r="626" spans="1:6" s="4222" customFormat="1" ht="15">
      <c r="A626" s="4396" t="s">
        <v>2120</v>
      </c>
      <c r="B626" s="3435" t="s">
        <v>3473</v>
      </c>
      <c r="C626" s="4221"/>
      <c r="D626" s="4311"/>
      <c r="E626" s="4216"/>
      <c r="F626" s="4216" t="str">
        <f t="shared" si="27"/>
        <v xml:space="preserve"> </v>
      </c>
    </row>
    <row r="627" spans="1:6" ht="14.25" customHeight="1">
      <c r="A627" s="4388"/>
      <c r="B627" s="3434"/>
      <c r="C627" s="4231"/>
      <c r="D627" s="4249"/>
      <c r="E627" s="4233"/>
      <c r="F627" s="4233" t="str">
        <f t="shared" si="27"/>
        <v xml:space="preserve"> </v>
      </c>
    </row>
    <row r="628" spans="1:6" ht="14.25" customHeight="1">
      <c r="A628" s="4182">
        <v>1</v>
      </c>
      <c r="B628" s="4343" t="s">
        <v>2165</v>
      </c>
      <c r="C628" s="4173"/>
      <c r="D628" s="4269"/>
      <c r="E628" s="4233"/>
      <c r="F628" s="4233" t="str">
        <f t="shared" si="27"/>
        <v xml:space="preserve"> </v>
      </c>
    </row>
    <row r="629" spans="1:6" ht="14.25" customHeight="1">
      <c r="A629" s="4179">
        <v>1.1000000000000001</v>
      </c>
      <c r="B629" s="3540" t="s">
        <v>4029</v>
      </c>
      <c r="C629" s="4172">
        <v>22.36</v>
      </c>
      <c r="D629" s="4249" t="s">
        <v>2432</v>
      </c>
      <c r="E629" s="4233"/>
      <c r="F629" s="4233">
        <f t="shared" si="27"/>
        <v>0</v>
      </c>
    </row>
    <row r="630" spans="1:6" ht="14.25" customHeight="1">
      <c r="A630" s="4180"/>
      <c r="B630" s="4181"/>
      <c r="C630" s="4173"/>
      <c r="D630" s="4269"/>
      <c r="E630" s="4233"/>
      <c r="F630" s="4233" t="str">
        <f t="shared" si="27"/>
        <v xml:space="preserve"> </v>
      </c>
    </row>
    <row r="631" spans="1:6" ht="14.25" customHeight="1">
      <c r="A631" s="4182">
        <v>2</v>
      </c>
      <c r="B631" s="4183" t="s">
        <v>38</v>
      </c>
      <c r="C631" s="4173"/>
      <c r="D631" s="4269"/>
      <c r="E631" s="4233"/>
      <c r="F631" s="4233" t="str">
        <f t="shared" si="27"/>
        <v xml:space="preserve"> </v>
      </c>
    </row>
    <row r="632" spans="1:6" ht="14.25" customHeight="1">
      <c r="A632" s="4180">
        <v>2.1</v>
      </c>
      <c r="B632" s="3540" t="s">
        <v>3447</v>
      </c>
      <c r="C632" s="4173">
        <v>11.48</v>
      </c>
      <c r="D632" s="4269" t="s">
        <v>2430</v>
      </c>
      <c r="E632" s="4233"/>
      <c r="F632" s="4233">
        <f t="shared" si="27"/>
        <v>0</v>
      </c>
    </row>
    <row r="633" spans="1:6" ht="14.25" customHeight="1">
      <c r="A633" s="4180">
        <v>2.2000000000000002</v>
      </c>
      <c r="B633" s="4230" t="s">
        <v>2981</v>
      </c>
      <c r="C633" s="4173">
        <v>6.02</v>
      </c>
      <c r="D633" s="4269" t="s">
        <v>2430</v>
      </c>
      <c r="E633" s="4233"/>
      <c r="F633" s="4233">
        <f t="shared" si="27"/>
        <v>0</v>
      </c>
    </row>
    <row r="634" spans="1:6" ht="14.25" customHeight="1">
      <c r="A634" s="4180">
        <v>2.2999999999999998</v>
      </c>
      <c r="B634" s="4206" t="s">
        <v>3766</v>
      </c>
      <c r="C634" s="4173">
        <v>7.09</v>
      </c>
      <c r="D634" s="4269" t="s">
        <v>2430</v>
      </c>
      <c r="E634" s="4233"/>
      <c r="F634" s="4233">
        <f t="shared" si="27"/>
        <v>0</v>
      </c>
    </row>
    <row r="635" spans="1:6" ht="14.25" customHeight="1">
      <c r="A635" s="4180"/>
      <c r="B635" s="4181"/>
      <c r="C635" s="4174"/>
      <c r="D635" s="4284"/>
      <c r="E635" s="4233"/>
      <c r="F635" s="4233" t="str">
        <f t="shared" si="27"/>
        <v xml:space="preserve"> </v>
      </c>
    </row>
    <row r="636" spans="1:6" ht="14.25" customHeight="1">
      <c r="A636" s="4182">
        <v>3</v>
      </c>
      <c r="B636" s="4183" t="s">
        <v>3712</v>
      </c>
      <c r="C636" s="4173"/>
      <c r="D636" s="4285"/>
      <c r="E636" s="4233"/>
      <c r="F636" s="4233" t="str">
        <f t="shared" si="27"/>
        <v xml:space="preserve"> </v>
      </c>
    </row>
    <row r="637" spans="1:6" ht="16.5" customHeight="1">
      <c r="A637" s="4180">
        <v>3.1</v>
      </c>
      <c r="B637" s="3540" t="s">
        <v>3448</v>
      </c>
      <c r="C637" s="4175">
        <v>1.94</v>
      </c>
      <c r="D637" s="4269" t="s">
        <v>2430</v>
      </c>
      <c r="E637" s="4233"/>
      <c r="F637" s="4233">
        <f t="shared" si="27"/>
        <v>0</v>
      </c>
    </row>
    <row r="638" spans="1:6" ht="16.5" customHeight="1">
      <c r="A638" s="4180">
        <v>3.2</v>
      </c>
      <c r="B638" s="3540" t="s">
        <v>3449</v>
      </c>
      <c r="C638" s="4175">
        <v>1.73</v>
      </c>
      <c r="D638" s="4269" t="s">
        <v>2430</v>
      </c>
      <c r="E638" s="4233"/>
      <c r="F638" s="4233">
        <f t="shared" si="27"/>
        <v>0</v>
      </c>
    </row>
    <row r="639" spans="1:6" ht="16.5" customHeight="1">
      <c r="A639" s="4180">
        <v>3.3</v>
      </c>
      <c r="B639" s="3540" t="s">
        <v>3450</v>
      </c>
      <c r="C639" s="4175">
        <v>0.66</v>
      </c>
      <c r="D639" s="4269" t="s">
        <v>2430</v>
      </c>
      <c r="E639" s="4233"/>
      <c r="F639" s="4233">
        <f t="shared" si="27"/>
        <v>0</v>
      </c>
    </row>
    <row r="640" spans="1:6" ht="16.5" customHeight="1">
      <c r="A640" s="4180">
        <v>3.4</v>
      </c>
      <c r="B640" s="3540" t="s">
        <v>3451</v>
      </c>
      <c r="C640" s="4175">
        <v>1.35</v>
      </c>
      <c r="D640" s="4442" t="s">
        <v>2430</v>
      </c>
      <c r="E640" s="4233"/>
      <c r="F640" s="4443">
        <f t="shared" si="27"/>
        <v>0</v>
      </c>
    </row>
    <row r="641" spans="1:6" ht="16.5" customHeight="1">
      <c r="A641" s="4180">
        <v>3.5</v>
      </c>
      <c r="B641" s="3540" t="s">
        <v>3452</v>
      </c>
      <c r="C641" s="4175">
        <v>1.59</v>
      </c>
      <c r="D641" s="4269" t="s">
        <v>2430</v>
      </c>
      <c r="E641" s="4233"/>
      <c r="F641" s="4233">
        <f t="shared" si="27"/>
        <v>0</v>
      </c>
    </row>
    <row r="642" spans="1:6" s="4222" customFormat="1" ht="16.5" customHeight="1">
      <c r="A642" s="4357">
        <v>3.6</v>
      </c>
      <c r="B642" s="4212" t="s">
        <v>3453</v>
      </c>
      <c r="C642" s="4328">
        <v>4.22</v>
      </c>
      <c r="D642" s="4326" t="s">
        <v>2430</v>
      </c>
      <c r="E642" s="4233"/>
      <c r="F642" s="4216">
        <f t="shared" si="27"/>
        <v>0</v>
      </c>
    </row>
    <row r="643" spans="1:6" ht="14.25" customHeight="1">
      <c r="A643" s="4180">
        <v>3.7</v>
      </c>
      <c r="B643" s="3540" t="s">
        <v>3454</v>
      </c>
      <c r="C643" s="4175">
        <v>4</v>
      </c>
      <c r="D643" s="4232" t="s">
        <v>2433</v>
      </c>
      <c r="E643" s="4233"/>
      <c r="F643" s="4233">
        <f t="shared" si="27"/>
        <v>0</v>
      </c>
    </row>
    <row r="644" spans="1:6" ht="14.25" customHeight="1">
      <c r="A644" s="4357">
        <v>3.8</v>
      </c>
      <c r="B644" s="4184" t="s">
        <v>3556</v>
      </c>
      <c r="C644" s="4175">
        <v>18.07</v>
      </c>
      <c r="D644" s="4249" t="s">
        <v>2432</v>
      </c>
      <c r="E644" s="4233"/>
      <c r="F644" s="4233">
        <f t="shared" si="27"/>
        <v>0</v>
      </c>
    </row>
    <row r="645" spans="1:6" ht="14.25" customHeight="1">
      <c r="A645" s="4179"/>
      <c r="B645" s="4183"/>
      <c r="C645" s="4176"/>
      <c r="D645" s="4285"/>
      <c r="E645" s="4233"/>
      <c r="F645" s="4233" t="str">
        <f t="shared" si="27"/>
        <v xml:space="preserve"> </v>
      </c>
    </row>
    <row r="646" spans="1:6" ht="14.25" customHeight="1">
      <c r="A646" s="4185">
        <v>4</v>
      </c>
      <c r="B646" s="4183" t="s">
        <v>3455</v>
      </c>
      <c r="C646" s="4176"/>
      <c r="D646" s="4285"/>
      <c r="E646" s="4233"/>
      <c r="F646" s="4233" t="str">
        <f t="shared" si="27"/>
        <v xml:space="preserve"> </v>
      </c>
    </row>
    <row r="647" spans="1:6" s="4222" customFormat="1" ht="14.25" customHeight="1">
      <c r="A647" s="4167">
        <v>4.0999999999999996</v>
      </c>
      <c r="B647" s="4331" t="s">
        <v>3646</v>
      </c>
      <c r="C647" s="4332">
        <v>6.6</v>
      </c>
      <c r="D647" s="4311" t="s">
        <v>2432</v>
      </c>
      <c r="E647" s="4233"/>
      <c r="F647" s="4216">
        <f t="shared" si="27"/>
        <v>0</v>
      </c>
    </row>
    <row r="648" spans="1:6" s="4222" customFormat="1" ht="14.25" customHeight="1">
      <c r="A648" s="4167">
        <v>4.2</v>
      </c>
      <c r="B648" s="4331" t="s">
        <v>3645</v>
      </c>
      <c r="C648" s="4332">
        <v>44.55</v>
      </c>
      <c r="D648" s="4311" t="s">
        <v>2432</v>
      </c>
      <c r="E648" s="4233"/>
      <c r="F648" s="4216">
        <f t="shared" si="27"/>
        <v>0</v>
      </c>
    </row>
    <row r="649" spans="1:6" ht="14.25" customHeight="1">
      <c r="A649" s="4179"/>
      <c r="B649" s="4183"/>
      <c r="C649" s="4176"/>
      <c r="D649" s="4285"/>
      <c r="E649" s="4233"/>
      <c r="F649" s="4233" t="str">
        <f t="shared" si="27"/>
        <v xml:space="preserve"> </v>
      </c>
    </row>
    <row r="650" spans="1:6" ht="14.25" customHeight="1">
      <c r="A650" s="4182">
        <v>5</v>
      </c>
      <c r="B650" s="4183" t="s">
        <v>859</v>
      </c>
      <c r="C650" s="4177"/>
      <c r="D650" s="4285"/>
      <c r="E650" s="4233"/>
      <c r="F650" s="4233" t="str">
        <f t="shared" si="27"/>
        <v xml:space="preserve"> </v>
      </c>
    </row>
    <row r="651" spans="1:6" ht="14.25" customHeight="1">
      <c r="A651" s="4180">
        <v>5.0999999999999996</v>
      </c>
      <c r="B651" s="4184" t="s">
        <v>2567</v>
      </c>
      <c r="C651" s="4175">
        <v>26.08</v>
      </c>
      <c r="D651" s="4249" t="s">
        <v>2432</v>
      </c>
      <c r="E651" s="4233"/>
      <c r="F651" s="4233">
        <f t="shared" si="27"/>
        <v>0</v>
      </c>
    </row>
    <row r="652" spans="1:6" ht="14.25" customHeight="1">
      <c r="A652" s="4180">
        <v>5.2</v>
      </c>
      <c r="B652" s="4184" t="s">
        <v>2395</v>
      </c>
      <c r="C652" s="4175">
        <v>56.3</v>
      </c>
      <c r="D652" s="4249" t="s">
        <v>2432</v>
      </c>
      <c r="E652" s="4233"/>
      <c r="F652" s="4233">
        <f t="shared" si="27"/>
        <v>0</v>
      </c>
    </row>
    <row r="653" spans="1:6" ht="14.25" customHeight="1">
      <c r="A653" s="4180">
        <v>5.3</v>
      </c>
      <c r="B653" s="4184" t="s">
        <v>2396</v>
      </c>
      <c r="C653" s="4175">
        <v>44.1</v>
      </c>
      <c r="D653" s="4249" t="s">
        <v>2432</v>
      </c>
      <c r="E653" s="4233"/>
      <c r="F653" s="4233">
        <f t="shared" si="27"/>
        <v>0</v>
      </c>
    </row>
    <row r="654" spans="1:6" ht="14.25" customHeight="1">
      <c r="A654" s="4180">
        <v>5.4</v>
      </c>
      <c r="B654" s="4184" t="s">
        <v>3456</v>
      </c>
      <c r="C654" s="4175">
        <v>27.12</v>
      </c>
      <c r="D654" s="4249" t="s">
        <v>2432</v>
      </c>
      <c r="E654" s="4233"/>
      <c r="F654" s="4233">
        <f t="shared" si="27"/>
        <v>0</v>
      </c>
    </row>
    <row r="655" spans="1:6" ht="14.25" customHeight="1">
      <c r="A655" s="4180">
        <v>5.5</v>
      </c>
      <c r="B655" s="4184" t="s">
        <v>3457</v>
      </c>
      <c r="C655" s="4175">
        <v>25.11</v>
      </c>
      <c r="D655" s="4249" t="s">
        <v>2432</v>
      </c>
      <c r="E655" s="4233"/>
      <c r="F655" s="4233">
        <f t="shared" si="27"/>
        <v>0</v>
      </c>
    </row>
    <row r="656" spans="1:6" ht="14.25" customHeight="1">
      <c r="A656" s="4180">
        <v>5.6</v>
      </c>
      <c r="B656" s="4184" t="s">
        <v>2362</v>
      </c>
      <c r="C656" s="4178">
        <v>20.9</v>
      </c>
      <c r="D656" s="4269" t="s">
        <v>1</v>
      </c>
      <c r="E656" s="4233"/>
      <c r="F656" s="4233">
        <f t="shared" si="27"/>
        <v>0</v>
      </c>
    </row>
    <row r="657" spans="1:6" ht="14.25" customHeight="1">
      <c r="A657" s="4180">
        <v>5.7</v>
      </c>
      <c r="B657" s="4184" t="s">
        <v>3458</v>
      </c>
      <c r="C657" s="4175">
        <v>62.6</v>
      </c>
      <c r="D657" s="4269" t="s">
        <v>1</v>
      </c>
      <c r="E657" s="4233"/>
      <c r="F657" s="4233">
        <f t="shared" si="27"/>
        <v>0</v>
      </c>
    </row>
    <row r="658" spans="1:6" ht="14.25" customHeight="1">
      <c r="A658" s="4180">
        <v>5.8</v>
      </c>
      <c r="B658" s="4184" t="s">
        <v>3526</v>
      </c>
      <c r="C658" s="4175">
        <v>20.100000000000001</v>
      </c>
      <c r="D658" s="4269" t="s">
        <v>1</v>
      </c>
      <c r="E658" s="4233"/>
      <c r="F658" s="4233">
        <f t="shared" si="27"/>
        <v>0</v>
      </c>
    </row>
    <row r="659" spans="1:6" s="4236" customFormat="1" ht="14.25" customHeight="1">
      <c r="A659" s="4180">
        <v>5.9</v>
      </c>
      <c r="B659" s="4184" t="s">
        <v>3459</v>
      </c>
      <c r="C659" s="4175">
        <v>127.52</v>
      </c>
      <c r="D659" s="4249" t="s">
        <v>2432</v>
      </c>
      <c r="E659" s="4233"/>
      <c r="F659" s="4233">
        <f t="shared" si="27"/>
        <v>0</v>
      </c>
    </row>
    <row r="660" spans="1:6" ht="14.25" customHeight="1">
      <c r="A660" s="4180"/>
      <c r="B660" s="4184"/>
      <c r="C660" s="4175"/>
      <c r="D660" s="4269"/>
      <c r="E660" s="4233"/>
      <c r="F660" s="4233" t="str">
        <f t="shared" si="27"/>
        <v xml:space="preserve"> </v>
      </c>
    </row>
    <row r="661" spans="1:6" ht="14.25" customHeight="1">
      <c r="A661" s="4182">
        <v>6</v>
      </c>
      <c r="B661" s="4184" t="s">
        <v>3460</v>
      </c>
      <c r="C661" s="4175">
        <v>15.12</v>
      </c>
      <c r="D661" s="4249" t="s">
        <v>2432</v>
      </c>
      <c r="E661" s="4103"/>
      <c r="F661" s="4233">
        <f t="shared" si="27"/>
        <v>0</v>
      </c>
    </row>
    <row r="662" spans="1:6" ht="14.25" customHeight="1">
      <c r="A662" s="4480"/>
      <c r="B662" s="4481"/>
      <c r="C662" s="4482"/>
      <c r="D662" s="4483"/>
      <c r="E662" s="4466"/>
      <c r="F662" s="4466" t="str">
        <f t="shared" si="27"/>
        <v xml:space="preserve"> </v>
      </c>
    </row>
    <row r="663" spans="1:6" ht="14.25" customHeight="1">
      <c r="A663" s="4182">
        <v>7</v>
      </c>
      <c r="B663" s="4183" t="s">
        <v>3461</v>
      </c>
      <c r="C663" s="4175"/>
      <c r="D663" s="4269"/>
      <c r="E663" s="4233"/>
      <c r="F663" s="4233" t="str">
        <f t="shared" si="27"/>
        <v xml:space="preserve"> </v>
      </c>
    </row>
    <row r="664" spans="1:6" ht="14.25" customHeight="1">
      <c r="A664" s="4180">
        <v>7.1</v>
      </c>
      <c r="B664" s="4184" t="s">
        <v>3462</v>
      </c>
      <c r="C664" s="4175">
        <v>1</v>
      </c>
      <c r="D664" s="4232" t="s">
        <v>2433</v>
      </c>
      <c r="E664" s="4233"/>
      <c r="F664" s="4233">
        <f t="shared" si="27"/>
        <v>0</v>
      </c>
    </row>
    <row r="665" spans="1:6" ht="14.25" customHeight="1">
      <c r="A665" s="4180">
        <v>7.2</v>
      </c>
      <c r="B665" s="4230" t="s">
        <v>3463</v>
      </c>
      <c r="C665" s="4175">
        <v>15.06</v>
      </c>
      <c r="D665" s="4232" t="s">
        <v>2601</v>
      </c>
      <c r="E665" s="4233"/>
      <c r="F665" s="4233">
        <f t="shared" si="27"/>
        <v>0</v>
      </c>
    </row>
    <row r="666" spans="1:6" ht="14.25" customHeight="1">
      <c r="A666" s="4179">
        <v>7.3</v>
      </c>
      <c r="B666" s="4212" t="s">
        <v>3904</v>
      </c>
      <c r="C666" s="4175">
        <v>1</v>
      </c>
      <c r="D666" s="4232" t="s">
        <v>2433</v>
      </c>
      <c r="E666" s="4233"/>
      <c r="F666" s="4233">
        <f t="shared" si="27"/>
        <v>0</v>
      </c>
    </row>
    <row r="667" spans="1:6" ht="14.25" customHeight="1">
      <c r="A667" s="4180"/>
      <c r="B667" s="4184"/>
      <c r="C667" s="4231"/>
      <c r="D667" s="4249"/>
      <c r="E667" s="4233"/>
      <c r="F667" s="4233" t="str">
        <f t="shared" si="27"/>
        <v xml:space="preserve"> </v>
      </c>
    </row>
    <row r="668" spans="1:6" ht="14.25" customHeight="1">
      <c r="A668" s="4185">
        <v>8</v>
      </c>
      <c r="B668" s="4183" t="s">
        <v>3464</v>
      </c>
      <c r="C668" s="4231"/>
      <c r="D668" s="4249"/>
      <c r="E668" s="4233"/>
      <c r="F668" s="4233" t="str">
        <f t="shared" si="27"/>
        <v xml:space="preserve"> </v>
      </c>
    </row>
    <row r="669" spans="1:6" ht="14.25" customHeight="1">
      <c r="A669" s="4180">
        <v>8.1</v>
      </c>
      <c r="B669" s="4230" t="s">
        <v>3465</v>
      </c>
      <c r="C669" s="4175">
        <v>4</v>
      </c>
      <c r="D669" s="4232" t="s">
        <v>2433</v>
      </c>
      <c r="E669" s="4233"/>
      <c r="F669" s="4233">
        <f t="shared" si="27"/>
        <v>0</v>
      </c>
    </row>
    <row r="670" spans="1:6" ht="14.25" customHeight="1">
      <c r="A670" s="4180">
        <v>8.1999999999999993</v>
      </c>
      <c r="B670" s="4230" t="s">
        <v>3466</v>
      </c>
      <c r="C670" s="4175">
        <v>1</v>
      </c>
      <c r="D670" s="4232" t="s">
        <v>2433</v>
      </c>
      <c r="E670" s="4233"/>
      <c r="F670" s="4233">
        <f t="shared" si="27"/>
        <v>0</v>
      </c>
    </row>
    <row r="671" spans="1:6" ht="14.25" customHeight="1">
      <c r="A671" s="4180">
        <v>8.3000000000000007</v>
      </c>
      <c r="B671" s="4230" t="s">
        <v>3467</v>
      </c>
      <c r="C671" s="4175">
        <v>2</v>
      </c>
      <c r="D671" s="4232" t="s">
        <v>2433</v>
      </c>
      <c r="E671" s="4233"/>
      <c r="F671" s="4233">
        <f t="shared" si="27"/>
        <v>0</v>
      </c>
    </row>
    <row r="672" spans="1:6" ht="14.25" customHeight="1">
      <c r="A672" s="4167"/>
      <c r="B672" s="4169"/>
      <c r="C672" s="4231"/>
      <c r="D672" s="4249"/>
      <c r="E672" s="4233"/>
      <c r="F672" s="4233" t="str">
        <f t="shared" si="27"/>
        <v xml:space="preserve"> </v>
      </c>
    </row>
    <row r="673" spans="1:8" ht="14.25" customHeight="1">
      <c r="A673" s="4168">
        <v>9</v>
      </c>
      <c r="B673" s="4170" t="s">
        <v>3468</v>
      </c>
      <c r="C673" s="4231"/>
      <c r="D673" s="4249"/>
      <c r="E673" s="4233"/>
      <c r="F673" s="4233" t="str">
        <f t="shared" si="27"/>
        <v xml:space="preserve"> </v>
      </c>
    </row>
    <row r="674" spans="1:8" ht="14.25" customHeight="1">
      <c r="A674" s="4167">
        <v>9.1</v>
      </c>
      <c r="B674" s="4171" t="s">
        <v>3647</v>
      </c>
      <c r="C674" s="4186">
        <v>2</v>
      </c>
      <c r="D674" s="4326" t="s">
        <v>2433</v>
      </c>
      <c r="E674" s="4210"/>
      <c r="F674" s="4233">
        <f t="shared" si="27"/>
        <v>0</v>
      </c>
    </row>
    <row r="675" spans="1:8" ht="14.25" customHeight="1">
      <c r="A675" s="4167">
        <v>9.1999999999999993</v>
      </c>
      <c r="B675" s="4171" t="s">
        <v>3469</v>
      </c>
      <c r="C675" s="4186">
        <v>2</v>
      </c>
      <c r="D675" s="4326" t="s">
        <v>2433</v>
      </c>
      <c r="E675" s="4210"/>
      <c r="F675" s="4233">
        <f t="shared" si="27"/>
        <v>0</v>
      </c>
    </row>
    <row r="676" spans="1:8" ht="14.25" customHeight="1">
      <c r="A676" s="4167">
        <v>9.3000000000000007</v>
      </c>
      <c r="B676" s="4171" t="s">
        <v>3648</v>
      </c>
      <c r="C676" s="4187">
        <v>1</v>
      </c>
      <c r="D676" s="4326" t="s">
        <v>2433</v>
      </c>
      <c r="E676" s="4210"/>
      <c r="F676" s="4233">
        <f t="shared" si="27"/>
        <v>0</v>
      </c>
    </row>
    <row r="677" spans="1:8" ht="14.25" customHeight="1">
      <c r="A677" s="4167">
        <v>9.4</v>
      </c>
      <c r="B677" s="4171" t="s">
        <v>3470</v>
      </c>
      <c r="C677" s="4187">
        <v>95</v>
      </c>
      <c r="D677" s="4327" t="s">
        <v>1</v>
      </c>
      <c r="E677" s="4210"/>
      <c r="F677" s="4233">
        <f t="shared" si="27"/>
        <v>0</v>
      </c>
    </row>
    <row r="678" spans="1:8" ht="14.25" customHeight="1">
      <c r="A678" s="4167">
        <v>9.5</v>
      </c>
      <c r="B678" s="4171" t="s">
        <v>3649</v>
      </c>
      <c r="C678" s="4186">
        <v>33</v>
      </c>
      <c r="D678" s="4326" t="s">
        <v>2433</v>
      </c>
      <c r="E678" s="4210"/>
      <c r="F678" s="4233">
        <f t="shared" si="27"/>
        <v>0</v>
      </c>
    </row>
    <row r="679" spans="1:8" ht="14.25" customHeight="1">
      <c r="A679" s="4167">
        <v>9.6</v>
      </c>
      <c r="B679" s="4171" t="s">
        <v>3650</v>
      </c>
      <c r="C679" s="4186">
        <v>4</v>
      </c>
      <c r="D679" s="4326" t="s">
        <v>2433</v>
      </c>
      <c r="E679" s="4210"/>
      <c r="F679" s="4233">
        <f t="shared" si="27"/>
        <v>0</v>
      </c>
    </row>
    <row r="680" spans="1:8" ht="14.25" customHeight="1">
      <c r="A680" s="4167">
        <v>9.6999999999999993</v>
      </c>
      <c r="B680" s="4171" t="s">
        <v>3651</v>
      </c>
      <c r="C680" s="4186">
        <v>9</v>
      </c>
      <c r="D680" s="4326" t="s">
        <v>2433</v>
      </c>
      <c r="E680" s="4210"/>
      <c r="F680" s="4233">
        <f t="shared" si="27"/>
        <v>0</v>
      </c>
    </row>
    <row r="681" spans="1:8" ht="14.25" customHeight="1">
      <c r="A681" s="4167">
        <v>9.8000000000000007</v>
      </c>
      <c r="B681" s="4171" t="s">
        <v>3652</v>
      </c>
      <c r="C681" s="4186">
        <v>4</v>
      </c>
      <c r="D681" s="4326" t="s">
        <v>2433</v>
      </c>
      <c r="E681" s="4210"/>
      <c r="F681" s="4233">
        <f t="shared" si="27"/>
        <v>0</v>
      </c>
    </row>
    <row r="682" spans="1:8" ht="14.25" customHeight="1">
      <c r="A682" s="4167">
        <v>9.9</v>
      </c>
      <c r="B682" s="4171" t="s">
        <v>4026</v>
      </c>
      <c r="C682" s="4186">
        <v>7</v>
      </c>
      <c r="D682" s="4326" t="s">
        <v>2433</v>
      </c>
      <c r="E682" s="4210"/>
      <c r="F682" s="4233">
        <f t="shared" si="27"/>
        <v>0</v>
      </c>
    </row>
    <row r="683" spans="1:8" ht="15" customHeight="1">
      <c r="A683" s="4179">
        <v>9.1</v>
      </c>
      <c r="B683" s="4171" t="s">
        <v>3653</v>
      </c>
      <c r="C683" s="4186">
        <v>16</v>
      </c>
      <c r="D683" s="4326" t="s">
        <v>2433</v>
      </c>
      <c r="E683" s="4210"/>
      <c r="F683" s="4233">
        <f t="shared" si="27"/>
        <v>0</v>
      </c>
    </row>
    <row r="684" spans="1:8" ht="14.25" customHeight="1">
      <c r="A684" s="4179">
        <v>9.11</v>
      </c>
      <c r="B684" s="4171" t="s">
        <v>3654</v>
      </c>
      <c r="C684" s="4186">
        <v>1</v>
      </c>
      <c r="D684" s="4326" t="s">
        <v>2433</v>
      </c>
      <c r="E684" s="4210"/>
      <c r="F684" s="4233">
        <f t="shared" si="27"/>
        <v>0</v>
      </c>
    </row>
    <row r="685" spans="1:8" ht="14.25" customHeight="1">
      <c r="A685" s="4192">
        <v>9.1199999999999992</v>
      </c>
      <c r="B685" s="4171" t="s">
        <v>3471</v>
      </c>
      <c r="C685" s="4186">
        <v>1</v>
      </c>
      <c r="D685" s="4217" t="s">
        <v>42</v>
      </c>
      <c r="E685" s="4210"/>
      <c r="F685" s="4233">
        <f t="shared" si="27"/>
        <v>0</v>
      </c>
    </row>
    <row r="686" spans="1:8" ht="14.25" customHeight="1">
      <c r="A686" s="4179">
        <v>9.1300000000000008</v>
      </c>
      <c r="B686" s="4171" t="s">
        <v>3655</v>
      </c>
      <c r="C686" s="4186">
        <v>1</v>
      </c>
      <c r="D686" s="4217" t="s">
        <v>42</v>
      </c>
      <c r="E686" s="4210"/>
      <c r="F686" s="4233">
        <f t="shared" si="27"/>
        <v>0</v>
      </c>
    </row>
    <row r="687" spans="1:8" ht="14.25" customHeight="1">
      <c r="A687" s="4179"/>
      <c r="B687" s="4171"/>
      <c r="C687" s="4186"/>
      <c r="D687" s="4217" t="s">
        <v>42</v>
      </c>
      <c r="E687" s="4210"/>
      <c r="F687" s="4233" t="str">
        <f t="shared" si="27"/>
        <v xml:space="preserve"> </v>
      </c>
    </row>
    <row r="688" spans="1:8" s="4330" customFormat="1" ht="15" customHeight="1">
      <c r="A688" s="4167">
        <v>10</v>
      </c>
      <c r="B688" s="4213" t="s">
        <v>3472</v>
      </c>
      <c r="C688" s="4328">
        <v>1</v>
      </c>
      <c r="D688" s="4217" t="s">
        <v>42</v>
      </c>
      <c r="E688" s="4210"/>
      <c r="F688" s="4226">
        <f t="shared" ref="F688" si="28">ROUND(C688*E688,2)</f>
        <v>0</v>
      </c>
      <c r="G688" s="4329"/>
      <c r="H688" s="4329"/>
    </row>
    <row r="689" spans="1:6" s="4266" customFormat="1" ht="12.75" customHeight="1">
      <c r="A689" s="4304"/>
      <c r="B689" s="4304" t="s">
        <v>2123</v>
      </c>
      <c r="C689" s="4305"/>
      <c r="D689" s="4305"/>
      <c r="E689" s="4305"/>
      <c r="F689" s="4307">
        <f>SUM(F626:F688)</f>
        <v>0</v>
      </c>
    </row>
    <row r="690" spans="1:6" s="4266" customFormat="1" ht="12.75" customHeight="1">
      <c r="A690" s="4333"/>
      <c r="B690" s="4333"/>
      <c r="C690" s="4334"/>
      <c r="D690" s="4334"/>
      <c r="E690" s="4334"/>
      <c r="F690" s="4405"/>
    </row>
    <row r="691" spans="1:6" s="4222" customFormat="1" ht="15">
      <c r="A691" s="4396" t="s">
        <v>2323</v>
      </c>
      <c r="B691" s="3435" t="s">
        <v>2164</v>
      </c>
      <c r="C691" s="4335"/>
      <c r="D691" s="4336"/>
      <c r="E691" s="4310"/>
      <c r="F691" s="4310" t="str">
        <f t="shared" si="27"/>
        <v xml:space="preserve"> </v>
      </c>
    </row>
    <row r="692" spans="1:6" ht="14.25" customHeight="1">
      <c r="A692" s="4388"/>
      <c r="B692" s="4230"/>
      <c r="C692" s="4231"/>
      <c r="D692" s="4232"/>
      <c r="E692" s="4233"/>
      <c r="F692" s="4233" t="str">
        <f t="shared" si="27"/>
        <v xml:space="preserve"> </v>
      </c>
    </row>
    <row r="693" spans="1:6" ht="15" customHeight="1">
      <c r="A693" s="4389">
        <v>1</v>
      </c>
      <c r="B693" s="4211" t="s">
        <v>2261</v>
      </c>
      <c r="C693" s="4231"/>
      <c r="D693" s="4232"/>
      <c r="E693" s="4233"/>
      <c r="F693" s="4233" t="str">
        <f t="shared" si="27"/>
        <v xml:space="preserve"> </v>
      </c>
    </row>
    <row r="694" spans="1:6" ht="15" customHeight="1">
      <c r="A694" s="4390">
        <v>1.1000000000000001</v>
      </c>
      <c r="B694" s="4211" t="s">
        <v>38</v>
      </c>
      <c r="C694" s="4231"/>
      <c r="D694" s="4249"/>
      <c r="E694" s="4233"/>
      <c r="F694" s="4233"/>
    </row>
    <row r="695" spans="1:6" ht="14.25" customHeight="1">
      <c r="A695" s="4388" t="s">
        <v>3914</v>
      </c>
      <c r="B695" s="4230" t="s">
        <v>3004</v>
      </c>
      <c r="C695" s="4233">
        <v>218.92</v>
      </c>
      <c r="D695" s="4232" t="s">
        <v>2430</v>
      </c>
      <c r="E695" s="4233"/>
      <c r="F695" s="4233">
        <f t="shared" ref="F695:F697" si="29">IF(C695&gt;0,(ROUND((E695*C695),2))," ")</f>
        <v>0</v>
      </c>
    </row>
    <row r="696" spans="1:6" ht="14.25" customHeight="1">
      <c r="A696" s="4388" t="s">
        <v>3915</v>
      </c>
      <c r="B696" s="4230" t="s">
        <v>3913</v>
      </c>
      <c r="C696" s="4231">
        <v>80.7</v>
      </c>
      <c r="D696" s="4249" t="s">
        <v>2430</v>
      </c>
      <c r="E696" s="4233"/>
      <c r="F696" s="4233">
        <f t="shared" si="29"/>
        <v>0</v>
      </c>
    </row>
    <row r="697" spans="1:6" ht="27" customHeight="1">
      <c r="A697" s="4388" t="s">
        <v>3916</v>
      </c>
      <c r="B697" s="4206" t="s">
        <v>3766</v>
      </c>
      <c r="C697" s="4231">
        <v>186.6</v>
      </c>
      <c r="D697" s="4232" t="s">
        <v>2525</v>
      </c>
      <c r="E697" s="4233"/>
      <c r="F697" s="4233">
        <f t="shared" si="29"/>
        <v>0</v>
      </c>
    </row>
    <row r="698" spans="1:6" ht="14.25" customHeight="1">
      <c r="A698" s="4388"/>
      <c r="B698" s="4230"/>
      <c r="C698" s="4231"/>
      <c r="D698" s="4249"/>
      <c r="E698" s="4233"/>
      <c r="F698" s="4233"/>
    </row>
    <row r="699" spans="1:6" ht="15" customHeight="1">
      <c r="A699" s="4390">
        <v>1.2</v>
      </c>
      <c r="B699" s="4211" t="s">
        <v>3713</v>
      </c>
      <c r="C699" s="4231"/>
      <c r="D699" s="4249"/>
      <c r="E699" s="4233"/>
      <c r="F699" s="4233"/>
    </row>
    <row r="700" spans="1:6" ht="14.25" customHeight="1">
      <c r="A700" s="4388" t="s">
        <v>3905</v>
      </c>
      <c r="B700" s="4230" t="s">
        <v>3017</v>
      </c>
      <c r="C700" s="4231">
        <v>0.77</v>
      </c>
      <c r="D700" s="4249" t="s">
        <v>2430</v>
      </c>
      <c r="E700" s="4233"/>
      <c r="F700" s="4233">
        <f t="shared" ref="F700:F703" si="30">IF(C700&gt;0,(ROUND((E700*C700),2))," ")</f>
        <v>0</v>
      </c>
    </row>
    <row r="701" spans="1:6" ht="14.25" customHeight="1">
      <c r="A701" s="4388" t="s">
        <v>3906</v>
      </c>
      <c r="B701" s="4230" t="s">
        <v>2420</v>
      </c>
      <c r="C701" s="4231">
        <v>32.58</v>
      </c>
      <c r="D701" s="4249" t="s">
        <v>2430</v>
      </c>
      <c r="E701" s="4233"/>
      <c r="F701" s="4233">
        <f t="shared" si="30"/>
        <v>0</v>
      </c>
    </row>
    <row r="702" spans="1:6" ht="14.25" customHeight="1">
      <c r="A702" s="4388" t="s">
        <v>3907</v>
      </c>
      <c r="B702" s="4230" t="s">
        <v>2421</v>
      </c>
      <c r="C702" s="4231">
        <v>22.07</v>
      </c>
      <c r="D702" s="4249" t="s">
        <v>2430</v>
      </c>
      <c r="E702" s="4233"/>
      <c r="F702" s="4233">
        <f t="shared" si="30"/>
        <v>0</v>
      </c>
    </row>
    <row r="703" spans="1:6" ht="14.25" customHeight="1">
      <c r="A703" s="4388" t="s">
        <v>3917</v>
      </c>
      <c r="B703" s="4230" t="s">
        <v>2422</v>
      </c>
      <c r="C703" s="4231">
        <v>0.81</v>
      </c>
      <c r="D703" s="4249" t="s">
        <v>2430</v>
      </c>
      <c r="E703" s="4233"/>
      <c r="F703" s="4233">
        <f t="shared" si="30"/>
        <v>0</v>
      </c>
    </row>
    <row r="704" spans="1:6" ht="14.25" customHeight="1">
      <c r="A704" s="4388"/>
      <c r="B704" s="4230"/>
      <c r="C704" s="4231"/>
      <c r="D704" s="4249"/>
      <c r="E704" s="4233"/>
      <c r="F704" s="4233"/>
    </row>
    <row r="705" spans="1:6" ht="15" customHeight="1">
      <c r="A705" s="4390">
        <v>1.3</v>
      </c>
      <c r="B705" s="4211" t="s">
        <v>787</v>
      </c>
      <c r="C705" s="4231"/>
      <c r="D705" s="4249"/>
      <c r="E705" s="4233"/>
      <c r="F705" s="4233"/>
    </row>
    <row r="706" spans="1:6" ht="14.25" customHeight="1">
      <c r="A706" s="4388" t="s">
        <v>3908</v>
      </c>
      <c r="B706" s="4230" t="s">
        <v>2402</v>
      </c>
      <c r="C706" s="4231">
        <v>171.69</v>
      </c>
      <c r="D706" s="4249" t="s">
        <v>2432</v>
      </c>
      <c r="E706" s="4233"/>
      <c r="F706" s="4233">
        <f t="shared" ref="F706:F709" si="31">IF(C706&gt;0,(ROUND((E706*C706),2))," ")</f>
        <v>0</v>
      </c>
    </row>
    <row r="707" spans="1:6" ht="14.25" customHeight="1">
      <c r="A707" s="4388" t="s">
        <v>3909</v>
      </c>
      <c r="B707" s="4230" t="s">
        <v>2395</v>
      </c>
      <c r="C707" s="4231">
        <v>38.770000000000003</v>
      </c>
      <c r="D707" s="4249" t="s">
        <v>2432</v>
      </c>
      <c r="E707" s="4233"/>
      <c r="F707" s="4233">
        <f t="shared" si="31"/>
        <v>0</v>
      </c>
    </row>
    <row r="708" spans="1:6" ht="14.25" customHeight="1">
      <c r="A708" s="4388" t="s">
        <v>3910</v>
      </c>
      <c r="B708" s="4230" t="s">
        <v>2423</v>
      </c>
      <c r="C708" s="4231">
        <v>73.569999999999993</v>
      </c>
      <c r="D708" s="4249" t="s">
        <v>2432</v>
      </c>
      <c r="E708" s="4233"/>
      <c r="F708" s="4233">
        <f t="shared" si="31"/>
        <v>0</v>
      </c>
    </row>
    <row r="709" spans="1:6" s="4166" customFormat="1" ht="14.25" customHeight="1">
      <c r="A709" s="4388" t="s">
        <v>3911</v>
      </c>
      <c r="B709" s="4230" t="s">
        <v>1548</v>
      </c>
      <c r="C709" s="4231">
        <v>114.22</v>
      </c>
      <c r="D709" s="4249" t="s">
        <v>1</v>
      </c>
      <c r="E709" s="4233"/>
      <c r="F709" s="4233">
        <f t="shared" si="31"/>
        <v>0</v>
      </c>
    </row>
    <row r="710" spans="1:6" ht="14.25" customHeight="1">
      <c r="A710" s="4454"/>
      <c r="B710" s="4450"/>
      <c r="C710" s="4464"/>
      <c r="D710" s="4465"/>
      <c r="E710" s="4466"/>
      <c r="F710" s="4466"/>
    </row>
    <row r="711" spans="1:6" ht="15" customHeight="1">
      <c r="A711" s="4389">
        <v>2</v>
      </c>
      <c r="B711" s="4211" t="s">
        <v>2278</v>
      </c>
      <c r="C711" s="4231"/>
      <c r="D711" s="4249"/>
      <c r="E711" s="4233"/>
      <c r="F711" s="4233"/>
    </row>
    <row r="712" spans="1:6" ht="15" customHeight="1">
      <c r="A712" s="4390">
        <v>2.1</v>
      </c>
      <c r="B712" s="4211" t="s">
        <v>38</v>
      </c>
      <c r="C712" s="4231"/>
      <c r="D712" s="4249"/>
      <c r="E712" s="4233"/>
      <c r="F712" s="4233"/>
    </row>
    <row r="713" spans="1:6" ht="14.25" customHeight="1">
      <c r="A713" s="4388" t="s">
        <v>1182</v>
      </c>
      <c r="B713" s="4230" t="s">
        <v>3004</v>
      </c>
      <c r="C713" s="4231">
        <v>262.64</v>
      </c>
      <c r="D713" s="4249" t="s">
        <v>2430</v>
      </c>
      <c r="E713" s="4233"/>
      <c r="F713" s="4233">
        <f t="shared" ref="F713:F715" si="32">IF(C713&gt;0,(ROUND((E713*C713),2))," ")</f>
        <v>0</v>
      </c>
    </row>
    <row r="714" spans="1:6" ht="14.25" customHeight="1">
      <c r="A714" s="4388" t="s">
        <v>1183</v>
      </c>
      <c r="B714" s="4230" t="s">
        <v>2419</v>
      </c>
      <c r="C714" s="4231">
        <v>70.58</v>
      </c>
      <c r="D714" s="4249" t="s">
        <v>2430</v>
      </c>
      <c r="E714" s="4233"/>
      <c r="F714" s="4233">
        <f t="shared" si="32"/>
        <v>0</v>
      </c>
    </row>
    <row r="715" spans="1:6" ht="14.25" customHeight="1">
      <c r="A715" s="4388" t="s">
        <v>1958</v>
      </c>
      <c r="B715" s="4206" t="s">
        <v>3766</v>
      </c>
      <c r="C715" s="4231">
        <v>259.27999999999997</v>
      </c>
      <c r="D715" s="4232" t="s">
        <v>2525</v>
      </c>
      <c r="E715" s="4233"/>
      <c r="F715" s="4233">
        <f t="shared" si="32"/>
        <v>0</v>
      </c>
    </row>
    <row r="716" spans="1:6" ht="14.25" customHeight="1">
      <c r="A716" s="4388"/>
      <c r="B716" s="4230"/>
      <c r="C716" s="4231"/>
      <c r="D716" s="4249"/>
      <c r="E716" s="4233"/>
      <c r="F716" s="4233"/>
    </row>
    <row r="717" spans="1:6" ht="15" customHeight="1">
      <c r="A717" s="4390">
        <v>2.2000000000000002</v>
      </c>
      <c r="B717" s="4211" t="s">
        <v>3714</v>
      </c>
      <c r="C717" s="4231"/>
      <c r="D717" s="4249"/>
      <c r="E717" s="4233"/>
      <c r="F717" s="4233"/>
    </row>
    <row r="718" spans="1:6" ht="14.25" customHeight="1">
      <c r="A718" s="4388" t="s">
        <v>3918</v>
      </c>
      <c r="B718" s="4230" t="s">
        <v>3019</v>
      </c>
      <c r="C718" s="4231">
        <v>19.190000000000001</v>
      </c>
      <c r="D718" s="4249" t="s">
        <v>2430</v>
      </c>
      <c r="E718" s="4233"/>
      <c r="F718" s="4233">
        <f t="shared" ref="F718:F722" si="33">IF(C718&gt;0,(ROUND((E718*C718),2))," ")</f>
        <v>0</v>
      </c>
    </row>
    <row r="719" spans="1:6" ht="14.25" customHeight="1">
      <c r="A719" s="4388" t="s">
        <v>3919</v>
      </c>
      <c r="B719" s="4230" t="s">
        <v>3024</v>
      </c>
      <c r="C719" s="4231">
        <v>1.31</v>
      </c>
      <c r="D719" s="4249" t="s">
        <v>2430</v>
      </c>
      <c r="E719" s="4233"/>
      <c r="F719" s="4233">
        <f t="shared" si="33"/>
        <v>0</v>
      </c>
    </row>
    <row r="720" spans="1:6" ht="14.25" customHeight="1">
      <c r="A720" s="4388" t="s">
        <v>3920</v>
      </c>
      <c r="B720" s="4230" t="s">
        <v>3018</v>
      </c>
      <c r="C720" s="4231">
        <v>30.2</v>
      </c>
      <c r="D720" s="4249" t="s">
        <v>2430</v>
      </c>
      <c r="E720" s="4233"/>
      <c r="F720" s="4233">
        <f t="shared" si="33"/>
        <v>0</v>
      </c>
    </row>
    <row r="721" spans="1:6" ht="14.25" customHeight="1">
      <c r="A721" s="4388" t="s">
        <v>3921</v>
      </c>
      <c r="B721" s="4230" t="s">
        <v>2424</v>
      </c>
      <c r="C721" s="4231">
        <v>11.27</v>
      </c>
      <c r="D721" s="4249" t="s">
        <v>2430</v>
      </c>
      <c r="E721" s="4233"/>
      <c r="F721" s="4233">
        <f t="shared" si="33"/>
        <v>0</v>
      </c>
    </row>
    <row r="722" spans="1:6" ht="14.25" customHeight="1">
      <c r="A722" s="4388" t="s">
        <v>3922</v>
      </c>
      <c r="B722" s="4230" t="s">
        <v>2422</v>
      </c>
      <c r="C722" s="4231">
        <v>1.32</v>
      </c>
      <c r="D722" s="4249" t="s">
        <v>2430</v>
      </c>
      <c r="E722" s="4233"/>
      <c r="F722" s="4233">
        <f t="shared" si="33"/>
        <v>0</v>
      </c>
    </row>
    <row r="723" spans="1:6" ht="14.25" customHeight="1">
      <c r="A723" s="4388"/>
      <c r="B723" s="4230"/>
      <c r="C723" s="4231"/>
      <c r="D723" s="4249"/>
      <c r="E723" s="4233"/>
      <c r="F723" s="4233"/>
    </row>
    <row r="724" spans="1:6" ht="15" customHeight="1">
      <c r="A724" s="4390">
        <v>2.2999999999999998</v>
      </c>
      <c r="B724" s="4211" t="s">
        <v>859</v>
      </c>
      <c r="C724" s="4231"/>
      <c r="D724" s="4249"/>
      <c r="E724" s="4233"/>
      <c r="F724" s="4233"/>
    </row>
    <row r="725" spans="1:6" ht="14.25" customHeight="1">
      <c r="A725" s="4388" t="s">
        <v>3923</v>
      </c>
      <c r="B725" s="4230" t="s">
        <v>2402</v>
      </c>
      <c r="C725" s="4231">
        <v>158.15</v>
      </c>
      <c r="D725" s="4249" t="s">
        <v>2432</v>
      </c>
      <c r="E725" s="4233"/>
      <c r="F725" s="4233">
        <f t="shared" ref="F725:F728" si="34">IF(C725&gt;0,(ROUND((E725*C725),2))," ")</f>
        <v>0</v>
      </c>
    </row>
    <row r="726" spans="1:6" ht="14.25" customHeight="1">
      <c r="A726" s="4388" t="s">
        <v>3924</v>
      </c>
      <c r="B726" s="4230" t="s">
        <v>2395</v>
      </c>
      <c r="C726" s="4231">
        <v>39.5</v>
      </c>
      <c r="D726" s="4249" t="s">
        <v>2432</v>
      </c>
      <c r="E726" s="4233"/>
      <c r="F726" s="4233">
        <f t="shared" si="34"/>
        <v>0</v>
      </c>
    </row>
    <row r="727" spans="1:6" ht="14.25" customHeight="1">
      <c r="A727" s="4388" t="s">
        <v>3925</v>
      </c>
      <c r="B727" s="4230" t="s">
        <v>2423</v>
      </c>
      <c r="C727" s="4231">
        <v>93.25</v>
      </c>
      <c r="D727" s="4249" t="s">
        <v>2432</v>
      </c>
      <c r="E727" s="4233"/>
      <c r="F727" s="4233">
        <f t="shared" si="34"/>
        <v>0</v>
      </c>
    </row>
    <row r="728" spans="1:6" s="4166" customFormat="1" ht="14.25" customHeight="1">
      <c r="A728" s="4388" t="s">
        <v>3926</v>
      </c>
      <c r="B728" s="4230" t="s">
        <v>1548</v>
      </c>
      <c r="C728" s="4231">
        <v>119.75</v>
      </c>
      <c r="D728" s="4249" t="s">
        <v>1</v>
      </c>
      <c r="E728" s="4233"/>
      <c r="F728" s="4233">
        <f t="shared" si="34"/>
        <v>0</v>
      </c>
    </row>
    <row r="729" spans="1:6" s="4266" customFormat="1" ht="12.75" customHeight="1">
      <c r="A729" s="4304"/>
      <c r="B729" s="4304" t="s">
        <v>2324</v>
      </c>
      <c r="C729" s="4305"/>
      <c r="D729" s="4305"/>
      <c r="E729" s="4305"/>
      <c r="F729" s="4307">
        <f>SUM(F691:F728)</f>
        <v>0</v>
      </c>
    </row>
    <row r="730" spans="1:6" ht="15" customHeight="1">
      <c r="A730" s="4393"/>
      <c r="B730" s="3435"/>
      <c r="C730" s="3538"/>
      <c r="D730" s="4263"/>
      <c r="E730" s="4264"/>
      <c r="F730" s="4264"/>
    </row>
    <row r="731" spans="1:6" s="4222" customFormat="1" ht="30">
      <c r="A731" s="4396" t="s">
        <v>2545</v>
      </c>
      <c r="B731" s="3435" t="s">
        <v>3947</v>
      </c>
      <c r="C731" s="4335"/>
      <c r="D731" s="4336"/>
      <c r="E731" s="4310"/>
      <c r="F731" s="4310" t="str">
        <f t="shared" ref="F731:F794" si="35">IF(C731&gt;0,(ROUND((E731*C731),2))," ")</f>
        <v xml:space="preserve"> </v>
      </c>
    </row>
    <row r="732" spans="1:6" ht="14.25" customHeight="1">
      <c r="A732" s="4388"/>
      <c r="B732" s="3432"/>
      <c r="C732" s="4231"/>
      <c r="D732" s="4249"/>
      <c r="E732" s="4233"/>
      <c r="F732" s="4233" t="str">
        <f t="shared" si="35"/>
        <v xml:space="preserve"> </v>
      </c>
    </row>
    <row r="733" spans="1:6" ht="14.25" customHeight="1">
      <c r="A733" s="4389">
        <v>1</v>
      </c>
      <c r="B733" s="3432" t="s">
        <v>2353</v>
      </c>
      <c r="C733" s="4231">
        <v>460.4</v>
      </c>
      <c r="D733" s="4249" t="s">
        <v>1</v>
      </c>
      <c r="E733" s="4233"/>
      <c r="F733" s="4233">
        <f>+E733*C733</f>
        <v>0</v>
      </c>
    </row>
    <row r="734" spans="1:6" ht="14.25" customHeight="1">
      <c r="A734" s="4388"/>
      <c r="B734" s="3432"/>
      <c r="C734" s="4231"/>
      <c r="D734" s="4249"/>
      <c r="E734" s="4233"/>
      <c r="F734" s="4233"/>
    </row>
    <row r="735" spans="1:6" ht="18" customHeight="1">
      <c r="A735" s="4389">
        <v>2</v>
      </c>
      <c r="B735" s="4342" t="s">
        <v>14</v>
      </c>
      <c r="C735" s="4231"/>
      <c r="D735" s="4249"/>
      <c r="E735" s="4233"/>
      <c r="F735" s="4233" t="str">
        <f t="shared" si="35"/>
        <v xml:space="preserve"> </v>
      </c>
    </row>
    <row r="736" spans="1:6" ht="15" customHeight="1">
      <c r="A736" s="4392">
        <v>2.1</v>
      </c>
      <c r="B736" s="4230" t="s">
        <v>3726</v>
      </c>
      <c r="C736" s="4231">
        <v>824.2</v>
      </c>
      <c r="D736" s="4232" t="s">
        <v>2527</v>
      </c>
      <c r="E736" s="4233"/>
      <c r="F736" s="4233">
        <f t="shared" si="35"/>
        <v>0</v>
      </c>
    </row>
    <row r="737" spans="1:6" ht="15" customHeight="1">
      <c r="A737" s="4392">
        <v>2.2000000000000002</v>
      </c>
      <c r="B737" s="4230" t="s">
        <v>3479</v>
      </c>
      <c r="C737" s="4231">
        <v>759.11</v>
      </c>
      <c r="D737" s="4232" t="s">
        <v>2526</v>
      </c>
      <c r="E737" s="4233"/>
      <c r="F737" s="4233">
        <f t="shared" si="35"/>
        <v>0</v>
      </c>
    </row>
    <row r="738" spans="1:6" ht="15" customHeight="1">
      <c r="A738" s="4392">
        <v>2.2999999999999998</v>
      </c>
      <c r="B738" s="4230" t="s">
        <v>3765</v>
      </c>
      <c r="C738" s="4231">
        <v>31.6</v>
      </c>
      <c r="D738" s="4232" t="s">
        <v>2430</v>
      </c>
      <c r="E738" s="4233"/>
      <c r="F738" s="4233">
        <f t="shared" si="35"/>
        <v>0</v>
      </c>
    </row>
    <row r="739" spans="1:6" ht="30" customHeight="1">
      <c r="A739" s="4392">
        <v>2.4</v>
      </c>
      <c r="B739" s="4206" t="s">
        <v>3766</v>
      </c>
      <c r="C739" s="4231">
        <v>78.099999999999994</v>
      </c>
      <c r="D739" s="4232" t="s">
        <v>2525</v>
      </c>
      <c r="E739" s="4233"/>
      <c r="F739" s="4233">
        <f t="shared" si="35"/>
        <v>0</v>
      </c>
    </row>
    <row r="740" spans="1:6" ht="15" customHeight="1">
      <c r="A740" s="4393"/>
      <c r="B740" s="3435"/>
      <c r="C740" s="4231"/>
      <c r="D740" s="4249"/>
      <c r="E740" s="4233"/>
      <c r="F740" s="4233" t="str">
        <f t="shared" si="35"/>
        <v xml:space="preserve"> </v>
      </c>
    </row>
    <row r="741" spans="1:6" ht="15" customHeight="1">
      <c r="A741" s="4389">
        <v>3</v>
      </c>
      <c r="B741" s="4342" t="s">
        <v>3727</v>
      </c>
      <c r="C741" s="4231"/>
      <c r="D741" s="4249"/>
      <c r="E741" s="4233"/>
      <c r="F741" s="4233" t="str">
        <f t="shared" si="35"/>
        <v xml:space="preserve"> </v>
      </c>
    </row>
    <row r="742" spans="1:6" ht="15" customHeight="1">
      <c r="A742" s="4392">
        <v>3.1</v>
      </c>
      <c r="B742" s="4230" t="s">
        <v>3730</v>
      </c>
      <c r="C742" s="4231">
        <v>46</v>
      </c>
      <c r="D742" s="4232" t="s">
        <v>1</v>
      </c>
      <c r="E742" s="4233"/>
      <c r="F742" s="4233">
        <f t="shared" si="35"/>
        <v>0</v>
      </c>
    </row>
    <row r="743" spans="1:6" ht="15" customHeight="1">
      <c r="A743" s="4392">
        <v>3.2</v>
      </c>
      <c r="B743" s="4230" t="s">
        <v>3729</v>
      </c>
      <c r="C743" s="4231">
        <v>2</v>
      </c>
      <c r="D743" s="4232" t="s">
        <v>1</v>
      </c>
      <c r="E743" s="4233"/>
      <c r="F743" s="4233">
        <f t="shared" si="35"/>
        <v>0</v>
      </c>
    </row>
    <row r="744" spans="1:6" ht="15" customHeight="1">
      <c r="A744" s="4392">
        <v>3.3</v>
      </c>
      <c r="B744" s="4230" t="s">
        <v>3728</v>
      </c>
      <c r="C744" s="4406">
        <v>399.78</v>
      </c>
      <c r="D744" s="4232" t="s">
        <v>1</v>
      </c>
      <c r="E744" s="4233"/>
      <c r="F744" s="4233">
        <f>IF(C744&gt;0,(ROUND((E744*C744),2))," ")</f>
        <v>0</v>
      </c>
    </row>
    <row r="745" spans="1:6" ht="15" customHeight="1">
      <c r="A745" s="4392">
        <v>3.4</v>
      </c>
      <c r="B745" s="4230" t="s">
        <v>3927</v>
      </c>
      <c r="C745" s="4231">
        <v>49.92</v>
      </c>
      <c r="D745" s="4232" t="s">
        <v>1</v>
      </c>
      <c r="E745" s="4233"/>
      <c r="F745" s="4233">
        <f>IF(C745&gt;0,(ROUND((E745*C745),2))," ")</f>
        <v>0</v>
      </c>
    </row>
    <row r="746" spans="1:6" ht="15" customHeight="1">
      <c r="A746" s="4393"/>
      <c r="B746" s="3435"/>
      <c r="C746" s="4231"/>
      <c r="D746" s="4249"/>
      <c r="E746" s="4233"/>
      <c r="F746" s="4233" t="str">
        <f t="shared" si="35"/>
        <v xml:space="preserve"> </v>
      </c>
    </row>
    <row r="747" spans="1:6" ht="15" customHeight="1">
      <c r="A747" s="4389">
        <v>4</v>
      </c>
      <c r="B747" s="4342" t="s">
        <v>3732</v>
      </c>
      <c r="C747" s="4231"/>
      <c r="D747" s="4249"/>
      <c r="E747" s="4233"/>
      <c r="F747" s="4233" t="str">
        <f t="shared" si="35"/>
        <v xml:space="preserve"> </v>
      </c>
    </row>
    <row r="748" spans="1:6" ht="15" customHeight="1">
      <c r="A748" s="4392">
        <v>4.0999999999999996</v>
      </c>
      <c r="B748" s="4230" t="s">
        <v>3481</v>
      </c>
      <c r="C748" s="4231">
        <v>46</v>
      </c>
      <c r="D748" s="4232" t="s">
        <v>1</v>
      </c>
      <c r="E748" s="4403"/>
      <c r="F748" s="4233">
        <f t="shared" si="35"/>
        <v>0</v>
      </c>
    </row>
    <row r="749" spans="1:6" ht="15" customHeight="1">
      <c r="A749" s="4392">
        <v>4.2</v>
      </c>
      <c r="B749" s="4230" t="s">
        <v>3482</v>
      </c>
      <c r="C749" s="4231">
        <v>2</v>
      </c>
      <c r="D749" s="4232" t="s">
        <v>1</v>
      </c>
      <c r="E749" s="4403"/>
      <c r="F749" s="4233">
        <f t="shared" si="35"/>
        <v>0</v>
      </c>
    </row>
    <row r="750" spans="1:6" ht="15" customHeight="1">
      <c r="A750" s="4392">
        <v>4.3</v>
      </c>
      <c r="B750" s="4230" t="s">
        <v>3731</v>
      </c>
      <c r="C750" s="4231">
        <v>364.4</v>
      </c>
      <c r="D750" s="4232" t="s">
        <v>1</v>
      </c>
      <c r="E750" s="4407"/>
      <c r="F750" s="4233">
        <f>IF(C750&gt;0,(ROUND((E750*C750),2))," ")</f>
        <v>0</v>
      </c>
    </row>
    <row r="751" spans="1:6" ht="15" customHeight="1">
      <c r="A751" s="4392">
        <v>4.4000000000000004</v>
      </c>
      <c r="B751" s="4230" t="s">
        <v>3725</v>
      </c>
      <c r="C751" s="4231">
        <v>48</v>
      </c>
      <c r="D751" s="4232" t="s">
        <v>1</v>
      </c>
      <c r="E751" s="4407"/>
      <c r="F751" s="4233">
        <f>IF(C751&gt;0,(ROUND((E751*C751),2))," ")</f>
        <v>0</v>
      </c>
    </row>
    <row r="752" spans="1:6" ht="15" customHeight="1">
      <c r="A752" s="4393"/>
      <c r="B752" s="4230"/>
      <c r="C752" s="4231"/>
      <c r="D752" s="4232"/>
      <c r="E752" s="4233"/>
      <c r="F752" s="4233" t="str">
        <f t="shared" si="35"/>
        <v xml:space="preserve"> </v>
      </c>
    </row>
    <row r="753" spans="1:6" ht="14.25" customHeight="1">
      <c r="A753" s="4389">
        <v>5</v>
      </c>
      <c r="B753" s="4342" t="s">
        <v>3767</v>
      </c>
      <c r="C753" s="4231"/>
      <c r="D753" s="4249"/>
      <c r="E753" s="4233"/>
      <c r="F753" s="4233" t="str">
        <f t="shared" si="35"/>
        <v xml:space="preserve"> </v>
      </c>
    </row>
    <row r="754" spans="1:6" ht="15" customHeight="1">
      <c r="A754" s="4392">
        <v>5.0999999999999996</v>
      </c>
      <c r="B754" s="4230" t="s">
        <v>3733</v>
      </c>
      <c r="C754" s="4231">
        <v>6</v>
      </c>
      <c r="D754" s="4232" t="s">
        <v>2433</v>
      </c>
      <c r="E754" s="4233"/>
      <c r="F754" s="4233">
        <f>IF(C754&gt;0,(ROUND((E754*C754),2))," ")</f>
        <v>0</v>
      </c>
    </row>
    <row r="755" spans="1:6" ht="15" customHeight="1">
      <c r="A755" s="4392">
        <v>5.2</v>
      </c>
      <c r="B755" s="4230" t="s">
        <v>3734</v>
      </c>
      <c r="C755" s="4231">
        <v>4</v>
      </c>
      <c r="D755" s="4232" t="s">
        <v>2433</v>
      </c>
      <c r="E755" s="4233"/>
      <c r="F755" s="4233">
        <f>IF(C755&gt;0,(ROUND((E755*C755),2))," ")</f>
        <v>0</v>
      </c>
    </row>
    <row r="756" spans="1:6" ht="15" customHeight="1">
      <c r="A756" s="4392">
        <v>5.3</v>
      </c>
      <c r="B756" s="4230" t="s">
        <v>3768</v>
      </c>
      <c r="C756" s="4231">
        <v>2</v>
      </c>
      <c r="D756" s="4232" t="s">
        <v>2433</v>
      </c>
      <c r="E756" s="4233"/>
      <c r="F756" s="4233">
        <f t="shared" si="35"/>
        <v>0</v>
      </c>
    </row>
    <row r="757" spans="1:6" ht="15" customHeight="1">
      <c r="A757" s="4392">
        <v>5.4</v>
      </c>
      <c r="B757" s="4230" t="s">
        <v>3768</v>
      </c>
      <c r="C757" s="4231">
        <v>1</v>
      </c>
      <c r="D757" s="4232" t="s">
        <v>2433</v>
      </c>
      <c r="E757" s="4233"/>
      <c r="F757" s="4233">
        <f t="shared" si="35"/>
        <v>0</v>
      </c>
    </row>
    <row r="758" spans="1:6" ht="15" customHeight="1">
      <c r="A758" s="4392">
        <v>5.5</v>
      </c>
      <c r="B758" s="4230" t="s">
        <v>3771</v>
      </c>
      <c r="C758" s="4231">
        <v>6</v>
      </c>
      <c r="D758" s="4232" t="s">
        <v>2433</v>
      </c>
      <c r="E758" s="4233"/>
      <c r="F758" s="4233">
        <f t="shared" si="35"/>
        <v>0</v>
      </c>
    </row>
    <row r="759" spans="1:6" ht="15" customHeight="1">
      <c r="A759" s="4449">
        <v>5.6</v>
      </c>
      <c r="B759" s="4450" t="s">
        <v>3769</v>
      </c>
      <c r="C759" s="4464">
        <v>2</v>
      </c>
      <c r="D759" s="4452" t="s">
        <v>2433</v>
      </c>
      <c r="E759" s="4466"/>
      <c r="F759" s="4466">
        <f t="shared" si="35"/>
        <v>0</v>
      </c>
    </row>
    <row r="760" spans="1:6" ht="15" customHeight="1">
      <c r="A760" s="4392">
        <v>5.7</v>
      </c>
      <c r="B760" s="4230" t="s">
        <v>3770</v>
      </c>
      <c r="C760" s="4231">
        <v>3</v>
      </c>
      <c r="D760" s="4232" t="s">
        <v>2433</v>
      </c>
      <c r="E760" s="4233"/>
      <c r="F760" s="4233">
        <f t="shared" si="35"/>
        <v>0</v>
      </c>
    </row>
    <row r="761" spans="1:6" ht="15" customHeight="1">
      <c r="A761" s="4392">
        <v>5.8</v>
      </c>
      <c r="B761" s="4230" t="s">
        <v>3770</v>
      </c>
      <c r="C761" s="4231">
        <v>3</v>
      </c>
      <c r="D761" s="4232" t="s">
        <v>2433</v>
      </c>
      <c r="E761" s="4233"/>
      <c r="F761" s="4233">
        <f t="shared" si="35"/>
        <v>0</v>
      </c>
    </row>
    <row r="762" spans="1:6" ht="15" customHeight="1">
      <c r="A762" s="4392">
        <v>5.9</v>
      </c>
      <c r="B762" s="4230" t="s">
        <v>3773</v>
      </c>
      <c r="C762" s="4231">
        <v>3</v>
      </c>
      <c r="D762" s="4232" t="s">
        <v>2433</v>
      </c>
      <c r="E762" s="4233"/>
      <c r="F762" s="4233">
        <f t="shared" si="35"/>
        <v>0</v>
      </c>
    </row>
    <row r="763" spans="1:6" ht="15" customHeight="1">
      <c r="A763" s="4388">
        <v>5.0999999999999996</v>
      </c>
      <c r="B763" s="4230" t="s">
        <v>3774</v>
      </c>
      <c r="C763" s="4231">
        <v>3</v>
      </c>
      <c r="D763" s="4232" t="s">
        <v>2433</v>
      </c>
      <c r="E763" s="4233"/>
      <c r="F763" s="4233">
        <f t="shared" si="35"/>
        <v>0</v>
      </c>
    </row>
    <row r="764" spans="1:6" ht="15" customHeight="1">
      <c r="A764" s="4388">
        <v>5.1100000000000003</v>
      </c>
      <c r="B764" s="4230" t="s">
        <v>3497</v>
      </c>
      <c r="C764" s="4231">
        <v>2</v>
      </c>
      <c r="D764" s="4232" t="s">
        <v>2433</v>
      </c>
      <c r="E764" s="4403"/>
      <c r="F764" s="4233">
        <f>IF(C764&gt;0,(ROUND((E764*C764),2))," ")</f>
        <v>0</v>
      </c>
    </row>
    <row r="765" spans="1:6" ht="15" customHeight="1">
      <c r="A765" s="4388">
        <v>5.12</v>
      </c>
      <c r="B765" s="4230" t="s">
        <v>3515</v>
      </c>
      <c r="C765" s="4231">
        <v>2</v>
      </c>
      <c r="D765" s="4232" t="s">
        <v>2433</v>
      </c>
      <c r="E765" s="4403"/>
      <c r="F765" s="4233">
        <f>IF(C765&gt;0,(ROUND((E765*C765),2))," ")</f>
        <v>0</v>
      </c>
    </row>
    <row r="766" spans="1:6" ht="15" customHeight="1">
      <c r="A766" s="4388">
        <v>5.13</v>
      </c>
      <c r="B766" s="4230" t="s">
        <v>3498</v>
      </c>
      <c r="C766" s="4231">
        <v>4</v>
      </c>
      <c r="D766" s="4232" t="s">
        <v>2433</v>
      </c>
      <c r="E766" s="4403"/>
      <c r="F766" s="4233">
        <f>IF(C766&gt;0,(ROUND((E766*C766),2))," ")</f>
        <v>0</v>
      </c>
    </row>
    <row r="767" spans="1:6" ht="15" customHeight="1">
      <c r="A767" s="4388">
        <v>5.14</v>
      </c>
      <c r="B767" s="4230" t="s">
        <v>3499</v>
      </c>
      <c r="C767" s="4231">
        <v>4</v>
      </c>
      <c r="D767" s="4232" t="s">
        <v>2433</v>
      </c>
      <c r="E767" s="4403"/>
      <c r="F767" s="4233">
        <f>IF(C767&gt;0,(ROUND((E767*C767),2))," ")</f>
        <v>0</v>
      </c>
    </row>
    <row r="768" spans="1:6" ht="15" customHeight="1">
      <c r="A768" s="4388">
        <v>5.15</v>
      </c>
      <c r="B768" s="4230" t="s">
        <v>3500</v>
      </c>
      <c r="C768" s="4231">
        <v>1</v>
      </c>
      <c r="D768" s="4232" t="s">
        <v>2433</v>
      </c>
      <c r="E768" s="4403"/>
      <c r="F768" s="4233">
        <f>IF(C768&gt;0,(ROUND((E768*C768),2))," ")</f>
        <v>0</v>
      </c>
    </row>
    <row r="769" spans="1:6" ht="15" customHeight="1">
      <c r="A769" s="4388">
        <v>5.16</v>
      </c>
      <c r="B769" s="4230" t="s">
        <v>3772</v>
      </c>
      <c r="C769" s="4231">
        <v>1</v>
      </c>
      <c r="D769" s="4232" t="s">
        <v>2433</v>
      </c>
      <c r="E769" s="4233"/>
      <c r="F769" s="4233">
        <f t="shared" si="35"/>
        <v>0</v>
      </c>
    </row>
    <row r="770" spans="1:6" ht="15.75" customHeight="1">
      <c r="A770" s="4388">
        <v>5.17</v>
      </c>
      <c r="B770" s="4230" t="s">
        <v>3764</v>
      </c>
      <c r="C770" s="4231">
        <v>1</v>
      </c>
      <c r="D770" s="4232" t="s">
        <v>2433</v>
      </c>
      <c r="E770" s="4403"/>
      <c r="F770" s="4233">
        <f t="shared" si="35"/>
        <v>0</v>
      </c>
    </row>
    <row r="771" spans="1:6" ht="15" customHeight="1">
      <c r="A771" s="4388">
        <v>5.18</v>
      </c>
      <c r="B771" s="4230" t="s">
        <v>3762</v>
      </c>
      <c r="C771" s="4231">
        <v>2</v>
      </c>
      <c r="D771" s="4232" t="s">
        <v>2433</v>
      </c>
      <c r="E771" s="4403"/>
      <c r="F771" s="4233">
        <f t="shared" si="35"/>
        <v>0</v>
      </c>
    </row>
    <row r="772" spans="1:6" ht="15" customHeight="1">
      <c r="A772" s="4388">
        <v>5.19</v>
      </c>
      <c r="B772" s="4230" t="s">
        <v>3763</v>
      </c>
      <c r="C772" s="4231">
        <v>2</v>
      </c>
      <c r="D772" s="4232" t="s">
        <v>2433</v>
      </c>
      <c r="E772" s="4403"/>
      <c r="F772" s="4233">
        <f t="shared" si="35"/>
        <v>0</v>
      </c>
    </row>
    <row r="773" spans="1:6" ht="15" customHeight="1">
      <c r="A773" s="4388">
        <v>5.2</v>
      </c>
      <c r="B773" s="4230" t="s">
        <v>3775</v>
      </c>
      <c r="C773" s="4231">
        <v>1</v>
      </c>
      <c r="D773" s="4232" t="s">
        <v>42</v>
      </c>
      <c r="E773" s="4403"/>
      <c r="F773" s="4233">
        <f t="shared" si="35"/>
        <v>0</v>
      </c>
    </row>
    <row r="774" spans="1:6" ht="15" customHeight="1">
      <c r="A774" s="4393"/>
      <c r="B774" s="4230"/>
      <c r="C774" s="4231"/>
      <c r="D774" s="4232"/>
      <c r="E774" s="4233"/>
      <c r="F774" s="4233" t="str">
        <f t="shared" si="35"/>
        <v xml:space="preserve"> </v>
      </c>
    </row>
    <row r="775" spans="1:6" ht="15.75" customHeight="1">
      <c r="A775" s="4389">
        <v>6</v>
      </c>
      <c r="B775" s="4342" t="s">
        <v>3719</v>
      </c>
      <c r="C775" s="4231"/>
      <c r="D775" s="4249"/>
      <c r="E775" s="4233"/>
      <c r="F775" s="4233" t="str">
        <f t="shared" si="35"/>
        <v xml:space="preserve"> </v>
      </c>
    </row>
    <row r="776" spans="1:6" s="4225" customFormat="1" ht="14.25" customHeight="1">
      <c r="A776" s="4392">
        <v>6.1</v>
      </c>
      <c r="B776" s="4230" t="s">
        <v>3720</v>
      </c>
      <c r="C776" s="4231">
        <v>1</v>
      </c>
      <c r="D776" s="4232" t="s">
        <v>2433</v>
      </c>
      <c r="E776" s="4233"/>
      <c r="F776" s="4233">
        <f t="shared" si="35"/>
        <v>0</v>
      </c>
    </row>
    <row r="777" spans="1:6" s="4225" customFormat="1" ht="14.25" customHeight="1">
      <c r="A777" s="4392">
        <v>6.2</v>
      </c>
      <c r="B777" s="4230" t="s">
        <v>3715</v>
      </c>
      <c r="C777" s="4231">
        <v>2</v>
      </c>
      <c r="D777" s="4232" t="s">
        <v>2433</v>
      </c>
      <c r="E777" s="4233"/>
      <c r="F777" s="4233">
        <f t="shared" si="35"/>
        <v>0</v>
      </c>
    </row>
    <row r="778" spans="1:6" s="4225" customFormat="1" ht="14.25" customHeight="1">
      <c r="A778" s="4392">
        <v>6.3</v>
      </c>
      <c r="B778" s="4230" t="s">
        <v>3716</v>
      </c>
      <c r="C778" s="4231">
        <v>5</v>
      </c>
      <c r="D778" s="4232" t="s">
        <v>2433</v>
      </c>
      <c r="E778" s="4233"/>
      <c r="F778" s="4233">
        <f t="shared" si="35"/>
        <v>0</v>
      </c>
    </row>
    <row r="779" spans="1:6" s="4225" customFormat="1" ht="14.25" customHeight="1">
      <c r="A779" s="4392">
        <v>6.4</v>
      </c>
      <c r="B779" s="4230" t="s">
        <v>3717</v>
      </c>
      <c r="C779" s="4231">
        <v>1</v>
      </c>
      <c r="D779" s="4232" t="s">
        <v>2433</v>
      </c>
      <c r="E779" s="4233"/>
      <c r="F779" s="4233">
        <f t="shared" si="35"/>
        <v>0</v>
      </c>
    </row>
    <row r="780" spans="1:6" s="4225" customFormat="1" ht="14.25" customHeight="1">
      <c r="A780" s="4392">
        <v>6.5</v>
      </c>
      <c r="B780" s="4230" t="s">
        <v>3776</v>
      </c>
      <c r="C780" s="4231">
        <v>2</v>
      </c>
      <c r="D780" s="4232" t="s">
        <v>2433</v>
      </c>
      <c r="E780" s="4233"/>
      <c r="F780" s="4233">
        <f t="shared" si="35"/>
        <v>0</v>
      </c>
    </row>
    <row r="781" spans="1:6" s="4225" customFormat="1" ht="14.25" customHeight="1">
      <c r="A781" s="4392">
        <v>6.6</v>
      </c>
      <c r="B781" s="4230" t="s">
        <v>3718</v>
      </c>
      <c r="C781" s="4231">
        <v>1</v>
      </c>
      <c r="D781" s="4232" t="s">
        <v>2433</v>
      </c>
      <c r="E781" s="4233"/>
      <c r="F781" s="4233">
        <f t="shared" si="35"/>
        <v>0</v>
      </c>
    </row>
    <row r="782" spans="1:6" s="4225" customFormat="1" ht="14.25" customHeight="1">
      <c r="A782" s="4388"/>
      <c r="B782" s="4230"/>
      <c r="C782" s="4231"/>
      <c r="D782" s="4249"/>
      <c r="E782" s="4233"/>
      <c r="F782" s="4233" t="str">
        <f t="shared" si="35"/>
        <v xml:space="preserve"> </v>
      </c>
    </row>
    <row r="783" spans="1:6" s="4260" customFormat="1" ht="15" customHeight="1">
      <c r="A783" s="4389">
        <v>7</v>
      </c>
      <c r="B783" s="4342" t="s">
        <v>3507</v>
      </c>
      <c r="C783" s="4257"/>
      <c r="D783" s="4270"/>
      <c r="E783" s="4258"/>
      <c r="F783" s="4258" t="str">
        <f t="shared" si="35"/>
        <v xml:space="preserve"> </v>
      </c>
    </row>
    <row r="784" spans="1:6" ht="14.25" customHeight="1">
      <c r="A784" s="4392">
        <v>7.1</v>
      </c>
      <c r="B784" s="4230" t="s">
        <v>3508</v>
      </c>
      <c r="C784" s="4231">
        <v>2</v>
      </c>
      <c r="D784" s="4232" t="s">
        <v>2433</v>
      </c>
      <c r="E784" s="4233"/>
      <c r="F784" s="4233">
        <f t="shared" si="35"/>
        <v>0</v>
      </c>
    </row>
    <row r="785" spans="1:6" s="4266" customFormat="1" ht="12.75" customHeight="1">
      <c r="A785" s="4304"/>
      <c r="B785" s="4304" t="s">
        <v>3656</v>
      </c>
      <c r="C785" s="4305"/>
      <c r="D785" s="4305"/>
      <c r="E785" s="4305"/>
      <c r="F785" s="4307">
        <f>SUM(F731:F784)</f>
        <v>0</v>
      </c>
    </row>
    <row r="786" spans="1:6" s="4266" customFormat="1" ht="12.75" customHeight="1">
      <c r="A786" s="4333"/>
      <c r="B786" s="4333"/>
      <c r="C786" s="4334"/>
      <c r="D786" s="4334"/>
      <c r="E786" s="4334"/>
      <c r="F786" s="4405"/>
    </row>
    <row r="787" spans="1:6" s="4266" customFormat="1" ht="12.75" customHeight="1">
      <c r="A787" s="4333" t="s">
        <v>2596</v>
      </c>
      <c r="B787" s="3435" t="s">
        <v>3928</v>
      </c>
      <c r="C787" s="4334"/>
      <c r="D787" s="4334"/>
      <c r="E787" s="4334"/>
      <c r="F787" s="4405"/>
    </row>
    <row r="788" spans="1:6" s="4225" customFormat="1" ht="15" customHeight="1">
      <c r="A788" s="4389">
        <v>1</v>
      </c>
      <c r="B788" s="4342" t="s">
        <v>3779</v>
      </c>
      <c r="C788" s="3538"/>
      <c r="D788" s="4263"/>
      <c r="E788" s="4233"/>
      <c r="F788" s="4233" t="str">
        <f t="shared" si="35"/>
        <v xml:space="preserve"> </v>
      </c>
    </row>
    <row r="789" spans="1:6" ht="14.25" customHeight="1">
      <c r="A789" s="4392">
        <v>1.1000000000000001</v>
      </c>
      <c r="B789" s="4230" t="s">
        <v>3777</v>
      </c>
      <c r="C789" s="4231">
        <v>196.08</v>
      </c>
      <c r="D789" s="4249" t="s">
        <v>2430</v>
      </c>
      <c r="E789" s="4233"/>
      <c r="F789" s="4233">
        <f t="shared" si="35"/>
        <v>0</v>
      </c>
    </row>
    <row r="790" spans="1:6" ht="14.25" customHeight="1">
      <c r="A790" s="4392">
        <v>1.2</v>
      </c>
      <c r="B790" s="4230" t="s">
        <v>3119</v>
      </c>
      <c r="C790" s="4231">
        <v>163.4</v>
      </c>
      <c r="D790" s="4249" t="s">
        <v>2430</v>
      </c>
      <c r="E790" s="4233"/>
      <c r="F790" s="4233">
        <f t="shared" si="35"/>
        <v>0</v>
      </c>
    </row>
    <row r="791" spans="1:6" ht="14.25" customHeight="1">
      <c r="A791" s="4392">
        <v>1.3</v>
      </c>
      <c r="B791" s="4230" t="s">
        <v>3188</v>
      </c>
      <c r="C791" s="4231">
        <v>163.4</v>
      </c>
      <c r="D791" s="4249" t="s">
        <v>2431</v>
      </c>
      <c r="E791" s="4233"/>
      <c r="F791" s="4233">
        <f t="shared" si="35"/>
        <v>0</v>
      </c>
    </row>
    <row r="792" spans="1:6" ht="14.25" customHeight="1">
      <c r="A792" s="4392">
        <v>1.4</v>
      </c>
      <c r="B792" s="4230" t="s">
        <v>3778</v>
      </c>
      <c r="C792" s="4231">
        <v>817</v>
      </c>
      <c r="D792" s="4249" t="s">
        <v>2432</v>
      </c>
      <c r="E792" s="4233"/>
      <c r="F792" s="4233">
        <f t="shared" si="35"/>
        <v>0</v>
      </c>
    </row>
    <row r="793" spans="1:6" s="4236" customFormat="1" ht="14.25" customHeight="1">
      <c r="A793" s="4392">
        <v>1.5</v>
      </c>
      <c r="B793" s="4230" t="s">
        <v>4012</v>
      </c>
      <c r="C793" s="4231">
        <v>817</v>
      </c>
      <c r="D793" s="4249" t="s">
        <v>2432</v>
      </c>
      <c r="E793" s="4233"/>
      <c r="F793" s="4233">
        <f t="shared" si="35"/>
        <v>0</v>
      </c>
    </row>
    <row r="794" spans="1:6" ht="14.25" customHeight="1">
      <c r="A794" s="4392">
        <v>1.6</v>
      </c>
      <c r="B794" s="4230" t="s">
        <v>3962</v>
      </c>
      <c r="C794" s="4231">
        <v>3890.96</v>
      </c>
      <c r="D794" s="4249" t="s">
        <v>3960</v>
      </c>
      <c r="E794" s="4233"/>
      <c r="F794" s="4233">
        <f t="shared" si="35"/>
        <v>0</v>
      </c>
    </row>
    <row r="795" spans="1:6" ht="14.25" customHeight="1">
      <c r="A795" s="4388"/>
      <c r="B795" s="4230"/>
      <c r="C795" s="4231"/>
      <c r="D795" s="4249"/>
      <c r="E795" s="4233"/>
      <c r="F795" s="4233"/>
    </row>
    <row r="796" spans="1:6" ht="14.25" customHeight="1">
      <c r="A796" s="4389">
        <v>2</v>
      </c>
      <c r="B796" s="4230" t="s">
        <v>3961</v>
      </c>
      <c r="C796" s="4231">
        <v>1220.55</v>
      </c>
      <c r="D796" s="4232" t="s">
        <v>2432</v>
      </c>
      <c r="E796" s="4233"/>
      <c r="F796" s="4233">
        <f t="shared" ref="F796:F859" si="36">IF(C796&gt;0,(ROUND((E796*C796),2))," ")</f>
        <v>0</v>
      </c>
    </row>
    <row r="797" spans="1:6" ht="14.25" customHeight="1">
      <c r="A797" s="4389">
        <v>3</v>
      </c>
      <c r="B797" s="4230" t="s">
        <v>2346</v>
      </c>
      <c r="C797" s="4231">
        <v>245.67</v>
      </c>
      <c r="D797" s="4232" t="s">
        <v>2432</v>
      </c>
      <c r="E797" s="4233"/>
      <c r="F797" s="4233">
        <f t="shared" si="36"/>
        <v>0</v>
      </c>
    </row>
    <row r="798" spans="1:6" ht="14.25" customHeight="1">
      <c r="A798" s="4389">
        <v>5</v>
      </c>
      <c r="B798" s="3432" t="s">
        <v>3555</v>
      </c>
      <c r="C798" s="4231">
        <v>116</v>
      </c>
      <c r="D798" s="4249" t="s">
        <v>1</v>
      </c>
      <c r="E798" s="4233"/>
      <c r="F798" s="4233">
        <f>IF(C798&gt;0,(ROUND((E798*C798),2))," ")</f>
        <v>0</v>
      </c>
    </row>
    <row r="799" spans="1:6" ht="14.25" customHeight="1">
      <c r="A799" s="4389">
        <v>4</v>
      </c>
      <c r="B799" s="3432" t="s">
        <v>3721</v>
      </c>
      <c r="C799" s="4231">
        <v>341.07</v>
      </c>
      <c r="D799" s="4249" t="s">
        <v>2432</v>
      </c>
      <c r="E799" s="4233"/>
      <c r="F799" s="4233">
        <f t="shared" si="36"/>
        <v>0</v>
      </c>
    </row>
    <row r="800" spans="1:6" s="4236" customFormat="1" ht="14.25" customHeight="1">
      <c r="A800" s="4389">
        <v>5</v>
      </c>
      <c r="B800" s="3432" t="s">
        <v>4013</v>
      </c>
      <c r="C800" s="4434">
        <v>47.9</v>
      </c>
      <c r="D800" s="4435" t="s">
        <v>1</v>
      </c>
      <c r="E800" s="4436"/>
      <c r="F800" s="4233">
        <f t="shared" si="36"/>
        <v>0</v>
      </c>
    </row>
    <row r="801" spans="1:6" s="4260" customFormat="1" ht="14.25" customHeight="1">
      <c r="A801" s="4389">
        <v>6</v>
      </c>
      <c r="B801" s="4230" t="s">
        <v>4014</v>
      </c>
      <c r="C801" s="4246">
        <v>1</v>
      </c>
      <c r="D801" s="4217" t="s">
        <v>42</v>
      </c>
      <c r="E801" s="1263"/>
      <c r="F801" s="1263">
        <f t="shared" ref="F801" si="37">+ROUND((E801*C801),2)</f>
        <v>0</v>
      </c>
    </row>
    <row r="802" spans="1:6" s="4260" customFormat="1" ht="14.25" customHeight="1">
      <c r="A802" s="4437"/>
      <c r="B802" s="4438"/>
      <c r="C802" s="4439"/>
      <c r="D802" s="4440"/>
      <c r="E802" s="4441"/>
      <c r="F802" s="4233"/>
    </row>
    <row r="803" spans="1:6" s="4266" customFormat="1" ht="12.75" customHeight="1">
      <c r="A803" s="4304"/>
      <c r="B803" s="4304" t="s">
        <v>3929</v>
      </c>
      <c r="C803" s="4305"/>
      <c r="D803" s="4305"/>
      <c r="E803" s="4305"/>
      <c r="F803" s="4307">
        <f>SUM(F789:F801)</f>
        <v>0</v>
      </c>
    </row>
    <row r="804" spans="1:6" ht="15" customHeight="1" outlineLevel="1">
      <c r="A804" s="4393"/>
      <c r="B804" s="3435"/>
      <c r="C804" s="3538"/>
      <c r="D804" s="4263"/>
      <c r="E804" s="4233"/>
      <c r="F804" s="4264" t="str">
        <f t="shared" si="36"/>
        <v xml:space="preserve"> </v>
      </c>
    </row>
    <row r="805" spans="1:6" s="4340" customFormat="1" ht="15">
      <c r="A805" s="4408" t="s">
        <v>2561</v>
      </c>
      <c r="B805" s="3435" t="s">
        <v>3930</v>
      </c>
      <c r="C805" s="4337"/>
      <c r="D805" s="4338"/>
      <c r="E805" s="4339"/>
      <c r="F805" s="4339" t="str">
        <f t="shared" si="36"/>
        <v xml:space="preserve"> </v>
      </c>
    </row>
    <row r="806" spans="1:6" ht="15" customHeight="1">
      <c r="A806" s="4409">
        <v>1</v>
      </c>
      <c r="B806" s="4343" t="s">
        <v>2629</v>
      </c>
      <c r="C806" s="4280"/>
      <c r="D806" s="4249"/>
      <c r="E806" s="4233"/>
      <c r="F806" s="4233" t="str">
        <f t="shared" si="36"/>
        <v xml:space="preserve"> </v>
      </c>
    </row>
    <row r="807" spans="1:6" ht="14.25" customHeight="1">
      <c r="A807" s="4392">
        <v>1.1000000000000001</v>
      </c>
      <c r="B807" s="4230" t="s">
        <v>3661</v>
      </c>
      <c r="C807" s="4281">
        <v>8</v>
      </c>
      <c r="D807" s="4232" t="s">
        <v>2433</v>
      </c>
      <c r="E807" s="4282"/>
      <c r="F807" s="4233">
        <f t="shared" si="36"/>
        <v>0</v>
      </c>
    </row>
    <row r="808" spans="1:6" ht="14.25" customHeight="1">
      <c r="A808" s="4392">
        <v>1.2</v>
      </c>
      <c r="B808" s="4230" t="s">
        <v>3662</v>
      </c>
      <c r="C808" s="4283">
        <v>12</v>
      </c>
      <c r="D808" s="4232" t="s">
        <v>2433</v>
      </c>
      <c r="E808" s="4282"/>
      <c r="F808" s="4233">
        <f t="shared" si="36"/>
        <v>0</v>
      </c>
    </row>
    <row r="809" spans="1:6" ht="14.25" customHeight="1">
      <c r="A809" s="4392">
        <v>1.3</v>
      </c>
      <c r="B809" s="4230" t="s">
        <v>2425</v>
      </c>
      <c r="C809" s="4281">
        <v>800</v>
      </c>
      <c r="D809" s="4249" t="s">
        <v>1</v>
      </c>
      <c r="E809" s="4282"/>
      <c r="F809" s="4233">
        <f t="shared" si="36"/>
        <v>0</v>
      </c>
    </row>
    <row r="810" spans="1:6" ht="14.25" customHeight="1">
      <c r="A810" s="4392">
        <v>1.4</v>
      </c>
      <c r="B810" s="4230" t="s">
        <v>3674</v>
      </c>
      <c r="C810" s="4281">
        <v>8</v>
      </c>
      <c r="D810" s="4232" t="s">
        <v>2433</v>
      </c>
      <c r="E810" s="4282"/>
      <c r="F810" s="4233">
        <f t="shared" si="36"/>
        <v>0</v>
      </c>
    </row>
    <row r="811" spans="1:6" ht="14.25" customHeight="1">
      <c r="A811" s="4449">
        <v>1.5</v>
      </c>
      <c r="B811" s="4450" t="s">
        <v>3673</v>
      </c>
      <c r="C811" s="4484">
        <v>8</v>
      </c>
      <c r="D811" s="4452" t="s">
        <v>2433</v>
      </c>
      <c r="E811" s="4485"/>
      <c r="F811" s="4466">
        <f t="shared" si="36"/>
        <v>0</v>
      </c>
    </row>
    <row r="812" spans="1:6" ht="14.25" customHeight="1">
      <c r="A812" s="4410"/>
      <c r="B812" s="4230"/>
      <c r="C812" s="4280"/>
      <c r="D812" s="4249"/>
      <c r="E812" s="4233"/>
      <c r="F812" s="4233" t="str">
        <f t="shared" si="36"/>
        <v xml:space="preserve"> </v>
      </c>
    </row>
    <row r="813" spans="1:6" ht="15" customHeight="1">
      <c r="A813" s="4411">
        <v>2</v>
      </c>
      <c r="B813" s="4343" t="s">
        <v>3945</v>
      </c>
      <c r="C813" s="4280"/>
      <c r="D813" s="4249"/>
      <c r="E813" s="4233"/>
      <c r="F813" s="4233" t="str">
        <f t="shared" si="36"/>
        <v xml:space="preserve"> </v>
      </c>
    </row>
    <row r="814" spans="1:6" ht="14.25" customHeight="1">
      <c r="A814" s="4392">
        <v>2.1</v>
      </c>
      <c r="B814" s="4230" t="s">
        <v>3657</v>
      </c>
      <c r="C814" s="4231">
        <v>1</v>
      </c>
      <c r="D814" s="4232" t="s">
        <v>2433</v>
      </c>
      <c r="E814" s="4233"/>
      <c r="F814" s="4233">
        <f t="shared" si="36"/>
        <v>0</v>
      </c>
    </row>
    <row r="815" spans="1:6" ht="14.25" customHeight="1">
      <c r="A815" s="4392">
        <v>2.2000000000000002</v>
      </c>
      <c r="B815" s="4230" t="s">
        <v>3658</v>
      </c>
      <c r="C815" s="4231">
        <v>8</v>
      </c>
      <c r="D815" s="4232" t="s">
        <v>2433</v>
      </c>
      <c r="E815" s="4233"/>
      <c r="F815" s="4233">
        <f t="shared" si="36"/>
        <v>0</v>
      </c>
    </row>
    <row r="816" spans="1:6" ht="14.25" customHeight="1">
      <c r="A816" s="4392">
        <v>2.2999999999999998</v>
      </c>
      <c r="B816" s="4230" t="s">
        <v>3659</v>
      </c>
      <c r="C816" s="4231">
        <v>3000</v>
      </c>
      <c r="D816" s="4249" t="s">
        <v>3956</v>
      </c>
      <c r="E816" s="4233"/>
      <c r="F816" s="4233">
        <f t="shared" si="36"/>
        <v>0</v>
      </c>
    </row>
    <row r="817" spans="1:6" ht="14.25" customHeight="1">
      <c r="A817" s="4392">
        <v>2.4</v>
      </c>
      <c r="B817" s="4230" t="s">
        <v>3660</v>
      </c>
      <c r="C817" s="4231">
        <v>3</v>
      </c>
      <c r="D817" s="4232" t="s">
        <v>2433</v>
      </c>
      <c r="E817" s="4233"/>
      <c r="F817" s="4233">
        <f t="shared" si="36"/>
        <v>0</v>
      </c>
    </row>
    <row r="818" spans="1:6" ht="14.25" customHeight="1">
      <c r="A818" s="4392">
        <v>2.5</v>
      </c>
      <c r="B818" s="4230" t="s">
        <v>3663</v>
      </c>
      <c r="C818" s="4231">
        <v>1</v>
      </c>
      <c r="D818" s="4232" t="s">
        <v>2433</v>
      </c>
      <c r="E818" s="4233"/>
      <c r="F818" s="4233">
        <f t="shared" si="36"/>
        <v>0</v>
      </c>
    </row>
    <row r="819" spans="1:6" ht="14.25" customHeight="1">
      <c r="A819" s="4392">
        <v>2.6</v>
      </c>
      <c r="B819" s="4230" t="s">
        <v>3664</v>
      </c>
      <c r="C819" s="4231">
        <v>4</v>
      </c>
      <c r="D819" s="4232" t="s">
        <v>2433</v>
      </c>
      <c r="E819" s="4233"/>
      <c r="F819" s="4233">
        <f t="shared" si="36"/>
        <v>0</v>
      </c>
    </row>
    <row r="820" spans="1:6" ht="14.25" customHeight="1">
      <c r="A820" s="4392">
        <v>2.7</v>
      </c>
      <c r="B820" s="4230" t="s">
        <v>3665</v>
      </c>
      <c r="C820" s="4231">
        <v>1</v>
      </c>
      <c r="D820" s="4232" t="s">
        <v>2433</v>
      </c>
      <c r="E820" s="4233"/>
      <c r="F820" s="4233">
        <f t="shared" si="36"/>
        <v>0</v>
      </c>
    </row>
    <row r="821" spans="1:6" ht="14.25" customHeight="1">
      <c r="A821" s="4392">
        <v>2.8</v>
      </c>
      <c r="B821" s="4230" t="s">
        <v>3932</v>
      </c>
      <c r="C821" s="4231">
        <v>10</v>
      </c>
      <c r="D821" s="4232" t="s">
        <v>2433</v>
      </c>
      <c r="E821" s="4233"/>
      <c r="F821" s="4233">
        <f t="shared" si="36"/>
        <v>0</v>
      </c>
    </row>
    <row r="822" spans="1:6" ht="14.25" customHeight="1">
      <c r="A822" s="4392">
        <v>2.9</v>
      </c>
      <c r="B822" s="4230" t="s">
        <v>3666</v>
      </c>
      <c r="C822" s="4231">
        <v>9</v>
      </c>
      <c r="D822" s="4232" t="s">
        <v>2433</v>
      </c>
      <c r="E822" s="4233"/>
      <c r="F822" s="4233">
        <f t="shared" si="36"/>
        <v>0</v>
      </c>
    </row>
    <row r="823" spans="1:6" ht="14.25" customHeight="1">
      <c r="A823" s="4388">
        <v>2.1</v>
      </c>
      <c r="B823" s="4230" t="s">
        <v>3667</v>
      </c>
      <c r="C823" s="4231">
        <v>9</v>
      </c>
      <c r="D823" s="4232" t="s">
        <v>2433</v>
      </c>
      <c r="E823" s="4233"/>
      <c r="F823" s="4233">
        <f t="shared" si="36"/>
        <v>0</v>
      </c>
    </row>
    <row r="824" spans="1:6" ht="14.25" customHeight="1">
      <c r="A824" s="4388">
        <v>2.11</v>
      </c>
      <c r="B824" s="4230" t="s">
        <v>3668</v>
      </c>
      <c r="C824" s="4231">
        <v>1</v>
      </c>
      <c r="D824" s="4232" t="s">
        <v>2433</v>
      </c>
      <c r="E824" s="4233"/>
      <c r="F824" s="4233">
        <f t="shared" si="36"/>
        <v>0</v>
      </c>
    </row>
    <row r="825" spans="1:6" ht="14.25" customHeight="1">
      <c r="A825" s="4388">
        <v>2.12</v>
      </c>
      <c r="B825" s="4230" t="s">
        <v>3669</v>
      </c>
      <c r="C825" s="4231">
        <v>9</v>
      </c>
      <c r="D825" s="4232" t="s">
        <v>2433</v>
      </c>
      <c r="E825" s="4233"/>
      <c r="F825" s="4233">
        <f t="shared" si="36"/>
        <v>0</v>
      </c>
    </row>
    <row r="826" spans="1:6" ht="14.25" customHeight="1">
      <c r="A826" s="4388">
        <v>2.13</v>
      </c>
      <c r="B826" s="4230" t="s">
        <v>3670</v>
      </c>
      <c r="C826" s="4231">
        <v>1</v>
      </c>
      <c r="D826" s="4232" t="s">
        <v>2433</v>
      </c>
      <c r="E826" s="4233"/>
      <c r="F826" s="4233">
        <f t="shared" si="36"/>
        <v>0</v>
      </c>
    </row>
    <row r="827" spans="1:6" ht="14.25" customHeight="1">
      <c r="A827" s="4388">
        <v>2.14</v>
      </c>
      <c r="B827" s="4230" t="s">
        <v>3671</v>
      </c>
      <c r="C827" s="4231">
        <v>1</v>
      </c>
      <c r="D827" s="4232" t="s">
        <v>2433</v>
      </c>
      <c r="E827" s="4233"/>
      <c r="F827" s="4233">
        <f t="shared" si="36"/>
        <v>0</v>
      </c>
    </row>
    <row r="828" spans="1:6" ht="14.25" customHeight="1">
      <c r="A828" s="4388">
        <v>2.15</v>
      </c>
      <c r="B828" s="4230" t="s">
        <v>3672</v>
      </c>
      <c r="C828" s="4231">
        <v>2</v>
      </c>
      <c r="D828" s="4232" t="s">
        <v>2433</v>
      </c>
      <c r="E828" s="4233"/>
      <c r="F828" s="4233">
        <f t="shared" si="36"/>
        <v>0</v>
      </c>
    </row>
    <row r="829" spans="1:6" ht="14.25" customHeight="1">
      <c r="A829" s="4388">
        <v>2.16</v>
      </c>
      <c r="B829" s="4230" t="s">
        <v>3673</v>
      </c>
      <c r="C829" s="4231">
        <v>9</v>
      </c>
      <c r="D829" s="4232" t="s">
        <v>2433</v>
      </c>
      <c r="E829" s="4233"/>
      <c r="F829" s="4233">
        <f t="shared" si="36"/>
        <v>0</v>
      </c>
    </row>
    <row r="830" spans="1:6" ht="14.25" customHeight="1">
      <c r="A830" s="4388">
        <v>2.17</v>
      </c>
      <c r="B830" s="4230" t="s">
        <v>3674</v>
      </c>
      <c r="C830" s="4231">
        <v>9</v>
      </c>
      <c r="D830" s="4232" t="s">
        <v>2433</v>
      </c>
      <c r="E830" s="4233"/>
      <c r="F830" s="4233">
        <f t="shared" si="36"/>
        <v>0</v>
      </c>
    </row>
    <row r="831" spans="1:6" ht="14.25" customHeight="1">
      <c r="A831" s="4388">
        <v>2.1800000000000002</v>
      </c>
      <c r="B831" s="4230" t="s">
        <v>3931</v>
      </c>
      <c r="C831" s="4231">
        <v>10</v>
      </c>
      <c r="D831" s="4232" t="s">
        <v>2433</v>
      </c>
      <c r="E831" s="4233"/>
      <c r="F831" s="4233">
        <f t="shared" si="36"/>
        <v>0</v>
      </c>
    </row>
    <row r="832" spans="1:6" ht="14.25" customHeight="1">
      <c r="A832" s="4388">
        <v>2.19</v>
      </c>
      <c r="B832" s="4230" t="s">
        <v>2426</v>
      </c>
      <c r="C832" s="4231">
        <v>1</v>
      </c>
      <c r="D832" s="4232" t="s">
        <v>2433</v>
      </c>
      <c r="E832" s="4233"/>
      <c r="F832" s="4233">
        <f t="shared" si="36"/>
        <v>0</v>
      </c>
    </row>
    <row r="833" spans="1:6" ht="14.25" customHeight="1">
      <c r="A833" s="4410"/>
      <c r="B833" s="4230"/>
      <c r="C833" s="4280"/>
      <c r="D833" s="4249"/>
      <c r="E833" s="4233"/>
      <c r="F833" s="4233" t="str">
        <f t="shared" si="36"/>
        <v xml:space="preserve"> </v>
      </c>
    </row>
    <row r="834" spans="1:6" ht="15" customHeight="1">
      <c r="A834" s="4411">
        <v>3</v>
      </c>
      <c r="B834" s="4343" t="s">
        <v>3946</v>
      </c>
      <c r="C834" s="4280"/>
      <c r="D834" s="4249"/>
      <c r="E834" s="4233"/>
      <c r="F834" s="4233" t="str">
        <f t="shared" si="36"/>
        <v xml:space="preserve"> </v>
      </c>
    </row>
    <row r="835" spans="1:6" ht="42.75" customHeight="1">
      <c r="A835" s="4392">
        <v>3.1</v>
      </c>
      <c r="B835" s="4230" t="s">
        <v>3688</v>
      </c>
      <c r="C835" s="4231">
        <v>14</v>
      </c>
      <c r="D835" s="4249" t="s">
        <v>1</v>
      </c>
      <c r="E835" s="4233"/>
      <c r="F835" s="4233">
        <f t="shared" si="36"/>
        <v>0</v>
      </c>
    </row>
    <row r="836" spans="1:6" ht="42.75" customHeight="1">
      <c r="A836" s="4392">
        <v>3.2</v>
      </c>
      <c r="B836" s="4230" t="s">
        <v>4027</v>
      </c>
      <c r="C836" s="4231">
        <v>4</v>
      </c>
      <c r="D836" s="4249" t="s">
        <v>1</v>
      </c>
      <c r="E836" s="4233"/>
      <c r="F836" s="4233">
        <f t="shared" si="36"/>
        <v>0</v>
      </c>
    </row>
    <row r="837" spans="1:6" ht="42.75" customHeight="1">
      <c r="A837" s="4392">
        <v>3.3</v>
      </c>
      <c r="B837" s="4230" t="s">
        <v>3689</v>
      </c>
      <c r="C837" s="4231">
        <v>4</v>
      </c>
      <c r="D837" s="4249" t="s">
        <v>1</v>
      </c>
      <c r="E837" s="4233"/>
      <c r="F837" s="4233">
        <f t="shared" si="36"/>
        <v>0</v>
      </c>
    </row>
    <row r="838" spans="1:6" ht="42.75" customHeight="1">
      <c r="A838" s="4392">
        <v>3.4</v>
      </c>
      <c r="B838" s="4230" t="s">
        <v>3690</v>
      </c>
      <c r="C838" s="4231">
        <v>20</v>
      </c>
      <c r="D838" s="4249" t="s">
        <v>1</v>
      </c>
      <c r="E838" s="4233"/>
      <c r="F838" s="4233">
        <f t="shared" si="36"/>
        <v>0</v>
      </c>
    </row>
    <row r="839" spans="1:6" ht="42.75" customHeight="1">
      <c r="A839" s="4392">
        <v>3.5</v>
      </c>
      <c r="B839" s="4230" t="s">
        <v>3691</v>
      </c>
      <c r="C839" s="4231">
        <v>20</v>
      </c>
      <c r="D839" s="4249" t="s">
        <v>1</v>
      </c>
      <c r="E839" s="4233"/>
      <c r="F839" s="4233">
        <f t="shared" si="36"/>
        <v>0</v>
      </c>
    </row>
    <row r="840" spans="1:6" ht="42.75" customHeight="1">
      <c r="A840" s="4392">
        <v>3.6</v>
      </c>
      <c r="B840" s="4230" t="s">
        <v>3692</v>
      </c>
      <c r="C840" s="4231">
        <v>4</v>
      </c>
      <c r="D840" s="4249" t="s">
        <v>1</v>
      </c>
      <c r="E840" s="4233"/>
      <c r="F840" s="4233">
        <f t="shared" si="36"/>
        <v>0</v>
      </c>
    </row>
    <row r="841" spans="1:6" ht="42.75" customHeight="1">
      <c r="A841" s="4392">
        <v>3.7</v>
      </c>
      <c r="B841" s="4230" t="s">
        <v>3693</v>
      </c>
      <c r="C841" s="4231">
        <v>30</v>
      </c>
      <c r="D841" s="4249" t="s">
        <v>1</v>
      </c>
      <c r="E841" s="4233"/>
      <c r="F841" s="4233">
        <f t="shared" si="36"/>
        <v>0</v>
      </c>
    </row>
    <row r="842" spans="1:6" ht="42.75" customHeight="1">
      <c r="A842" s="4392">
        <v>3.8</v>
      </c>
      <c r="B842" s="4230" t="s">
        <v>3694</v>
      </c>
      <c r="C842" s="4231">
        <v>30</v>
      </c>
      <c r="D842" s="4249" t="s">
        <v>1</v>
      </c>
      <c r="E842" s="4233"/>
      <c r="F842" s="4233">
        <f t="shared" si="36"/>
        <v>0</v>
      </c>
    </row>
    <row r="843" spans="1:6" ht="42.75" customHeight="1">
      <c r="A843" s="4392">
        <v>3.9</v>
      </c>
      <c r="B843" s="4230" t="s">
        <v>3695</v>
      </c>
      <c r="C843" s="4231">
        <v>20</v>
      </c>
      <c r="D843" s="4249" t="s">
        <v>1</v>
      </c>
      <c r="E843" s="4233"/>
      <c r="F843" s="4233">
        <f t="shared" si="36"/>
        <v>0</v>
      </c>
    </row>
    <row r="844" spans="1:6" ht="14.25" customHeight="1">
      <c r="A844" s="4454">
        <v>3.1</v>
      </c>
      <c r="B844" s="4450" t="s">
        <v>3696</v>
      </c>
      <c r="C844" s="4464">
        <v>1</v>
      </c>
      <c r="D844" s="4452" t="s">
        <v>2433</v>
      </c>
      <c r="E844" s="4466"/>
      <c r="F844" s="4466">
        <f t="shared" si="36"/>
        <v>0</v>
      </c>
    </row>
    <row r="845" spans="1:6" ht="42.75" customHeight="1">
      <c r="A845" s="4388">
        <v>3.11</v>
      </c>
      <c r="B845" s="4230" t="s">
        <v>3697</v>
      </c>
      <c r="C845" s="4231">
        <v>1</v>
      </c>
      <c r="D845" s="4232" t="s">
        <v>2433</v>
      </c>
      <c r="E845" s="4233"/>
      <c r="F845" s="4233">
        <f t="shared" si="36"/>
        <v>0</v>
      </c>
    </row>
    <row r="846" spans="1:6" ht="14.25" customHeight="1">
      <c r="A846" s="4388">
        <v>3.12</v>
      </c>
      <c r="B846" s="4230" t="s">
        <v>2630</v>
      </c>
      <c r="C846" s="4231">
        <v>2</v>
      </c>
      <c r="D846" s="4232" t="s">
        <v>2433</v>
      </c>
      <c r="E846" s="4233"/>
      <c r="F846" s="4233">
        <f t="shared" si="36"/>
        <v>0</v>
      </c>
    </row>
    <row r="847" spans="1:6" ht="14.25" customHeight="1">
      <c r="A847" s="4388">
        <v>3.13</v>
      </c>
      <c r="B847" s="4230" t="s">
        <v>2427</v>
      </c>
      <c r="C847" s="4231">
        <v>1</v>
      </c>
      <c r="D847" s="4232" t="s">
        <v>2433</v>
      </c>
      <c r="E847" s="4233"/>
      <c r="F847" s="4233">
        <f t="shared" si="36"/>
        <v>0</v>
      </c>
    </row>
    <row r="848" spans="1:6" ht="14.25" customHeight="1">
      <c r="A848" s="4388">
        <v>3.14</v>
      </c>
      <c r="B848" s="4230" t="s">
        <v>2631</v>
      </c>
      <c r="C848" s="4231">
        <v>1</v>
      </c>
      <c r="D848" s="4232" t="s">
        <v>2433</v>
      </c>
      <c r="E848" s="4233"/>
      <c r="F848" s="4233">
        <f t="shared" si="36"/>
        <v>0</v>
      </c>
    </row>
    <row r="849" spans="1:6" ht="14.25" customHeight="1">
      <c r="A849" s="4388">
        <v>3.15</v>
      </c>
      <c r="B849" s="4230" t="s">
        <v>2632</v>
      </c>
      <c r="C849" s="4231">
        <v>1</v>
      </c>
      <c r="D849" s="4232" t="s">
        <v>2433</v>
      </c>
      <c r="E849" s="4233"/>
      <c r="F849" s="4233">
        <f t="shared" si="36"/>
        <v>0</v>
      </c>
    </row>
    <row r="850" spans="1:6" ht="14.25" customHeight="1">
      <c r="A850" s="4388">
        <v>3.16</v>
      </c>
      <c r="B850" s="4230" t="s">
        <v>3698</v>
      </c>
      <c r="C850" s="4231">
        <v>7</v>
      </c>
      <c r="D850" s="4232" t="s">
        <v>2433</v>
      </c>
      <c r="E850" s="4233"/>
      <c r="F850" s="4233">
        <f t="shared" si="36"/>
        <v>0</v>
      </c>
    </row>
    <row r="851" spans="1:6" ht="14.25" customHeight="1">
      <c r="A851" s="4388">
        <v>3.17</v>
      </c>
      <c r="B851" s="4230" t="s">
        <v>3699</v>
      </c>
      <c r="C851" s="4231">
        <v>1</v>
      </c>
      <c r="D851" s="4232" t="s">
        <v>2433</v>
      </c>
      <c r="E851" s="4233"/>
      <c r="F851" s="4233">
        <f t="shared" si="36"/>
        <v>0</v>
      </c>
    </row>
    <row r="852" spans="1:6" ht="14.25" customHeight="1">
      <c r="A852" s="4388">
        <v>3.18</v>
      </c>
      <c r="B852" s="4230" t="s">
        <v>3700</v>
      </c>
      <c r="C852" s="4231">
        <v>1</v>
      </c>
      <c r="D852" s="4232" t="s">
        <v>2433</v>
      </c>
      <c r="E852" s="4233"/>
      <c r="F852" s="4233">
        <f t="shared" si="36"/>
        <v>0</v>
      </c>
    </row>
    <row r="853" spans="1:6" ht="14.25" customHeight="1">
      <c r="A853" s="4388">
        <v>3.19</v>
      </c>
      <c r="B853" s="4230" t="s">
        <v>2428</v>
      </c>
      <c r="C853" s="4231">
        <v>1</v>
      </c>
      <c r="D853" s="4232" t="s">
        <v>2433</v>
      </c>
      <c r="E853" s="4233"/>
      <c r="F853" s="4233">
        <f t="shared" si="36"/>
        <v>0</v>
      </c>
    </row>
    <row r="854" spans="1:6" ht="14.25" customHeight="1">
      <c r="A854" s="4388"/>
      <c r="B854" s="4230"/>
      <c r="C854" s="4231"/>
      <c r="D854" s="4249"/>
      <c r="E854" s="4233"/>
      <c r="F854" s="4233" t="str">
        <f t="shared" si="36"/>
        <v xml:space="preserve"> </v>
      </c>
    </row>
    <row r="855" spans="1:6" ht="29.25" customHeight="1">
      <c r="A855" s="4411">
        <v>4</v>
      </c>
      <c r="B855" s="4343" t="s">
        <v>3675</v>
      </c>
      <c r="C855" s="4280"/>
      <c r="D855" s="4249"/>
      <c r="E855" s="4233"/>
      <c r="F855" s="4233" t="str">
        <f t="shared" si="36"/>
        <v xml:space="preserve"> </v>
      </c>
    </row>
    <row r="856" spans="1:6" ht="14.25" customHeight="1">
      <c r="A856" s="4392">
        <v>4.0999999999999996</v>
      </c>
      <c r="B856" s="4230" t="s">
        <v>3701</v>
      </c>
      <c r="C856" s="4231">
        <v>1</v>
      </c>
      <c r="D856" s="4232" t="s">
        <v>2433</v>
      </c>
      <c r="E856" s="4233"/>
      <c r="F856" s="4233">
        <f t="shared" si="36"/>
        <v>0</v>
      </c>
    </row>
    <row r="857" spans="1:6" ht="14.25" customHeight="1">
      <c r="A857" s="4392">
        <v>4.2</v>
      </c>
      <c r="B857" s="4230" t="s">
        <v>3702</v>
      </c>
      <c r="C857" s="4231">
        <v>1</v>
      </c>
      <c r="D857" s="4232" t="s">
        <v>2433</v>
      </c>
      <c r="E857" s="4233"/>
      <c r="F857" s="4233">
        <f t="shared" si="36"/>
        <v>0</v>
      </c>
    </row>
    <row r="858" spans="1:6" ht="42.75" customHeight="1">
      <c r="A858" s="4392">
        <v>4.3</v>
      </c>
      <c r="B858" s="4341" t="s">
        <v>3703</v>
      </c>
      <c r="C858" s="4231">
        <v>10</v>
      </c>
      <c r="D858" s="4232" t="s">
        <v>2433</v>
      </c>
      <c r="E858" s="4233"/>
      <c r="F858" s="4233">
        <f t="shared" si="36"/>
        <v>0</v>
      </c>
    </row>
    <row r="859" spans="1:6" ht="14.25" customHeight="1">
      <c r="A859" s="4392">
        <v>4.4000000000000004</v>
      </c>
      <c r="B859" s="4230" t="s">
        <v>2429</v>
      </c>
      <c r="C859" s="4231">
        <v>1</v>
      </c>
      <c r="D859" s="4249" t="s">
        <v>42</v>
      </c>
      <c r="E859" s="4233"/>
      <c r="F859" s="4233">
        <f t="shared" si="36"/>
        <v>0</v>
      </c>
    </row>
    <row r="860" spans="1:6" s="4266" customFormat="1" ht="12.75" customHeight="1">
      <c r="A860" s="4304"/>
      <c r="B860" s="4304" t="s">
        <v>3933</v>
      </c>
      <c r="C860" s="4305"/>
      <c r="D860" s="4305"/>
      <c r="E860" s="4305"/>
      <c r="F860" s="4307">
        <f>SUM(F805:F859)</f>
        <v>0</v>
      </c>
    </row>
    <row r="861" spans="1:6" ht="14.25" customHeight="1" outlineLevel="1" collapsed="1">
      <c r="A861" s="4412"/>
      <c r="B861" s="4230"/>
      <c r="C861" s="4231"/>
      <c r="D861" s="4249"/>
      <c r="E861" s="4231"/>
      <c r="F861" s="4233" t="str">
        <f t="shared" ref="F861:F924" si="38">IF(C861&gt;0,(ROUND((E861*C861),2))," ")</f>
        <v xml:space="preserve"> </v>
      </c>
    </row>
    <row r="862" spans="1:6" s="4266" customFormat="1" ht="15">
      <c r="A862" s="4396" t="s">
        <v>3934</v>
      </c>
      <c r="B862" s="3435" t="s">
        <v>3151</v>
      </c>
      <c r="C862" s="4335"/>
      <c r="D862" s="4336"/>
      <c r="E862" s="4310"/>
      <c r="F862" s="4310" t="str">
        <f t="shared" si="38"/>
        <v xml:space="preserve"> </v>
      </c>
    </row>
    <row r="863" spans="1:6" ht="15" customHeight="1">
      <c r="A863" s="4393"/>
      <c r="B863" s="4230"/>
      <c r="C863" s="4231"/>
      <c r="D863" s="4249"/>
      <c r="E863" s="4233"/>
      <c r="F863" s="4233" t="str">
        <f t="shared" si="38"/>
        <v xml:space="preserve"> </v>
      </c>
    </row>
    <row r="864" spans="1:6" ht="15" customHeight="1">
      <c r="A864" s="4411">
        <v>1</v>
      </c>
      <c r="B864" s="4343" t="s">
        <v>3152</v>
      </c>
      <c r="C864" s="4280"/>
      <c r="D864" s="4249"/>
      <c r="E864" s="4233"/>
      <c r="F864" s="4233" t="str">
        <f t="shared" si="38"/>
        <v xml:space="preserve"> </v>
      </c>
    </row>
    <row r="865" spans="1:6" ht="14.25" customHeight="1">
      <c r="A865" s="4392">
        <v>1.1000000000000001</v>
      </c>
      <c r="B865" s="4230" t="s">
        <v>2353</v>
      </c>
      <c r="C865" s="4281">
        <v>72.25</v>
      </c>
      <c r="D865" s="4249" t="s">
        <v>2432</v>
      </c>
      <c r="E865" s="4233"/>
      <c r="F865" s="4233">
        <f t="shared" si="38"/>
        <v>0</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3153</v>
      </c>
      <c r="C868" s="4286">
        <v>219.34</v>
      </c>
      <c r="D868" s="4249" t="s">
        <v>3154</v>
      </c>
      <c r="E868" s="4233"/>
      <c r="F868" s="4233">
        <f t="shared" si="38"/>
        <v>0</v>
      </c>
    </row>
    <row r="869" spans="1:6" ht="14.25" customHeight="1">
      <c r="A869" s="4102">
        <v>2.2000000000000002</v>
      </c>
      <c r="B869" s="4113" t="s">
        <v>3155</v>
      </c>
      <c r="C869" s="4286">
        <v>56.3</v>
      </c>
      <c r="D869" s="4249" t="s">
        <v>2431</v>
      </c>
      <c r="E869" s="4233"/>
      <c r="F869" s="4233">
        <f t="shared" si="38"/>
        <v>0</v>
      </c>
    </row>
    <row r="870" spans="1:6" ht="28.5" customHeight="1">
      <c r="A870" s="4102">
        <v>2.2999999999999998</v>
      </c>
      <c r="B870" s="4113" t="s">
        <v>3557</v>
      </c>
      <c r="C870" s="4286">
        <v>195.6</v>
      </c>
      <c r="D870" s="4249" t="s">
        <v>3156</v>
      </c>
      <c r="E870" s="4233"/>
      <c r="F870" s="4233">
        <f t="shared" si="38"/>
        <v>0</v>
      </c>
    </row>
    <row r="871" spans="1:6" ht="15" customHeight="1">
      <c r="A871" s="4413"/>
      <c r="B871" s="3435"/>
      <c r="C871" s="4280"/>
      <c r="D871" s="4249"/>
      <c r="E871" s="4233"/>
      <c r="F871" s="4233" t="str">
        <f t="shared" si="38"/>
        <v xml:space="preserve"> </v>
      </c>
    </row>
    <row r="872" spans="1:6" ht="15" customHeight="1">
      <c r="A872" s="4110">
        <v>3</v>
      </c>
      <c r="B872" s="4343" t="s">
        <v>3679</v>
      </c>
      <c r="C872" s="4286"/>
      <c r="D872" s="4249"/>
      <c r="E872" s="4233"/>
      <c r="F872" s="4233" t="str">
        <f t="shared" si="38"/>
        <v xml:space="preserve"> </v>
      </c>
    </row>
    <row r="873" spans="1:6" ht="14.25" customHeight="1">
      <c r="A873" s="4114">
        <v>3.1</v>
      </c>
      <c r="B873" s="4112" t="s">
        <v>3676</v>
      </c>
      <c r="C873" s="4106">
        <v>13.3</v>
      </c>
      <c r="D873" s="4249" t="s">
        <v>2430</v>
      </c>
      <c r="E873" s="4233"/>
      <c r="F873" s="4233">
        <f t="shared" si="38"/>
        <v>0</v>
      </c>
    </row>
    <row r="874" spans="1:6" ht="14.25" customHeight="1">
      <c r="A874" s="4114">
        <v>3.2</v>
      </c>
      <c r="B874" s="4112" t="s">
        <v>3157</v>
      </c>
      <c r="C874" s="4106">
        <v>0.86</v>
      </c>
      <c r="D874" s="4249" t="s">
        <v>2430</v>
      </c>
      <c r="E874" s="4233"/>
      <c r="F874" s="4233">
        <f t="shared" si="38"/>
        <v>0</v>
      </c>
    </row>
    <row r="875" spans="1:6" ht="14.25" customHeight="1">
      <c r="A875" s="4114">
        <v>3.3</v>
      </c>
      <c r="B875" s="4112" t="s">
        <v>3677</v>
      </c>
      <c r="C875" s="4106">
        <v>7.01</v>
      </c>
      <c r="D875" s="4249" t="s">
        <v>2430</v>
      </c>
      <c r="E875" s="4233"/>
      <c r="F875" s="4233">
        <f t="shared" si="38"/>
        <v>0</v>
      </c>
    </row>
    <row r="876" spans="1:6" ht="14.25" customHeight="1">
      <c r="A876" s="4114">
        <v>3.4</v>
      </c>
      <c r="B876" s="4112" t="s">
        <v>3158</v>
      </c>
      <c r="C876" s="4106">
        <v>0.35</v>
      </c>
      <c r="D876" s="4249" t="s">
        <v>2430</v>
      </c>
      <c r="E876" s="4233"/>
      <c r="F876" s="4233">
        <f t="shared" si="38"/>
        <v>0</v>
      </c>
    </row>
    <row r="877" spans="1:6" ht="14.25" customHeight="1">
      <c r="A877" s="4114">
        <v>3.5</v>
      </c>
      <c r="B877" s="4112" t="s">
        <v>3159</v>
      </c>
      <c r="C877" s="4106">
        <v>1.03</v>
      </c>
      <c r="D877" s="4249" t="s">
        <v>2430</v>
      </c>
      <c r="E877" s="4233"/>
      <c r="F877" s="4233">
        <f t="shared" si="38"/>
        <v>0</v>
      </c>
    </row>
    <row r="878" spans="1:6" ht="14.25" customHeight="1">
      <c r="A878" s="4114">
        <v>3.6</v>
      </c>
      <c r="B878" s="4112" t="s">
        <v>3160</v>
      </c>
      <c r="C878" s="4106">
        <v>27.52</v>
      </c>
      <c r="D878" s="4249" t="s">
        <v>2430</v>
      </c>
      <c r="E878" s="4233"/>
      <c r="F878" s="4233">
        <f t="shared" si="38"/>
        <v>0</v>
      </c>
    </row>
    <row r="879" spans="1:6" ht="14.25" customHeight="1">
      <c r="A879" s="4114">
        <v>3.7</v>
      </c>
      <c r="B879" s="4112" t="s">
        <v>3161</v>
      </c>
      <c r="C879" s="4106">
        <v>1.0900000000000001</v>
      </c>
      <c r="D879" s="4249" t="s">
        <v>2430</v>
      </c>
      <c r="E879" s="4233"/>
      <c r="F879" s="4233">
        <f t="shared" si="38"/>
        <v>0</v>
      </c>
    </row>
    <row r="880" spans="1:6" ht="14.25" customHeight="1">
      <c r="A880" s="4114">
        <v>3.8</v>
      </c>
      <c r="B880" s="4112" t="s">
        <v>3678</v>
      </c>
      <c r="C880" s="4106">
        <v>7.49</v>
      </c>
      <c r="D880" s="4249" t="s">
        <v>2430</v>
      </c>
      <c r="E880" s="4233"/>
      <c r="F880" s="4233">
        <f t="shared" si="38"/>
        <v>0</v>
      </c>
    </row>
    <row r="881" spans="1:6" ht="14.25" customHeight="1">
      <c r="A881" s="4114">
        <v>3.9</v>
      </c>
      <c r="B881" s="4112" t="s">
        <v>3162</v>
      </c>
      <c r="C881" s="4106">
        <v>0.11</v>
      </c>
      <c r="D881" s="4249" t="s">
        <v>2430</v>
      </c>
      <c r="E881" s="4233"/>
      <c r="F881" s="4233">
        <f t="shared" si="38"/>
        <v>0</v>
      </c>
    </row>
    <row r="882" spans="1:6" ht="14.25" customHeight="1">
      <c r="A882" s="4107"/>
      <c r="B882" s="4112"/>
      <c r="C882" s="4106"/>
      <c r="D882" s="4249"/>
      <c r="E882" s="4233"/>
      <c r="F882" s="4233" t="str">
        <f t="shared" si="38"/>
        <v xml:space="preserve"> </v>
      </c>
    </row>
    <row r="883" spans="1:6" ht="16.5" customHeight="1">
      <c r="A883" s="4101">
        <v>4</v>
      </c>
      <c r="B883" s="4112" t="s">
        <v>3680</v>
      </c>
      <c r="C883" s="4106">
        <v>3.87</v>
      </c>
      <c r="D883" s="4249" t="s">
        <v>2430</v>
      </c>
      <c r="E883" s="4233"/>
      <c r="F883" s="4233">
        <f t="shared" si="38"/>
        <v>0</v>
      </c>
    </row>
    <row r="884" spans="1:6" ht="14.25" customHeight="1">
      <c r="A884" s="4107"/>
      <c r="B884" s="4112"/>
      <c r="C884" s="4106"/>
      <c r="D884" s="4249"/>
      <c r="E884" s="4233"/>
      <c r="F884" s="4233" t="str">
        <f t="shared" si="38"/>
        <v xml:space="preserve"> </v>
      </c>
    </row>
    <row r="885" spans="1:6" ht="28.5" customHeight="1">
      <c r="A885" s="4114">
        <v>5</v>
      </c>
      <c r="B885" s="4104" t="s">
        <v>3163</v>
      </c>
      <c r="C885" s="4106">
        <v>91.2</v>
      </c>
      <c r="D885" s="4249" t="s">
        <v>1</v>
      </c>
      <c r="E885" s="4233"/>
      <c r="F885" s="4233">
        <f t="shared" si="38"/>
        <v>0</v>
      </c>
    </row>
    <row r="886" spans="1:6" ht="14.25" customHeight="1">
      <c r="A886" s="4114">
        <v>6</v>
      </c>
      <c r="B886" s="4112" t="s">
        <v>3724</v>
      </c>
      <c r="C886" s="4106">
        <v>110</v>
      </c>
      <c r="D886" s="4249" t="s">
        <v>2566</v>
      </c>
      <c r="E886" s="4233"/>
      <c r="F886" s="4233">
        <f t="shared" si="38"/>
        <v>0</v>
      </c>
    </row>
    <row r="887" spans="1:6" ht="14.25" customHeight="1">
      <c r="A887" s="4486"/>
      <c r="B887" s="4487"/>
      <c r="C887" s="4488"/>
      <c r="D887" s="4465"/>
      <c r="E887" s="4466"/>
      <c r="F887" s="4466" t="str">
        <f t="shared" si="38"/>
        <v xml:space="preserve"> </v>
      </c>
    </row>
    <row r="888" spans="1:6" ht="15" customHeight="1">
      <c r="A888" s="4110">
        <v>7</v>
      </c>
      <c r="B888" s="4343" t="s">
        <v>787</v>
      </c>
      <c r="C888" s="4106"/>
      <c r="D888" s="4249"/>
      <c r="E888" s="4233"/>
      <c r="F888" s="4233" t="str">
        <f t="shared" si="38"/>
        <v xml:space="preserve"> </v>
      </c>
    </row>
    <row r="889" spans="1:6" ht="14.25" customHeight="1">
      <c r="A889" s="4114">
        <v>7.1</v>
      </c>
      <c r="B889" s="4112" t="s">
        <v>2567</v>
      </c>
      <c r="C889" s="4106">
        <v>217.47</v>
      </c>
      <c r="D889" s="4249" t="s">
        <v>2432</v>
      </c>
      <c r="E889" s="4233"/>
      <c r="F889" s="4233">
        <f t="shared" si="38"/>
        <v>0</v>
      </c>
    </row>
    <row r="890" spans="1:6" ht="14.25" customHeight="1">
      <c r="A890" s="4114">
        <v>7.2</v>
      </c>
      <c r="B890" s="4112" t="s">
        <v>2345</v>
      </c>
      <c r="C890" s="4103">
        <v>102.7</v>
      </c>
      <c r="D890" s="4249" t="s">
        <v>2432</v>
      </c>
      <c r="E890" s="4233"/>
      <c r="F890" s="4233">
        <f t="shared" si="38"/>
        <v>0</v>
      </c>
    </row>
    <row r="891" spans="1:6" ht="14.25" customHeight="1">
      <c r="A891" s="4114">
        <v>7.3</v>
      </c>
      <c r="B891" s="4112" t="s">
        <v>2344</v>
      </c>
      <c r="C891" s="4103">
        <v>114.77</v>
      </c>
      <c r="D891" s="4249" t="s">
        <v>2432</v>
      </c>
      <c r="E891" s="4233"/>
      <c r="F891" s="4233">
        <f t="shared" si="38"/>
        <v>0</v>
      </c>
    </row>
    <row r="892" spans="1:6" ht="14.25" customHeight="1">
      <c r="A892" s="4114">
        <v>7.4</v>
      </c>
      <c r="B892" s="4114" t="s">
        <v>3164</v>
      </c>
      <c r="C892" s="4103">
        <v>53.17</v>
      </c>
      <c r="D892" s="4249" t="s">
        <v>2432</v>
      </c>
      <c r="E892" s="4233"/>
      <c r="F892" s="4233">
        <f t="shared" si="38"/>
        <v>0</v>
      </c>
    </row>
    <row r="893" spans="1:6" ht="14.25" customHeight="1">
      <c r="A893" s="4114">
        <v>7.5</v>
      </c>
      <c r="B893" s="4114" t="s">
        <v>3165</v>
      </c>
      <c r="C893" s="4103">
        <v>62.41</v>
      </c>
      <c r="D893" s="4249" t="s">
        <v>2432</v>
      </c>
      <c r="E893" s="4233"/>
      <c r="F893" s="4233">
        <f t="shared" si="38"/>
        <v>0</v>
      </c>
    </row>
    <row r="894" spans="1:6" s="4166" customFormat="1" ht="14.25" customHeight="1">
      <c r="A894" s="4114">
        <v>7.6</v>
      </c>
      <c r="B894" s="4114" t="s">
        <v>1548</v>
      </c>
      <c r="C894" s="4103">
        <v>112.4</v>
      </c>
      <c r="D894" s="4249" t="s">
        <v>1</v>
      </c>
      <c r="E894" s="4233"/>
      <c r="F894" s="4233">
        <f t="shared" si="38"/>
        <v>0</v>
      </c>
    </row>
    <row r="895" spans="1:6" ht="14.25" customHeight="1">
      <c r="A895" s="4114">
        <v>7.7</v>
      </c>
      <c r="B895" s="4114" t="s">
        <v>3528</v>
      </c>
      <c r="C895" s="4103">
        <v>29.2</v>
      </c>
      <c r="D895" s="4249" t="s">
        <v>1</v>
      </c>
      <c r="E895" s="4233"/>
      <c r="F895" s="4233">
        <f t="shared" si="38"/>
        <v>0</v>
      </c>
    </row>
    <row r="896" spans="1:6"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3166</v>
      </c>
      <c r="C898" s="4103">
        <v>35.39</v>
      </c>
      <c r="D898" s="4249" t="s">
        <v>2432</v>
      </c>
      <c r="E898" s="4233"/>
      <c r="F898" s="4233">
        <f t="shared" si="38"/>
        <v>0</v>
      </c>
    </row>
    <row r="899" spans="1:6" ht="14.25" customHeight="1">
      <c r="A899" s="4114">
        <v>8.1999999999999993</v>
      </c>
      <c r="B899" s="4114" t="s">
        <v>3167</v>
      </c>
      <c r="C899" s="4103">
        <v>35.39</v>
      </c>
      <c r="D899" s="4249" t="s">
        <v>2432</v>
      </c>
      <c r="E899" s="4233"/>
      <c r="F899" s="4233">
        <f t="shared" si="38"/>
        <v>0</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3550</v>
      </c>
      <c r="C902" s="4103"/>
      <c r="D902" s="4249"/>
      <c r="E902" s="4233"/>
      <c r="F902" s="4233" t="str">
        <f t="shared" si="38"/>
        <v xml:space="preserve"> </v>
      </c>
    </row>
    <row r="903" spans="1:6" ht="14.25" customHeight="1">
      <c r="A903" s="4111" t="s">
        <v>541</v>
      </c>
      <c r="B903" s="4108" t="s">
        <v>3168</v>
      </c>
      <c r="C903" s="4103">
        <v>14.22</v>
      </c>
      <c r="D903" s="4249" t="s">
        <v>1</v>
      </c>
      <c r="E903" s="4233"/>
      <c r="F903" s="4233">
        <f t="shared" si="38"/>
        <v>0</v>
      </c>
    </row>
    <row r="904" spans="1:6" ht="14.25" customHeight="1">
      <c r="A904" s="4111" t="s">
        <v>542</v>
      </c>
      <c r="B904" s="4108" t="s">
        <v>3681</v>
      </c>
      <c r="C904" s="4103">
        <v>17.37</v>
      </c>
      <c r="D904" s="4249" t="s">
        <v>1</v>
      </c>
      <c r="E904" s="4233"/>
      <c r="F904" s="4233">
        <f t="shared" si="38"/>
        <v>0</v>
      </c>
    </row>
    <row r="905" spans="1:6" ht="14.25" customHeight="1">
      <c r="A905" s="4111" t="s">
        <v>3169</v>
      </c>
      <c r="B905" s="4108" t="s">
        <v>3682</v>
      </c>
      <c r="C905" s="4103">
        <v>5</v>
      </c>
      <c r="D905" s="4232" t="s">
        <v>2433</v>
      </c>
      <c r="E905" s="4233"/>
      <c r="F905" s="4233">
        <f t="shared" si="38"/>
        <v>0</v>
      </c>
    </row>
    <row r="906" spans="1:6" ht="14.25" customHeight="1">
      <c r="A906" s="4111" t="s">
        <v>3170</v>
      </c>
      <c r="B906" s="4108" t="s">
        <v>3683</v>
      </c>
      <c r="C906" s="4103">
        <v>8</v>
      </c>
      <c r="D906" s="4232" t="s">
        <v>2433</v>
      </c>
      <c r="E906" s="4233"/>
      <c r="F906" s="4233">
        <f t="shared" si="38"/>
        <v>0</v>
      </c>
    </row>
    <row r="907" spans="1:6" ht="14.25" customHeight="1">
      <c r="A907" s="4111" t="s">
        <v>3171</v>
      </c>
      <c r="B907" s="4108" t="s">
        <v>3684</v>
      </c>
      <c r="C907" s="4103">
        <v>2</v>
      </c>
      <c r="D907" s="4232" t="s">
        <v>2433</v>
      </c>
      <c r="E907" s="4233"/>
      <c r="F907" s="4233">
        <f t="shared" si="38"/>
        <v>0</v>
      </c>
    </row>
    <row r="908" spans="1:6" ht="14.25" customHeight="1">
      <c r="A908" s="4111" t="s">
        <v>3172</v>
      </c>
      <c r="B908" s="4114" t="s">
        <v>3496</v>
      </c>
      <c r="C908" s="4103">
        <v>3</v>
      </c>
      <c r="D908" s="4232" t="s">
        <v>2433</v>
      </c>
      <c r="E908" s="4233"/>
      <c r="F908" s="4233">
        <f t="shared" si="38"/>
        <v>0</v>
      </c>
    </row>
    <row r="909" spans="1:6" ht="14.25" customHeight="1">
      <c r="A909" s="4111" t="s">
        <v>3173</v>
      </c>
      <c r="B909" s="4114" t="s">
        <v>3685</v>
      </c>
      <c r="C909" s="4103">
        <v>7</v>
      </c>
      <c r="D909" s="4232" t="s">
        <v>2433</v>
      </c>
      <c r="E909" s="4233"/>
      <c r="F909" s="4233">
        <f t="shared" si="38"/>
        <v>0</v>
      </c>
    </row>
    <row r="910" spans="1:6" ht="14.25" customHeight="1">
      <c r="A910" s="4111" t="s">
        <v>3174</v>
      </c>
      <c r="B910" s="4114" t="s">
        <v>3686</v>
      </c>
      <c r="C910" s="4103">
        <v>2</v>
      </c>
      <c r="D910" s="4232" t="s">
        <v>2433</v>
      </c>
      <c r="E910" s="4233"/>
      <c r="F910" s="4233">
        <f t="shared" si="38"/>
        <v>0</v>
      </c>
    </row>
    <row r="911" spans="1:6" ht="14.25" customHeight="1">
      <c r="A911" s="4111" t="s">
        <v>3175</v>
      </c>
      <c r="B911" s="4114" t="s">
        <v>3722</v>
      </c>
      <c r="C911" s="4103">
        <v>2</v>
      </c>
      <c r="D911" s="4232" t="s">
        <v>2433</v>
      </c>
      <c r="E911" s="4233"/>
      <c r="F911" s="4233">
        <f t="shared" si="38"/>
        <v>0</v>
      </c>
    </row>
    <row r="912" spans="1:6" ht="14.25" customHeight="1">
      <c r="A912" s="4114"/>
      <c r="B912" s="4114"/>
      <c r="C912" s="4103"/>
      <c r="D912" s="4249"/>
      <c r="E912" s="4233"/>
      <c r="F912" s="4233" t="str">
        <f t="shared" si="38"/>
        <v xml:space="preserve"> </v>
      </c>
    </row>
    <row r="913" spans="1:6" ht="15" customHeight="1">
      <c r="A913" s="4110">
        <v>9.1999999999999993</v>
      </c>
      <c r="B913" s="4343" t="s">
        <v>3687</v>
      </c>
      <c r="C913" s="4103"/>
      <c r="D913" s="4249"/>
      <c r="E913" s="4233"/>
      <c r="F913" s="4233" t="str">
        <f t="shared" si="38"/>
        <v xml:space="preserve"> </v>
      </c>
    </row>
    <row r="914" spans="1:6" ht="14.25" customHeight="1">
      <c r="A914" s="4111" t="s">
        <v>543</v>
      </c>
      <c r="B914" s="4114" t="s">
        <v>2353</v>
      </c>
      <c r="C914" s="4103">
        <v>26.49</v>
      </c>
      <c r="D914" s="4249" t="s">
        <v>1</v>
      </c>
      <c r="E914" s="4233"/>
      <c r="F914" s="4233">
        <f t="shared" si="38"/>
        <v>0</v>
      </c>
    </row>
    <row r="915" spans="1:6" ht="14.25" customHeight="1">
      <c r="A915" s="4111" t="s">
        <v>544</v>
      </c>
      <c r="B915" s="4108" t="s">
        <v>3176</v>
      </c>
      <c r="C915" s="4103">
        <v>23.31</v>
      </c>
      <c r="D915" s="4249" t="s">
        <v>3154</v>
      </c>
      <c r="E915" s="4233"/>
      <c r="F915" s="4233">
        <f t="shared" si="38"/>
        <v>0</v>
      </c>
    </row>
    <row r="916" spans="1:6" ht="14.25" customHeight="1">
      <c r="A916" s="4111" t="s">
        <v>545</v>
      </c>
      <c r="B916" s="4114" t="s">
        <v>2546</v>
      </c>
      <c r="C916" s="4103">
        <v>1.22</v>
      </c>
      <c r="D916" s="4249" t="s">
        <v>3177</v>
      </c>
      <c r="E916" s="4233"/>
      <c r="F916" s="4233">
        <f t="shared" si="38"/>
        <v>0</v>
      </c>
    </row>
    <row r="917" spans="1:6" ht="14.25" customHeight="1">
      <c r="A917" s="4111" t="s">
        <v>3178</v>
      </c>
      <c r="B917" s="4108" t="s">
        <v>3558</v>
      </c>
      <c r="C917" s="4103">
        <v>20.54</v>
      </c>
      <c r="D917" s="4249" t="s">
        <v>2431</v>
      </c>
      <c r="E917" s="4233"/>
      <c r="F917" s="4233">
        <f t="shared" si="38"/>
        <v>0</v>
      </c>
    </row>
    <row r="918" spans="1:6" ht="28.5" customHeight="1">
      <c r="A918" s="4111" t="s">
        <v>3179</v>
      </c>
      <c r="B918" s="4108" t="s">
        <v>3557</v>
      </c>
      <c r="C918" s="4103">
        <v>3.33</v>
      </c>
      <c r="D918" s="4249" t="s">
        <v>3156</v>
      </c>
      <c r="E918" s="4414"/>
      <c r="F918" s="4233">
        <f t="shared" si="38"/>
        <v>0</v>
      </c>
    </row>
    <row r="919" spans="1:6" ht="14.25" customHeight="1">
      <c r="A919" s="4114"/>
      <c r="B919" s="4114"/>
      <c r="C919" s="4103"/>
      <c r="D919" s="4249"/>
      <c r="E919" s="4103"/>
      <c r="F919" s="4233" t="str">
        <f t="shared" si="38"/>
        <v xml:space="preserve"> </v>
      </c>
    </row>
    <row r="920" spans="1:6" ht="15" customHeight="1">
      <c r="A920" s="4110">
        <v>9.3000000000000007</v>
      </c>
      <c r="B920" s="4343" t="s">
        <v>3549</v>
      </c>
      <c r="C920" s="4103"/>
      <c r="D920" s="4249"/>
      <c r="E920" s="4103"/>
      <c r="F920" s="4233" t="str">
        <f t="shared" si="38"/>
        <v xml:space="preserve"> </v>
      </c>
    </row>
    <row r="921" spans="1:6" ht="14.25" customHeight="1">
      <c r="A921" s="4111" t="s">
        <v>3180</v>
      </c>
      <c r="B921" s="4114" t="s">
        <v>3723</v>
      </c>
      <c r="C921" s="4103">
        <v>1</v>
      </c>
      <c r="D921" s="4232" t="s">
        <v>2433</v>
      </c>
      <c r="E921" s="4415"/>
      <c r="F921" s="4233">
        <f t="shared" si="38"/>
        <v>0</v>
      </c>
    </row>
    <row r="922" spans="1:6" ht="14.25" customHeight="1">
      <c r="A922" s="4111" t="s">
        <v>3181</v>
      </c>
      <c r="B922" s="4114" t="s">
        <v>3182</v>
      </c>
      <c r="C922" s="4103">
        <v>1</v>
      </c>
      <c r="D922" s="4232" t="s">
        <v>2433</v>
      </c>
      <c r="E922" s="4415"/>
      <c r="F922" s="4233">
        <f t="shared" si="38"/>
        <v>0</v>
      </c>
    </row>
    <row r="923" spans="1:6" ht="14.25" customHeight="1">
      <c r="A923" s="4111" t="s">
        <v>3183</v>
      </c>
      <c r="B923" s="4114" t="s">
        <v>3184</v>
      </c>
      <c r="C923" s="4103">
        <v>1</v>
      </c>
      <c r="D923" s="4232" t="s">
        <v>2433</v>
      </c>
      <c r="E923" s="4415"/>
      <c r="F923" s="4233">
        <f t="shared" si="38"/>
        <v>0</v>
      </c>
    </row>
    <row r="924" spans="1:6" ht="14.25" customHeight="1">
      <c r="A924" s="4111" t="s">
        <v>3185</v>
      </c>
      <c r="B924" s="4114" t="s">
        <v>3186</v>
      </c>
      <c r="C924" s="4103">
        <v>1</v>
      </c>
      <c r="D924" s="4232" t="s">
        <v>2433</v>
      </c>
      <c r="E924" s="4415"/>
      <c r="F924" s="4233">
        <f t="shared" si="38"/>
        <v>0</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3187</v>
      </c>
      <c r="C927" s="4103">
        <v>16.8</v>
      </c>
      <c r="D927" s="4249" t="s">
        <v>2432</v>
      </c>
      <c r="E927" s="4103"/>
      <c r="F927" s="4233">
        <f t="shared" si="39"/>
        <v>0</v>
      </c>
    </row>
    <row r="928" spans="1:6" ht="14.25" customHeight="1">
      <c r="A928" s="4114">
        <v>10.199999999999999</v>
      </c>
      <c r="B928" s="4114" t="s">
        <v>2595</v>
      </c>
      <c r="C928" s="4103">
        <v>1</v>
      </c>
      <c r="D928" s="4232" t="s">
        <v>2433</v>
      </c>
      <c r="E928" s="4103"/>
      <c r="F928" s="4233">
        <f t="shared" si="39"/>
        <v>0</v>
      </c>
    </row>
    <row r="929" spans="1:6" s="4266" customFormat="1" ht="12.75" customHeight="1">
      <c r="A929" s="4304"/>
      <c r="B929" s="4304" t="s">
        <v>3935</v>
      </c>
      <c r="C929" s="4305"/>
      <c r="D929" s="4305"/>
      <c r="E929" s="4305"/>
      <c r="F929" s="4307">
        <f>SUM(F864:F928)</f>
        <v>0</v>
      </c>
    </row>
    <row r="930" spans="1:6" ht="8.25" customHeight="1">
      <c r="A930" s="4388"/>
      <c r="B930" s="3435"/>
      <c r="C930" s="4231"/>
      <c r="D930" s="4263"/>
      <c r="E930" s="4264"/>
      <c r="F930" s="4233" t="str">
        <f t="shared" ref="F930:F977" si="40">IF(C930&gt;0,(ROUND((E930*C930),2))," ")</f>
        <v xml:space="preserve"> </v>
      </c>
    </row>
    <row r="931" spans="1:6" ht="30.75" customHeight="1">
      <c r="A931" s="3553" t="s">
        <v>3936</v>
      </c>
      <c r="B931" s="3435" t="s">
        <v>3780</v>
      </c>
      <c r="C931" s="3555"/>
      <c r="D931" s="4288"/>
      <c r="E931" s="3556"/>
      <c r="F931" s="3556" t="str">
        <f t="shared" si="40"/>
        <v xml:space="preserve"> </v>
      </c>
    </row>
    <row r="932" spans="1:6" ht="12.75" customHeight="1">
      <c r="A932" s="3558"/>
      <c r="B932" s="3554"/>
      <c r="C932" s="3559"/>
      <c r="D932" s="4288"/>
      <c r="E932" s="3556"/>
      <c r="F932" s="3556" t="str">
        <f t="shared" si="40"/>
        <v xml:space="preserve"> </v>
      </c>
    </row>
    <row r="933" spans="1:6" ht="12.75" customHeight="1">
      <c r="A933" s="3560">
        <v>1</v>
      </c>
      <c r="B933" s="3561" t="s">
        <v>2165</v>
      </c>
      <c r="C933" s="3559"/>
      <c r="D933" s="4288"/>
      <c r="E933" s="3556"/>
      <c r="F933" s="3556" t="str">
        <f t="shared" si="40"/>
        <v xml:space="preserve"> </v>
      </c>
    </row>
    <row r="934" spans="1:6" ht="14.25" customHeight="1">
      <c r="A934" s="3562">
        <v>1.1000000000000001</v>
      </c>
      <c r="B934" s="3563" t="s">
        <v>2353</v>
      </c>
      <c r="C934" s="3559">
        <v>240.25</v>
      </c>
      <c r="D934" s="4288" t="s">
        <v>1</v>
      </c>
      <c r="E934" s="3743"/>
      <c r="F934" s="4233">
        <f t="shared" si="40"/>
        <v>0</v>
      </c>
    </row>
    <row r="935" spans="1:6" ht="12.75" customHeight="1">
      <c r="A935" s="4489"/>
      <c r="B935" s="4490"/>
      <c r="C935" s="4491"/>
      <c r="D935" s="4492"/>
      <c r="E935" s="4493"/>
      <c r="F935" s="4493" t="str">
        <f t="shared" si="40"/>
        <v xml:space="preserve"> </v>
      </c>
    </row>
    <row r="936" spans="1:6" ht="12.75" customHeight="1">
      <c r="A936" s="3560">
        <v>2</v>
      </c>
      <c r="B936" s="3565" t="s">
        <v>14</v>
      </c>
      <c r="C936" s="3566"/>
      <c r="D936" s="4289"/>
      <c r="E936" s="1251"/>
      <c r="F936" s="3564" t="str">
        <f t="shared" si="40"/>
        <v xml:space="preserve"> </v>
      </c>
    </row>
    <row r="937" spans="1:6" ht="14.25" customHeight="1">
      <c r="A937" s="17">
        <v>2.1</v>
      </c>
      <c r="B937" s="3563" t="s">
        <v>2989</v>
      </c>
      <c r="C937" s="3566">
        <v>97.99</v>
      </c>
      <c r="D937" s="4249" t="s">
        <v>3154</v>
      </c>
      <c r="E937" s="3743"/>
      <c r="F937" s="3744">
        <f t="shared" si="40"/>
        <v>0</v>
      </c>
    </row>
    <row r="938" spans="1:6" ht="14.25" customHeight="1">
      <c r="A938" s="17">
        <v>2.2000000000000002</v>
      </c>
      <c r="B938" s="3563" t="s">
        <v>2990</v>
      </c>
      <c r="C938" s="3566">
        <v>48.37</v>
      </c>
      <c r="D938" s="4249" t="s">
        <v>2431</v>
      </c>
      <c r="E938" s="1251"/>
      <c r="F938" s="3564">
        <f t="shared" si="40"/>
        <v>0</v>
      </c>
    </row>
    <row r="939" spans="1:6" ht="14.25" customHeight="1">
      <c r="A939" s="17">
        <v>2.2999999999999998</v>
      </c>
      <c r="B939" s="3563" t="s">
        <v>2991</v>
      </c>
      <c r="C939" s="4105">
        <v>64.5</v>
      </c>
      <c r="D939" s="4290" t="s">
        <v>2431</v>
      </c>
      <c r="E939" s="3743"/>
      <c r="F939" s="3744">
        <f t="shared" si="40"/>
        <v>0</v>
      </c>
    </row>
    <row r="940" spans="1:6" ht="12.75" customHeight="1">
      <c r="A940" s="17"/>
      <c r="B940" s="3567"/>
      <c r="C940" s="3566"/>
      <c r="D940" s="4289"/>
      <c r="E940" s="1251"/>
      <c r="F940" s="3564" t="str">
        <f t="shared" si="40"/>
        <v xml:space="preserve"> </v>
      </c>
    </row>
    <row r="941" spans="1:6" ht="12.75" customHeight="1">
      <c r="A941" s="3560">
        <v>3</v>
      </c>
      <c r="B941" s="3565" t="s">
        <v>2992</v>
      </c>
      <c r="C941" s="3566"/>
      <c r="D941" s="4289"/>
      <c r="E941" s="1251"/>
      <c r="F941" s="3564" t="str">
        <f t="shared" si="40"/>
        <v xml:space="preserve"> </v>
      </c>
    </row>
    <row r="942" spans="1:6" ht="14.25" customHeight="1">
      <c r="A942" s="17">
        <v>3.1</v>
      </c>
      <c r="B942" s="3563" t="s">
        <v>2993</v>
      </c>
      <c r="C942" s="3566">
        <v>22.35</v>
      </c>
      <c r="D942" s="4269" t="s">
        <v>2430</v>
      </c>
      <c r="E942" s="1251"/>
      <c r="F942" s="3564">
        <f t="shared" si="40"/>
        <v>0</v>
      </c>
    </row>
    <row r="943" spans="1:6" ht="28.5" customHeight="1">
      <c r="A943" s="17">
        <v>3.2</v>
      </c>
      <c r="B943" s="3563" t="s">
        <v>2994</v>
      </c>
      <c r="C943" s="1251">
        <v>5.58</v>
      </c>
      <c r="D943" s="4269" t="s">
        <v>2430</v>
      </c>
      <c r="E943" s="1251"/>
      <c r="F943" s="3564">
        <f t="shared" si="40"/>
        <v>0</v>
      </c>
    </row>
    <row r="944" spans="1:6" ht="13.5" customHeight="1">
      <c r="A944" s="17">
        <v>3.3</v>
      </c>
      <c r="B944" s="3563" t="s">
        <v>3953</v>
      </c>
      <c r="C944" s="3566">
        <v>8.4499999999999993</v>
      </c>
      <c r="D944" s="4269" t="s">
        <v>2430</v>
      </c>
      <c r="E944" s="1251"/>
      <c r="F944" s="3564">
        <f t="shared" si="40"/>
        <v>0</v>
      </c>
    </row>
    <row r="945" spans="1:6" ht="13.5" customHeight="1">
      <c r="A945" s="17">
        <v>3.4</v>
      </c>
      <c r="B945" s="3563" t="s">
        <v>3954</v>
      </c>
      <c r="C945" s="3566">
        <v>6.69</v>
      </c>
      <c r="D945" s="4269" t="s">
        <v>2430</v>
      </c>
      <c r="E945" s="1251"/>
      <c r="F945" s="3564">
        <f t="shared" si="40"/>
        <v>0</v>
      </c>
    </row>
    <row r="946" spans="1:6" ht="13.5" customHeight="1">
      <c r="A946" s="17">
        <v>3.5</v>
      </c>
      <c r="B946" s="3563" t="s">
        <v>3955</v>
      </c>
      <c r="C946" s="3566">
        <v>9.4499999999999993</v>
      </c>
      <c r="D946" s="4269" t="s">
        <v>2430</v>
      </c>
      <c r="E946" s="1251"/>
      <c r="F946" s="3564">
        <f t="shared" si="40"/>
        <v>0</v>
      </c>
    </row>
    <row r="947" spans="1:6" ht="31.5" customHeight="1">
      <c r="A947" s="17">
        <v>3.6</v>
      </c>
      <c r="B947" s="3563" t="s">
        <v>2995</v>
      </c>
      <c r="C947" s="3566">
        <v>1.32</v>
      </c>
      <c r="D947" s="4269" t="s">
        <v>2430</v>
      </c>
      <c r="E947" s="1251"/>
      <c r="F947" s="3564">
        <f t="shared" si="40"/>
        <v>0</v>
      </c>
    </row>
    <row r="948" spans="1:6" ht="12.75" customHeight="1">
      <c r="A948" s="17"/>
      <c r="B948" s="3567"/>
      <c r="C948" s="3566"/>
      <c r="D948" s="4288"/>
      <c r="E948" s="1251"/>
      <c r="F948" s="3564" t="str">
        <f t="shared" si="40"/>
        <v xml:space="preserve"> </v>
      </c>
    </row>
    <row r="949" spans="1:6" ht="12.75" customHeight="1">
      <c r="A949" s="4428">
        <v>4</v>
      </c>
      <c r="B949" s="3565" t="s">
        <v>2996</v>
      </c>
      <c r="C949" s="3566"/>
      <c r="D949" s="4288"/>
      <c r="E949" s="1251"/>
      <c r="F949" s="3564" t="str">
        <f t="shared" si="40"/>
        <v xml:space="preserve"> </v>
      </c>
    </row>
    <row r="950" spans="1:6" ht="14.25" customHeight="1">
      <c r="A950" s="17">
        <v>4.0999999999999996</v>
      </c>
      <c r="B950" s="3563" t="s">
        <v>3781</v>
      </c>
      <c r="C950" s="3566">
        <v>574.73</v>
      </c>
      <c r="D950" s="4249" t="s">
        <v>2432</v>
      </c>
      <c r="E950" s="1251"/>
      <c r="F950" s="3564">
        <f t="shared" si="40"/>
        <v>0</v>
      </c>
    </row>
    <row r="951" spans="1:6" ht="14.25" customHeight="1">
      <c r="A951" s="17">
        <v>4.2</v>
      </c>
      <c r="B951" s="3563" t="s">
        <v>3704</v>
      </c>
      <c r="C951" s="3566">
        <v>88.42</v>
      </c>
      <c r="D951" s="4249" t="s">
        <v>2432</v>
      </c>
      <c r="E951" s="1251"/>
      <c r="F951" s="3564">
        <f t="shared" si="40"/>
        <v>0</v>
      </c>
    </row>
    <row r="952" spans="1:6" ht="12.75" customHeight="1">
      <c r="A952" s="17"/>
      <c r="B952" s="3567"/>
      <c r="C952" s="3566"/>
      <c r="D952" s="4289"/>
      <c r="E952" s="1251"/>
      <c r="F952" s="3564" t="str">
        <f t="shared" si="40"/>
        <v xml:space="preserve"> </v>
      </c>
    </row>
    <row r="953" spans="1:6" ht="12.75" customHeight="1">
      <c r="A953" s="3560">
        <v>5</v>
      </c>
      <c r="B953" s="3565" t="s">
        <v>787</v>
      </c>
      <c r="C953" s="3566"/>
      <c r="D953" s="4289"/>
      <c r="E953" s="1251"/>
      <c r="F953" s="3564" t="str">
        <f t="shared" si="40"/>
        <v xml:space="preserve"> </v>
      </c>
    </row>
    <row r="954" spans="1:6" s="4236" customFormat="1" ht="14.25" customHeight="1">
      <c r="A954" s="4392">
        <v>5.0999999999999996</v>
      </c>
      <c r="B954" s="4230" t="s">
        <v>2567</v>
      </c>
      <c r="C954" s="4231">
        <v>239.36</v>
      </c>
      <c r="D954" s="4249" t="s">
        <v>2432</v>
      </c>
      <c r="E954" s="4233"/>
      <c r="F954" s="4233">
        <f t="shared" si="40"/>
        <v>0</v>
      </c>
    </row>
    <row r="955" spans="1:6" ht="14.25" customHeight="1">
      <c r="A955" s="4392">
        <v>5.2</v>
      </c>
      <c r="B955" s="4230" t="s">
        <v>2997</v>
      </c>
      <c r="C955" s="4231">
        <v>239.36</v>
      </c>
      <c r="D955" s="4249" t="s">
        <v>2432</v>
      </c>
      <c r="E955" s="4233"/>
      <c r="F955" s="4233">
        <f t="shared" si="40"/>
        <v>0</v>
      </c>
    </row>
    <row r="956" spans="1:6" s="4166" customFormat="1" ht="14.25" customHeight="1">
      <c r="A956" s="4165">
        <v>5.3</v>
      </c>
      <c r="B956" s="3563" t="s">
        <v>1548</v>
      </c>
      <c r="C956" s="4105">
        <v>1395.15</v>
      </c>
      <c r="D956" s="4291" t="s">
        <v>1</v>
      </c>
      <c r="E956" s="3743"/>
      <c r="F956" s="3744">
        <f t="shared" si="40"/>
        <v>0</v>
      </c>
    </row>
    <row r="957" spans="1:6" ht="12.75" customHeight="1">
      <c r="A957" s="734"/>
      <c r="B957" s="3565"/>
      <c r="C957" s="3566"/>
      <c r="D957" s="4289"/>
      <c r="E957" s="1251"/>
      <c r="F957" s="3564" t="str">
        <f t="shared" si="40"/>
        <v xml:space="preserve"> </v>
      </c>
    </row>
    <row r="958" spans="1:6" ht="12.75" customHeight="1">
      <c r="A958" s="3560">
        <v>6</v>
      </c>
      <c r="B958" s="3565" t="s">
        <v>202</v>
      </c>
      <c r="C958" s="3566"/>
      <c r="D958" s="4289"/>
      <c r="E958" s="1251"/>
      <c r="F958" s="3564" t="str">
        <f t="shared" si="40"/>
        <v xml:space="preserve"> </v>
      </c>
    </row>
    <row r="959" spans="1:6" ht="14.25" customHeight="1">
      <c r="A959" s="4392">
        <v>6.1</v>
      </c>
      <c r="B959" s="4230" t="s">
        <v>2998</v>
      </c>
      <c r="C959" s="4231">
        <v>239.36</v>
      </c>
      <c r="D959" s="4249" t="s">
        <v>2432</v>
      </c>
      <c r="E959" s="4233"/>
      <c r="F959" s="4233">
        <f t="shared" si="40"/>
        <v>0</v>
      </c>
    </row>
    <row r="960" spans="1:6" ht="14.25" customHeight="1">
      <c r="A960" s="17">
        <v>6.2</v>
      </c>
      <c r="B960" s="3563" t="s">
        <v>3559</v>
      </c>
      <c r="C960" s="3566">
        <v>239.36</v>
      </c>
      <c r="D960" s="4249" t="s">
        <v>2432</v>
      </c>
      <c r="E960" s="3741"/>
      <c r="F960" s="3564">
        <f t="shared" si="40"/>
        <v>0</v>
      </c>
    </row>
    <row r="961" spans="1:6" ht="14.25" customHeight="1">
      <c r="A961" s="17"/>
      <c r="B961" s="3563"/>
      <c r="C961" s="3566"/>
      <c r="D961" s="4289"/>
      <c r="E961" s="1251"/>
      <c r="F961" s="3564" t="str">
        <f t="shared" si="40"/>
        <v xml:space="preserve"> </v>
      </c>
    </row>
    <row r="962" spans="1:6" ht="14.25" customHeight="1">
      <c r="A962" s="3560">
        <v>7</v>
      </c>
      <c r="B962" s="3563" t="s">
        <v>2999</v>
      </c>
      <c r="C962" s="3566">
        <v>236.25</v>
      </c>
      <c r="D962" s="4289" t="s">
        <v>1</v>
      </c>
      <c r="E962" s="1251"/>
      <c r="F962" s="3564">
        <f t="shared" si="40"/>
        <v>0</v>
      </c>
    </row>
    <row r="963" spans="1:6" ht="28.5" customHeight="1">
      <c r="A963" s="3560">
        <v>8</v>
      </c>
      <c r="B963" s="3563" t="s">
        <v>3000</v>
      </c>
      <c r="C963" s="1251">
        <v>15.6</v>
      </c>
      <c r="D963" s="4289" t="s">
        <v>1</v>
      </c>
      <c r="E963" s="1251"/>
      <c r="F963" s="3564">
        <f t="shared" si="40"/>
        <v>0</v>
      </c>
    </row>
    <row r="964" spans="1:6" ht="28.5" customHeight="1">
      <c r="A964" s="3560">
        <v>9</v>
      </c>
      <c r="B964" s="3563" t="s">
        <v>3001</v>
      </c>
      <c r="C964" s="3566">
        <v>24</v>
      </c>
      <c r="D964" s="4232" t="s">
        <v>2433</v>
      </c>
      <c r="E964" s="1251"/>
      <c r="F964" s="3564">
        <f t="shared" si="40"/>
        <v>0</v>
      </c>
    </row>
    <row r="965" spans="1:6" ht="14.25" customHeight="1">
      <c r="A965" s="17"/>
      <c r="B965" s="3563"/>
      <c r="C965" s="3566"/>
      <c r="D965" s="4292"/>
      <c r="E965" s="1251"/>
      <c r="F965" s="3564" t="str">
        <f t="shared" si="40"/>
        <v xml:space="preserve"> </v>
      </c>
    </row>
    <row r="966" spans="1:6" ht="14.25" customHeight="1">
      <c r="A966" s="3560">
        <v>10</v>
      </c>
      <c r="B966" s="3563" t="s">
        <v>3002</v>
      </c>
      <c r="C966" s="3568">
        <v>1</v>
      </c>
      <c r="D966" s="4232" t="s">
        <v>2433</v>
      </c>
      <c r="E966" s="1251"/>
      <c r="F966" s="3564">
        <f t="shared" si="40"/>
        <v>0</v>
      </c>
    </row>
    <row r="967" spans="1:6" s="4266" customFormat="1" ht="12.75" customHeight="1">
      <c r="A967" s="4304"/>
      <c r="B967" s="4304" t="s">
        <v>3937</v>
      </c>
      <c r="C967" s="4305"/>
      <c r="D967" s="4305"/>
      <c r="E967" s="4305"/>
      <c r="F967" s="4307">
        <f>SUM(F932:F966)</f>
        <v>0</v>
      </c>
    </row>
    <row r="968" spans="1:6" s="4225" customFormat="1" ht="15" customHeight="1">
      <c r="A968" s="4393"/>
      <c r="B968" s="3435"/>
      <c r="C968" s="3538"/>
      <c r="D968" s="4263"/>
      <c r="E968" s="4233"/>
      <c r="F968" s="4233"/>
    </row>
    <row r="969" spans="1:6" s="4225" customFormat="1" ht="15" customHeight="1">
      <c r="A969" s="4278" t="s">
        <v>3938</v>
      </c>
      <c r="B969" s="3435" t="s">
        <v>3705</v>
      </c>
      <c r="C969" s="3538"/>
      <c r="D969" s="4263"/>
      <c r="E969" s="4233"/>
      <c r="F969" s="4233"/>
    </row>
    <row r="970" spans="1:6" ht="56.25" customHeight="1">
      <c r="A970" s="4416">
        <v>1</v>
      </c>
      <c r="B970" s="4370" t="s">
        <v>3950</v>
      </c>
      <c r="C970" s="4231">
        <v>1</v>
      </c>
      <c r="D970" s="4232" t="s">
        <v>2433</v>
      </c>
      <c r="E970" s="4233"/>
      <c r="F970" s="4233">
        <f t="shared" si="40"/>
        <v>0</v>
      </c>
    </row>
    <row r="971" spans="1:6" ht="28.5" customHeight="1">
      <c r="A971" s="4416">
        <v>2</v>
      </c>
      <c r="B971" s="4370" t="s">
        <v>3942</v>
      </c>
      <c r="C971" s="4231">
        <v>10</v>
      </c>
      <c r="D971" s="4249" t="s">
        <v>3476</v>
      </c>
      <c r="E971" s="4233"/>
      <c r="F971" s="4233">
        <f t="shared" si="40"/>
        <v>0</v>
      </c>
    </row>
    <row r="972" spans="1:6" s="3531" customFormat="1" ht="45.75" customHeight="1">
      <c r="A972" s="4358">
        <v>3</v>
      </c>
      <c r="B972" s="4370" t="s">
        <v>3951</v>
      </c>
      <c r="C972" s="4191">
        <v>1</v>
      </c>
      <c r="D972" s="4217" t="s">
        <v>42</v>
      </c>
      <c r="E972" s="4210"/>
      <c r="F972" s="4359">
        <f>+ROUND((E972*C972),2)</f>
        <v>0</v>
      </c>
    </row>
    <row r="973" spans="1:6" s="3531" customFormat="1" ht="18" customHeight="1">
      <c r="A973" s="4358">
        <v>4</v>
      </c>
      <c r="B973" s="4370" t="s">
        <v>3952</v>
      </c>
      <c r="C973" s="4191"/>
      <c r="D973" s="4249" t="s">
        <v>3476</v>
      </c>
      <c r="E973" s="4210"/>
      <c r="F973" s="4359">
        <f>+ROUND((E973*C973),2)</f>
        <v>0</v>
      </c>
    </row>
    <row r="974" spans="1:6" s="4266" customFormat="1" ht="12.75" customHeight="1">
      <c r="A974" s="4304"/>
      <c r="B974" s="4304" t="s">
        <v>3939</v>
      </c>
      <c r="C974" s="4305"/>
      <c r="D974" s="4305"/>
      <c r="E974" s="4305"/>
      <c r="F974" s="4307">
        <f>SUM(F970:F973)</f>
        <v>0</v>
      </c>
    </row>
    <row r="975" spans="1:6" s="4240" customFormat="1">
      <c r="A975" s="4417"/>
      <c r="B975" s="4372" t="s">
        <v>15</v>
      </c>
      <c r="C975" s="4373"/>
      <c r="D975" s="4374"/>
      <c r="E975" s="4373"/>
      <c r="F975" s="4418">
        <f>F976</f>
        <v>0</v>
      </c>
    </row>
    <row r="976" spans="1:6" s="4240" customFormat="1">
      <c r="A976" s="4417"/>
      <c r="B976" s="4372" t="s">
        <v>15</v>
      </c>
      <c r="C976" s="4373"/>
      <c r="D976" s="4374"/>
      <c r="E976" s="4373"/>
      <c r="F976" s="4418">
        <f>+F974+F967+F929+F860+F803+F785+F729+F689+F624+F492+F445+F367+F180</f>
        <v>0</v>
      </c>
    </row>
    <row r="977" spans="1:6" ht="14.25">
      <c r="A977" s="4412"/>
      <c r="B977" s="4230"/>
      <c r="C977" s="4231"/>
      <c r="D977" s="4232"/>
      <c r="E977" s="4231"/>
      <c r="F977" s="4233" t="str">
        <f t="shared" si="40"/>
        <v xml:space="preserve"> </v>
      </c>
    </row>
    <row r="978" spans="1:6" s="4222" customFormat="1" ht="15" collapsed="1">
      <c r="A978" s="4400"/>
      <c r="B978" s="4214" t="s">
        <v>16</v>
      </c>
      <c r="C978" s="4335"/>
      <c r="D978" s="4336"/>
      <c r="E978" s="4310"/>
      <c r="F978" s="4310"/>
    </row>
    <row r="979" spans="1:6" ht="14.25">
      <c r="A979" s="4412"/>
      <c r="B979" s="4293" t="s">
        <v>3562</v>
      </c>
      <c r="C979" s="4379">
        <v>0.1</v>
      </c>
      <c r="D979" s="4247"/>
      <c r="E979" s="4402"/>
      <c r="F979" s="1263">
        <f>+C979*$F$976</f>
        <v>0</v>
      </c>
    </row>
    <row r="980" spans="1:6" ht="14.25">
      <c r="A980" s="4412"/>
      <c r="B980" s="4293" t="s">
        <v>3563</v>
      </c>
      <c r="C980" s="4379">
        <v>0.05</v>
      </c>
      <c r="D980" s="4247"/>
      <c r="E980" s="4402"/>
      <c r="F980" s="1263">
        <f t="shared" ref="F980:F990" si="41">+C980*$F$976</f>
        <v>0</v>
      </c>
    </row>
    <row r="981" spans="1:6" ht="14.25">
      <c r="A981" s="4412"/>
      <c r="B981" s="4293" t="s">
        <v>3564</v>
      </c>
      <c r="C981" s="4379">
        <v>0.03</v>
      </c>
      <c r="D981" s="4247"/>
      <c r="E981" s="4402"/>
      <c r="F981" s="1263">
        <f t="shared" si="41"/>
        <v>0</v>
      </c>
    </row>
    <row r="982" spans="1:6" ht="14.25">
      <c r="A982" s="4412"/>
      <c r="B982" s="4293" t="s">
        <v>3565</v>
      </c>
      <c r="C982" s="4379">
        <v>0.04</v>
      </c>
      <c r="D982" s="4247"/>
      <c r="E982" s="4402"/>
      <c r="F982" s="1263">
        <f t="shared" si="41"/>
        <v>0</v>
      </c>
    </row>
    <row r="983" spans="1:6" ht="14.25">
      <c r="A983" s="4412"/>
      <c r="B983" s="4293" t="s">
        <v>3566</v>
      </c>
      <c r="C983" s="4379">
        <v>0.03</v>
      </c>
      <c r="D983" s="4247"/>
      <c r="E983" s="4402"/>
      <c r="F983" s="1263">
        <f t="shared" si="41"/>
        <v>0</v>
      </c>
    </row>
    <row r="984" spans="1:6" ht="14.25">
      <c r="A984" s="4412"/>
      <c r="B984" s="4293" t="s">
        <v>3567</v>
      </c>
      <c r="C984" s="4379">
        <v>0.01</v>
      </c>
      <c r="D984" s="4247"/>
      <c r="E984" s="4402"/>
      <c r="F984" s="1263">
        <f t="shared" si="41"/>
        <v>0</v>
      </c>
    </row>
    <row r="985" spans="1:6" ht="14.25">
      <c r="A985" s="4412"/>
      <c r="B985" s="4293" t="s">
        <v>3940</v>
      </c>
      <c r="C985" s="4379">
        <v>0.18</v>
      </c>
      <c r="D985" s="4247"/>
      <c r="E985" s="4402"/>
      <c r="F985" s="1263">
        <f>+C985*$F$979</f>
        <v>0</v>
      </c>
    </row>
    <row r="986" spans="1:6" ht="14.25">
      <c r="A986" s="4388"/>
      <c r="B986" s="4293" t="s">
        <v>3568</v>
      </c>
      <c r="C986" s="4379">
        <v>0.1</v>
      </c>
      <c r="D986" s="4247"/>
      <c r="E986" s="4402"/>
      <c r="F986" s="1263">
        <f t="shared" si="41"/>
        <v>0</v>
      </c>
    </row>
    <row r="987" spans="1:6" ht="28.5">
      <c r="A987" s="4388"/>
      <c r="B987" s="4293" t="s">
        <v>4015</v>
      </c>
      <c r="C987" s="4379">
        <v>0.03</v>
      </c>
      <c r="D987" s="4247"/>
      <c r="E987" s="4402"/>
      <c r="F987" s="1263">
        <f t="shared" si="41"/>
        <v>0</v>
      </c>
    </row>
    <row r="988" spans="1:6" ht="14.25">
      <c r="A988" s="4388"/>
      <c r="B988" s="4293" t="s">
        <v>3569</v>
      </c>
      <c r="C988" s="4379">
        <v>1.4999999999999999E-2</v>
      </c>
      <c r="D988" s="4247"/>
      <c r="E988" s="4402"/>
      <c r="F988" s="1263">
        <f t="shared" si="41"/>
        <v>0</v>
      </c>
    </row>
    <row r="989" spans="1:6" ht="14.25">
      <c r="A989" s="4388"/>
      <c r="B989" s="4293" t="s">
        <v>459</v>
      </c>
      <c r="C989" s="4379">
        <v>1E-3</v>
      </c>
      <c r="D989" s="4247"/>
      <c r="E989" s="4402"/>
      <c r="F989" s="1263">
        <f t="shared" si="41"/>
        <v>0</v>
      </c>
    </row>
    <row r="990" spans="1:6" ht="14.25">
      <c r="A990" s="4388"/>
      <c r="B990" s="4293" t="s">
        <v>3570</v>
      </c>
      <c r="C990" s="4379">
        <v>0.05</v>
      </c>
      <c r="D990" s="4247"/>
      <c r="E990" s="4402"/>
      <c r="F990" s="1263">
        <f t="shared" si="41"/>
        <v>0</v>
      </c>
    </row>
    <row r="991" spans="1:6" ht="14.25">
      <c r="A991" s="4412"/>
      <c r="B991" s="4293" t="s">
        <v>3941</v>
      </c>
      <c r="C991" s="4246">
        <v>1</v>
      </c>
      <c r="D991" s="4247" t="s">
        <v>42</v>
      </c>
      <c r="E991" s="1263"/>
      <c r="F991" s="1263">
        <f>+E991*C991</f>
        <v>0</v>
      </c>
    </row>
    <row r="992" spans="1:6" ht="14.25">
      <c r="A992" s="4412"/>
      <c r="B992" s="4293" t="s">
        <v>2740</v>
      </c>
      <c r="C992" s="4246">
        <v>1</v>
      </c>
      <c r="D992" s="4247" t="s">
        <v>42</v>
      </c>
      <c r="E992" s="1263"/>
      <c r="F992" s="1263">
        <f>+E992*C992</f>
        <v>0</v>
      </c>
    </row>
    <row r="993" spans="1:6" ht="14.25">
      <c r="A993" s="4412"/>
      <c r="B993" s="4293" t="s">
        <v>3571</v>
      </c>
      <c r="C993" s="4246">
        <v>1</v>
      </c>
      <c r="D993" s="1264" t="s">
        <v>2433</v>
      </c>
      <c r="E993" s="1263"/>
      <c r="F993" s="1263">
        <f>E993*C993</f>
        <v>0</v>
      </c>
    </row>
    <row r="994" spans="1:6" ht="14.25">
      <c r="A994" s="4412"/>
      <c r="B994" s="4293" t="s">
        <v>3560</v>
      </c>
      <c r="C994" s="4246">
        <v>1</v>
      </c>
      <c r="D994" s="1264" t="s">
        <v>2433</v>
      </c>
      <c r="E994" s="1263"/>
      <c r="F994" s="1263">
        <f>E994*C994</f>
        <v>0</v>
      </c>
    </row>
    <row r="995" spans="1:6" ht="14.25">
      <c r="A995" s="4388"/>
      <c r="B995" s="4371" t="s">
        <v>23</v>
      </c>
      <c r="C995" s="4380"/>
      <c r="D995" s="4381"/>
      <c r="E995" s="4245"/>
      <c r="F995" s="4367">
        <f>SUBTOTAL(9,F978:F994)</f>
        <v>0</v>
      </c>
    </row>
    <row r="996" spans="1:6" s="4377" customFormat="1" ht="15.75" thickBot="1">
      <c r="A996" s="4419"/>
      <c r="B996" s="4378" t="s">
        <v>3948</v>
      </c>
      <c r="C996" s="4375"/>
      <c r="D996" s="4376"/>
      <c r="E996" s="4375"/>
      <c r="F996" s="4420">
        <f>+F995+F976</f>
        <v>0</v>
      </c>
    </row>
    <row r="997" spans="1:6" s="4222" customFormat="1" ht="15">
      <c r="A997" s="4391"/>
      <c r="B997" s="4429"/>
      <c r="C997" s="4212"/>
      <c r="D997" s="4217"/>
      <c r="E997" s="4212"/>
      <c r="F997" s="4310"/>
    </row>
    <row r="998" spans="1:6" s="4377" customFormat="1" ht="15">
      <c r="A998" s="4421"/>
      <c r="B998" s="4422" t="s">
        <v>3949</v>
      </c>
      <c r="C998" s="4423"/>
      <c r="D998" s="4424"/>
      <c r="E998" s="4423"/>
      <c r="F998" s="4425">
        <f>+F996</f>
        <v>0</v>
      </c>
    </row>
    <row r="999" spans="1:6" ht="14.25">
      <c r="A999" s="3436"/>
      <c r="B999" s="3437"/>
      <c r="C999" s="4294"/>
      <c r="D999" s="4295"/>
      <c r="E999" s="4279"/>
      <c r="F999" s="4279"/>
    </row>
  </sheetData>
  <autoFilter ref="A11:F1003"/>
  <mergeCells count="5">
    <mergeCell ref="A2:F2"/>
    <mergeCell ref="A3:F3"/>
    <mergeCell ref="A4:F4"/>
    <mergeCell ref="A5:F5"/>
    <mergeCell ref="B8:E8"/>
  </mergeCells>
  <conditionalFormatting sqref="F1">
    <cfRule type="cellIs" dxfId="5" priority="3" operator="lessThan">
      <formula>0</formula>
    </cfRule>
  </conditionalFormatting>
  <conditionalFormatting sqref="E1">
    <cfRule type="cellIs" dxfId="4" priority="1" operator="greaterThan">
      <formula>0</formula>
    </cfRule>
    <cfRule type="cellIs" dxfId="3"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020"/>
  <sheetViews>
    <sheetView showZeros="0" view="pageBreakPreview" topLeftCell="A641" zoomScale="85" zoomScaleNormal="100" zoomScaleSheetLayoutView="85" workbookViewId="0">
      <selection activeCell="H1" sqref="H1"/>
    </sheetView>
  </sheetViews>
  <sheetFormatPr baseColWidth="10" defaultColWidth="11.42578125" defaultRowHeight="12.75" outlineLevelRow="1"/>
  <cols>
    <col min="1" max="1" width="9.7109375" style="3146" customWidth="1"/>
    <col min="2" max="2" width="64" style="4297" customWidth="1"/>
    <col min="3" max="3" width="10.7109375" style="3557" customWidth="1"/>
    <col min="4" max="4" width="9" style="4224" customWidth="1"/>
    <col min="5" max="5" width="13" style="3557" customWidth="1"/>
    <col min="6" max="6" width="15.28515625" style="3557" customWidth="1"/>
    <col min="7" max="7" width="12.7109375" style="3557" bestFit="1" customWidth="1"/>
    <col min="8" max="16384" width="11.42578125" style="3557"/>
  </cols>
  <sheetData>
    <row r="1" spans="1:6" s="4236" customFormat="1">
      <c r="A1" s="4426"/>
      <c r="B1" s="1904"/>
      <c r="C1" s="4234"/>
      <c r="D1" s="4235"/>
      <c r="E1" s="4241"/>
      <c r="F1" s="4241"/>
    </row>
    <row r="2" spans="1:6" s="4236" customFormat="1" ht="15">
      <c r="A2" s="4879" t="s">
        <v>5</v>
      </c>
      <c r="B2" s="4879"/>
      <c r="C2" s="4879"/>
      <c r="D2" s="4879"/>
      <c r="E2" s="4879"/>
      <c r="F2" s="4879"/>
    </row>
    <row r="3" spans="1:6" s="4236" customFormat="1" ht="15">
      <c r="A3" s="4879" t="s">
        <v>6</v>
      </c>
      <c r="B3" s="4879"/>
      <c r="C3" s="4879"/>
      <c r="D3" s="4879"/>
      <c r="E3" s="4879"/>
      <c r="F3" s="4879"/>
    </row>
    <row r="4" spans="1:6" s="4236" customFormat="1" ht="15">
      <c r="A4" s="4879" t="s">
        <v>7</v>
      </c>
      <c r="B4" s="4879"/>
      <c r="C4" s="4879"/>
      <c r="D4" s="4879"/>
      <c r="E4" s="4879"/>
      <c r="F4" s="4879"/>
    </row>
    <row r="5" spans="1:6" s="4236" customFormat="1" ht="15">
      <c r="A5" s="4879" t="s">
        <v>60</v>
      </c>
      <c r="B5" s="4879"/>
      <c r="C5" s="4879"/>
      <c r="D5" s="4879"/>
      <c r="E5" s="4879"/>
      <c r="F5" s="4879"/>
    </row>
    <row r="6" spans="1:6" s="4236" customFormat="1">
      <c r="A6" s="4426"/>
      <c r="B6" s="4427"/>
      <c r="C6" s="4234"/>
      <c r="D6" s="4235"/>
      <c r="E6" s="4234"/>
      <c r="F6" s="4241"/>
    </row>
    <row r="7" spans="1:6" s="4240" customFormat="1" ht="15">
      <c r="A7" s="4495" t="s">
        <v>3959</v>
      </c>
      <c r="B7" s="4431"/>
      <c r="C7" s="4432"/>
      <c r="D7" s="4494"/>
      <c r="E7" s="4433"/>
      <c r="F7" s="4239"/>
    </row>
    <row r="8" spans="1:6" s="4240" customFormat="1" ht="15">
      <c r="A8" s="4495" t="s">
        <v>2210</v>
      </c>
      <c r="B8" s="4880" t="s">
        <v>4030</v>
      </c>
      <c r="C8" s="4880"/>
      <c r="D8" s="4880"/>
      <c r="E8" s="4880"/>
      <c r="F8" s="4239"/>
    </row>
    <row r="9" spans="1:6" s="4240" customFormat="1" ht="15">
      <c r="A9" s="4495" t="s">
        <v>3958</v>
      </c>
      <c r="B9" s="4237"/>
      <c r="C9" s="4432"/>
      <c r="D9" s="4494" t="s">
        <v>3957</v>
      </c>
      <c r="E9" s="4433"/>
      <c r="F9" s="4239"/>
    </row>
    <row r="10" spans="1:6">
      <c r="A10" s="3145"/>
      <c r="B10" s="1904"/>
      <c r="C10" s="4234"/>
      <c r="D10" s="4235"/>
      <c r="E10" s="4241"/>
      <c r="F10" s="4241"/>
    </row>
    <row r="11" spans="1:6" s="4242" customFormat="1">
      <c r="A11" s="4382" t="s">
        <v>3782</v>
      </c>
      <c r="B11" s="4383" t="s">
        <v>3783</v>
      </c>
      <c r="C11" s="4384" t="s">
        <v>286</v>
      </c>
      <c r="D11" s="4384" t="s">
        <v>976</v>
      </c>
      <c r="E11" s="4384" t="s">
        <v>534</v>
      </c>
      <c r="F11" s="4385" t="s">
        <v>3784</v>
      </c>
    </row>
    <row r="12" spans="1:6">
      <c r="A12" s="4386"/>
      <c r="B12" s="1738"/>
      <c r="C12" s="4387"/>
      <c r="D12" s="4510"/>
      <c r="E12" s="1263"/>
      <c r="F12" s="4387"/>
    </row>
    <row r="13" spans="1:6" s="4225" customFormat="1" ht="30">
      <c r="A13" s="4278" t="s">
        <v>482</v>
      </c>
      <c r="B13" s="3435" t="s">
        <v>2317</v>
      </c>
      <c r="C13" s="4231"/>
      <c r="D13" s="4249"/>
      <c r="E13" s="4233"/>
      <c r="F13" s="4233"/>
    </row>
    <row r="14" spans="1:6" ht="14.25">
      <c r="A14" s="4388"/>
      <c r="B14" s="4230"/>
      <c r="C14" s="4231"/>
      <c r="D14" s="4249"/>
      <c r="E14" s="4233"/>
      <c r="F14" s="4233"/>
    </row>
    <row r="15" spans="1:6" ht="15">
      <c r="A15" s="4389">
        <v>1</v>
      </c>
      <c r="B15" s="4343" t="s">
        <v>2165</v>
      </c>
      <c r="C15" s="4246"/>
      <c r="D15" s="4249"/>
      <c r="E15" s="4233"/>
      <c r="F15" s="4233"/>
    </row>
    <row r="16" spans="1:6" ht="28.5">
      <c r="A16" s="4388">
        <v>1.01</v>
      </c>
      <c r="B16" s="4230" t="s">
        <v>3912</v>
      </c>
      <c r="C16" s="4246">
        <v>12</v>
      </c>
      <c r="D16" s="4249" t="s">
        <v>4031</v>
      </c>
      <c r="E16" s="4363">
        <v>20000</v>
      </c>
      <c r="F16" s="1263">
        <f>IF(C16&gt;0,(ROUND((E16*C16),2))," ")</f>
        <v>240000</v>
      </c>
    </row>
    <row r="17" spans="1:7" ht="14.25">
      <c r="A17" s="4388"/>
      <c r="B17" s="4230"/>
      <c r="C17" s="4246"/>
      <c r="D17" s="4249"/>
      <c r="E17" s="4363"/>
      <c r="F17" s="1263"/>
    </row>
    <row r="18" spans="1:7" ht="15">
      <c r="A18" s="4389">
        <v>2</v>
      </c>
      <c r="B18" s="4207" t="s">
        <v>1250</v>
      </c>
      <c r="C18" s="4246"/>
      <c r="D18" s="4249"/>
      <c r="E18" s="1263"/>
      <c r="F18" s="1263" t="str">
        <f t="shared" ref="F18:F81" si="0">IF(C18&gt;0,(ROUND((E18*C18),2))," ")</f>
        <v xml:space="preserve"> </v>
      </c>
    </row>
    <row r="19" spans="1:7" s="4236" customFormat="1" ht="15">
      <c r="A19" s="4390">
        <v>2.1</v>
      </c>
      <c r="B19" s="4343" t="s">
        <v>3785</v>
      </c>
      <c r="C19" s="1263"/>
      <c r="D19" s="4249"/>
      <c r="E19" s="1263"/>
      <c r="F19" s="1263" t="str">
        <f t="shared" si="0"/>
        <v xml:space="preserve"> </v>
      </c>
      <c r="G19" s="3557"/>
    </row>
    <row r="20" spans="1:7" s="4222" customFormat="1" ht="14.25">
      <c r="A20" s="4388" t="s">
        <v>1182</v>
      </c>
      <c r="B20" s="4344" t="s">
        <v>3872</v>
      </c>
      <c r="C20" s="4246">
        <v>4880.78</v>
      </c>
      <c r="D20" s="4311" t="s">
        <v>3154</v>
      </c>
      <c r="E20" s="4210">
        <v>63.19</v>
      </c>
      <c r="F20" s="4210">
        <f t="shared" si="0"/>
        <v>308416.49</v>
      </c>
      <c r="G20" s="3557"/>
    </row>
    <row r="21" spans="1:7" s="4222" customFormat="1" ht="28.5">
      <c r="A21" s="4391" t="s">
        <v>1183</v>
      </c>
      <c r="B21" s="3563" t="s">
        <v>2967</v>
      </c>
      <c r="C21" s="4246">
        <v>6100.98</v>
      </c>
      <c r="D21" s="4311" t="s">
        <v>2525</v>
      </c>
      <c r="E21" s="4210">
        <v>210</v>
      </c>
      <c r="F21" s="4210">
        <f t="shared" si="0"/>
        <v>1281205.8</v>
      </c>
      <c r="G21" s="3557"/>
    </row>
    <row r="22" spans="1:7" ht="15">
      <c r="A22" s="4388"/>
      <c r="B22" s="4250"/>
      <c r="C22" s="4246"/>
      <c r="D22" s="4249"/>
      <c r="E22" s="1263"/>
      <c r="F22" s="1263" t="str">
        <f t="shared" si="0"/>
        <v xml:space="preserve"> </v>
      </c>
    </row>
    <row r="23" spans="1:7" s="4252" customFormat="1" ht="15">
      <c r="A23" s="4389">
        <v>3</v>
      </c>
      <c r="B23" s="4343" t="s">
        <v>38</v>
      </c>
      <c r="C23" s="4360"/>
      <c r="D23" s="4511"/>
      <c r="E23" s="4364"/>
      <c r="F23" s="1263" t="str">
        <f t="shared" si="0"/>
        <v xml:space="preserve"> </v>
      </c>
      <c r="G23" s="3557"/>
    </row>
    <row r="24" spans="1:7" ht="14.25">
      <c r="A24" s="4392">
        <v>3.1</v>
      </c>
      <c r="B24" s="4248" t="s">
        <v>3572</v>
      </c>
      <c r="C24" s="4246">
        <v>638.83000000000004</v>
      </c>
      <c r="D24" s="4249" t="s">
        <v>3154</v>
      </c>
      <c r="E24" s="4365">
        <v>154.51</v>
      </c>
      <c r="F24" s="1263">
        <f t="shared" si="0"/>
        <v>98705.62</v>
      </c>
    </row>
    <row r="25" spans="1:7" ht="14.25">
      <c r="A25" s="4392">
        <v>3.2</v>
      </c>
      <c r="B25" s="4248" t="s">
        <v>2968</v>
      </c>
      <c r="C25" s="4246">
        <v>70.62</v>
      </c>
      <c r="D25" s="4249" t="s">
        <v>2431</v>
      </c>
      <c r="E25" s="4365">
        <v>108.87</v>
      </c>
      <c r="F25" s="1263">
        <f t="shared" si="0"/>
        <v>7688.4</v>
      </c>
    </row>
    <row r="26" spans="1:7" ht="28.5">
      <c r="A26" s="4392">
        <v>3.3</v>
      </c>
      <c r="B26" s="4230" t="s">
        <v>2342</v>
      </c>
      <c r="C26" s="4246">
        <v>852.32</v>
      </c>
      <c r="D26" s="4249" t="s">
        <v>2525</v>
      </c>
      <c r="E26" s="4363">
        <v>210</v>
      </c>
      <c r="F26" s="1263">
        <f t="shared" si="0"/>
        <v>178987.2</v>
      </c>
    </row>
    <row r="27" spans="1:7" ht="15">
      <c r="A27" s="4393"/>
      <c r="B27" s="3435"/>
      <c r="C27" s="4246"/>
      <c r="D27" s="4249"/>
      <c r="E27" s="1263"/>
      <c r="F27" s="1263" t="str">
        <f t="shared" si="0"/>
        <v xml:space="preserve"> </v>
      </c>
    </row>
    <row r="28" spans="1:7" s="4254" customFormat="1" ht="15">
      <c r="A28" s="4389">
        <v>4</v>
      </c>
      <c r="B28" s="4343" t="s">
        <v>2970</v>
      </c>
      <c r="C28" s="4360"/>
      <c r="D28" s="4511"/>
      <c r="E28" s="4364"/>
      <c r="F28" s="1263" t="str">
        <f t="shared" si="0"/>
        <v xml:space="preserve"> </v>
      </c>
      <c r="G28" s="3557"/>
    </row>
    <row r="29" spans="1:7" s="4254" customFormat="1" ht="15">
      <c r="A29" s="3538">
        <v>4.0999999999999996</v>
      </c>
      <c r="B29" s="4343" t="s">
        <v>3812</v>
      </c>
      <c r="C29" s="4360"/>
      <c r="D29" s="4511"/>
      <c r="E29" s="4364"/>
      <c r="F29" s="1263" t="str">
        <f t="shared" si="0"/>
        <v xml:space="preserve"> </v>
      </c>
      <c r="G29" s="3557"/>
    </row>
    <row r="30" spans="1:7" s="4166" customFormat="1" ht="14.25">
      <c r="A30" s="4388" t="s">
        <v>592</v>
      </c>
      <c r="B30" s="4255" t="s">
        <v>2971</v>
      </c>
      <c r="C30" s="4246">
        <v>0.65</v>
      </c>
      <c r="D30" s="4249" t="s">
        <v>2430</v>
      </c>
      <c r="E30" s="1263">
        <v>9462.32</v>
      </c>
      <c r="F30" s="1263">
        <f t="shared" si="0"/>
        <v>6150.51</v>
      </c>
      <c r="G30" s="3557"/>
    </row>
    <row r="31" spans="1:7" s="4166" customFormat="1" ht="14.25">
      <c r="A31" s="4388" t="s">
        <v>594</v>
      </c>
      <c r="B31" s="4255" t="s">
        <v>2972</v>
      </c>
      <c r="C31" s="4246">
        <v>0.28999999999999998</v>
      </c>
      <c r="D31" s="4249" t="s">
        <v>2430</v>
      </c>
      <c r="E31" s="1263">
        <v>12970.11</v>
      </c>
      <c r="F31" s="1263">
        <f t="shared" si="0"/>
        <v>3761.33</v>
      </c>
      <c r="G31" s="3557"/>
    </row>
    <row r="32" spans="1:7" s="4166" customFormat="1" ht="15">
      <c r="A32" s="4393"/>
      <c r="B32" s="3435"/>
      <c r="C32" s="4246"/>
      <c r="D32" s="4249"/>
      <c r="E32" s="1263"/>
      <c r="F32" s="1263" t="str">
        <f t="shared" si="0"/>
        <v xml:space="preserve"> </v>
      </c>
      <c r="G32" s="3557"/>
    </row>
    <row r="33" spans="1:7" s="4166" customFormat="1" ht="15">
      <c r="A33" s="3538">
        <v>4.2</v>
      </c>
      <c r="B33" s="4343" t="s">
        <v>2973</v>
      </c>
      <c r="C33" s="4246"/>
      <c r="D33" s="4249"/>
      <c r="E33" s="1263"/>
      <c r="F33" s="1263" t="str">
        <f t="shared" si="0"/>
        <v xml:space="preserve"> </v>
      </c>
      <c r="G33" s="3557"/>
    </row>
    <row r="34" spans="1:7" s="4166" customFormat="1" ht="14.25">
      <c r="A34" s="3539" t="s">
        <v>601</v>
      </c>
      <c r="B34" s="3540" t="s">
        <v>2974</v>
      </c>
      <c r="C34" s="4246">
        <v>5.72</v>
      </c>
      <c r="D34" s="4249" t="s">
        <v>2432</v>
      </c>
      <c r="E34" s="1263">
        <v>1721.2</v>
      </c>
      <c r="F34" s="1263">
        <f>IF(C34&gt;0,(ROUND((E34*C34),2))," ")</f>
        <v>9845.26</v>
      </c>
      <c r="G34" s="3557"/>
    </row>
    <row r="35" spans="1:7" s="4166" customFormat="1" ht="15">
      <c r="A35" s="4393"/>
      <c r="B35" s="3435"/>
      <c r="C35" s="4246"/>
      <c r="D35" s="4249"/>
      <c r="E35" s="1263"/>
      <c r="F35" s="1263" t="str">
        <f t="shared" si="0"/>
        <v xml:space="preserve"> </v>
      </c>
      <c r="G35" s="3557"/>
    </row>
    <row r="36" spans="1:7" s="4166" customFormat="1" ht="15">
      <c r="A36" s="3538">
        <v>4.3</v>
      </c>
      <c r="B36" s="4343" t="s">
        <v>3706</v>
      </c>
      <c r="C36" s="4246"/>
      <c r="D36" s="4249"/>
      <c r="E36" s="1263"/>
      <c r="F36" s="1263" t="str">
        <f t="shared" si="0"/>
        <v xml:space="preserve"> </v>
      </c>
      <c r="G36" s="3557"/>
    </row>
    <row r="37" spans="1:7" s="4166" customFormat="1" ht="14.25">
      <c r="A37" s="3539" t="s">
        <v>3786</v>
      </c>
      <c r="B37" s="4255" t="s">
        <v>2435</v>
      </c>
      <c r="C37" s="4246">
        <v>1.2</v>
      </c>
      <c r="D37" s="4249" t="s">
        <v>2432</v>
      </c>
      <c r="E37" s="1263">
        <v>611.6</v>
      </c>
      <c r="F37" s="1263">
        <f t="shared" si="0"/>
        <v>733.92</v>
      </c>
      <c r="G37" s="3557"/>
    </row>
    <row r="38" spans="1:7" s="4166" customFormat="1" ht="14.25">
      <c r="A38" s="3539" t="s">
        <v>3787</v>
      </c>
      <c r="B38" s="4255" t="s">
        <v>2344</v>
      </c>
      <c r="C38" s="4246">
        <v>4.4000000000000004</v>
      </c>
      <c r="D38" s="4249" t="s">
        <v>2432</v>
      </c>
      <c r="E38" s="1263">
        <v>396.6</v>
      </c>
      <c r="F38" s="1263">
        <f t="shared" si="0"/>
        <v>1745.04</v>
      </c>
      <c r="G38" s="3557"/>
    </row>
    <row r="39" spans="1:7" s="4166" customFormat="1" ht="14.25">
      <c r="A39" s="3539" t="s">
        <v>3788</v>
      </c>
      <c r="B39" s="4255" t="s">
        <v>2345</v>
      </c>
      <c r="C39" s="4246">
        <v>5.04</v>
      </c>
      <c r="D39" s="4249" t="s">
        <v>2432</v>
      </c>
      <c r="E39" s="1263">
        <v>382.2</v>
      </c>
      <c r="F39" s="1263">
        <f t="shared" si="0"/>
        <v>1926.29</v>
      </c>
      <c r="G39" s="3557"/>
    </row>
    <row r="40" spans="1:7" s="4166" customFormat="1" ht="14.25">
      <c r="A40" s="3539" t="s">
        <v>3789</v>
      </c>
      <c r="B40" s="4255" t="s">
        <v>1548</v>
      </c>
      <c r="C40" s="4246">
        <v>14</v>
      </c>
      <c r="D40" s="4249" t="s">
        <v>1</v>
      </c>
      <c r="E40" s="1263">
        <v>107.14</v>
      </c>
      <c r="F40" s="1263">
        <f t="shared" si="0"/>
        <v>1499.96</v>
      </c>
      <c r="G40" s="3557"/>
    </row>
    <row r="41" spans="1:7" ht="15">
      <c r="A41" s="4393"/>
      <c r="B41" s="3435"/>
      <c r="C41" s="4246"/>
      <c r="D41" s="4249"/>
      <c r="E41" s="1263"/>
      <c r="F41" s="1263" t="str">
        <f t="shared" si="0"/>
        <v xml:space="preserve"> </v>
      </c>
    </row>
    <row r="42" spans="1:7" s="4254" customFormat="1" ht="15">
      <c r="A42" s="4389">
        <v>5</v>
      </c>
      <c r="B42" s="4343" t="s">
        <v>2975</v>
      </c>
      <c r="C42" s="4360"/>
      <c r="D42" s="4511"/>
      <c r="E42" s="4364"/>
      <c r="F42" s="1263" t="str">
        <f t="shared" si="0"/>
        <v xml:space="preserve"> </v>
      </c>
      <c r="G42" s="3557"/>
    </row>
    <row r="43" spans="1:7" s="4254" customFormat="1" ht="15">
      <c r="A43" s="3538">
        <v>5.0999999999999996</v>
      </c>
      <c r="B43" s="4343" t="s">
        <v>3812</v>
      </c>
      <c r="C43" s="4360"/>
      <c r="D43" s="4511"/>
      <c r="E43" s="4364"/>
      <c r="F43" s="1263" t="str">
        <f t="shared" si="0"/>
        <v xml:space="preserve"> </v>
      </c>
      <c r="G43" s="3557"/>
    </row>
    <row r="44" spans="1:7" s="4166" customFormat="1" ht="14.25">
      <c r="A44" s="4388" t="s">
        <v>608</v>
      </c>
      <c r="B44" s="4255" t="s">
        <v>2971</v>
      </c>
      <c r="C44" s="4246">
        <v>0.67</v>
      </c>
      <c r="D44" s="4249" t="s">
        <v>2430</v>
      </c>
      <c r="E44" s="1263">
        <v>9462.32</v>
      </c>
      <c r="F44" s="1263">
        <f t="shared" si="0"/>
        <v>6339.75</v>
      </c>
      <c r="G44" s="3557"/>
    </row>
    <row r="45" spans="1:7" s="4166" customFormat="1" ht="14.25">
      <c r="A45" s="4388" t="s">
        <v>610</v>
      </c>
      <c r="B45" s="4255" t="s">
        <v>2972</v>
      </c>
      <c r="C45" s="4246">
        <v>0.37</v>
      </c>
      <c r="D45" s="4249" t="s">
        <v>2430</v>
      </c>
      <c r="E45" s="1263">
        <v>12970.11</v>
      </c>
      <c r="F45" s="1263">
        <f t="shared" si="0"/>
        <v>4798.9399999999996</v>
      </c>
      <c r="G45" s="3557"/>
    </row>
    <row r="46" spans="1:7" s="4166" customFormat="1" ht="15">
      <c r="A46" s="4393"/>
      <c r="B46" s="3435"/>
      <c r="C46" s="4246"/>
      <c r="D46" s="4249"/>
      <c r="E46" s="1263"/>
      <c r="F46" s="1263" t="str">
        <f t="shared" si="0"/>
        <v xml:space="preserve"> </v>
      </c>
      <c r="G46" s="3557"/>
    </row>
    <row r="47" spans="1:7" s="4166" customFormat="1" ht="15">
      <c r="A47" s="3538">
        <v>5.2</v>
      </c>
      <c r="B47" s="4343" t="s">
        <v>2973</v>
      </c>
      <c r="C47" s="4246"/>
      <c r="D47" s="4249"/>
      <c r="E47" s="1263"/>
      <c r="F47" s="1263" t="str">
        <f t="shared" si="0"/>
        <v xml:space="preserve"> </v>
      </c>
      <c r="G47" s="3557"/>
    </row>
    <row r="48" spans="1:7" s="4166" customFormat="1" ht="14.25">
      <c r="A48" s="3539" t="s">
        <v>614</v>
      </c>
      <c r="B48" s="4255" t="s">
        <v>2974</v>
      </c>
      <c r="C48" s="4246">
        <v>4.8</v>
      </c>
      <c r="D48" s="4249" t="s">
        <v>2432</v>
      </c>
      <c r="E48" s="1263">
        <v>1721.2</v>
      </c>
      <c r="F48" s="1263">
        <f>IF(C48&gt;0,(ROUND((E48*C48),2))," ")</f>
        <v>8261.76</v>
      </c>
      <c r="G48" s="3557"/>
    </row>
    <row r="49" spans="1:7" s="4166" customFormat="1" ht="15">
      <c r="A49" s="4393"/>
      <c r="B49" s="3435"/>
      <c r="C49" s="4246"/>
      <c r="D49" s="4249"/>
      <c r="E49" s="1263"/>
      <c r="F49" s="1263" t="str">
        <f t="shared" si="0"/>
        <v xml:space="preserve"> </v>
      </c>
      <c r="G49" s="3557"/>
    </row>
    <row r="50" spans="1:7" s="4166" customFormat="1" ht="15">
      <c r="A50" s="3538">
        <v>5.3</v>
      </c>
      <c r="B50" s="4343" t="s">
        <v>3706</v>
      </c>
      <c r="C50" s="4246"/>
      <c r="D50" s="4249"/>
      <c r="E50" s="1263"/>
      <c r="F50" s="1263" t="str">
        <f t="shared" si="0"/>
        <v xml:space="preserve"> </v>
      </c>
      <c r="G50" s="3557"/>
    </row>
    <row r="51" spans="1:7" s="4166" customFormat="1" ht="14.25">
      <c r="A51" s="3539" t="s">
        <v>3790</v>
      </c>
      <c r="B51" s="4255" t="s">
        <v>2435</v>
      </c>
      <c r="C51" s="4246">
        <v>1.6</v>
      </c>
      <c r="D51" s="4249" t="s">
        <v>2432</v>
      </c>
      <c r="E51" s="1263">
        <v>611.6</v>
      </c>
      <c r="F51" s="1263">
        <f t="shared" si="0"/>
        <v>978.56</v>
      </c>
      <c r="G51" s="3557"/>
    </row>
    <row r="52" spans="1:7" s="4166" customFormat="1" ht="14.25">
      <c r="A52" s="3539" t="s">
        <v>3791</v>
      </c>
      <c r="B52" s="4255" t="s">
        <v>2344</v>
      </c>
      <c r="C52" s="4246">
        <v>5.2</v>
      </c>
      <c r="D52" s="4249" t="s">
        <v>2432</v>
      </c>
      <c r="E52" s="1263">
        <v>396.6</v>
      </c>
      <c r="F52" s="1263">
        <f t="shared" si="0"/>
        <v>2062.3200000000002</v>
      </c>
      <c r="G52" s="3557"/>
    </row>
    <row r="53" spans="1:7" s="4166" customFormat="1" ht="14.25">
      <c r="A53" s="3539" t="s">
        <v>3792</v>
      </c>
      <c r="B53" s="4255" t="s">
        <v>2345</v>
      </c>
      <c r="C53" s="4246">
        <v>6.4</v>
      </c>
      <c r="D53" s="4249" t="s">
        <v>2432</v>
      </c>
      <c r="E53" s="1263">
        <v>382.2</v>
      </c>
      <c r="F53" s="1263">
        <f t="shared" si="0"/>
        <v>2446.08</v>
      </c>
      <c r="G53" s="3557"/>
    </row>
    <row r="54" spans="1:7" s="4166" customFormat="1" ht="14.25">
      <c r="A54" s="3539" t="s">
        <v>3793</v>
      </c>
      <c r="B54" s="4255" t="s">
        <v>1548</v>
      </c>
      <c r="C54" s="4246">
        <v>15.6</v>
      </c>
      <c r="D54" s="4249" t="s">
        <v>1</v>
      </c>
      <c r="E54" s="1263">
        <v>107.14</v>
      </c>
      <c r="F54" s="1263">
        <f t="shared" si="0"/>
        <v>1671.38</v>
      </c>
      <c r="G54" s="3557"/>
    </row>
    <row r="55" spans="1:7" ht="15">
      <c r="A55" s="4467"/>
      <c r="B55" s="4468"/>
      <c r="C55" s="4451"/>
      <c r="D55" s="4465"/>
      <c r="E55" s="4453"/>
      <c r="F55" s="4453" t="str">
        <f t="shared" si="0"/>
        <v xml:space="preserve"> </v>
      </c>
    </row>
    <row r="56" spans="1:7" ht="15">
      <c r="A56" s="3538">
        <v>6</v>
      </c>
      <c r="B56" s="4343" t="s">
        <v>3813</v>
      </c>
      <c r="C56" s="1263"/>
      <c r="D56" s="4249"/>
      <c r="E56" s="1263"/>
      <c r="F56" s="1263" t="str">
        <f t="shared" si="0"/>
        <v xml:space="preserve"> </v>
      </c>
    </row>
    <row r="57" spans="1:7" ht="14.25">
      <c r="A57" s="4392">
        <v>6.1</v>
      </c>
      <c r="B57" s="4230" t="s">
        <v>3474</v>
      </c>
      <c r="C57" s="4246">
        <v>0.33</v>
      </c>
      <c r="D57" s="4249" t="s">
        <v>2430</v>
      </c>
      <c r="E57" s="1263">
        <v>16224.18</v>
      </c>
      <c r="F57" s="1263">
        <f t="shared" si="0"/>
        <v>5353.98</v>
      </c>
    </row>
    <row r="58" spans="1:7" ht="14.25">
      <c r="A58" s="4392">
        <v>6.2</v>
      </c>
      <c r="B58" s="4230" t="s">
        <v>3794</v>
      </c>
      <c r="C58" s="4246">
        <v>2.93</v>
      </c>
      <c r="D58" s="4249" t="s">
        <v>2430</v>
      </c>
      <c r="E58" s="1263">
        <v>20814.150000000001</v>
      </c>
      <c r="F58" s="1263">
        <f t="shared" si="0"/>
        <v>60985.46</v>
      </c>
    </row>
    <row r="59" spans="1:7" ht="14.25">
      <c r="A59" s="4392">
        <v>6.3</v>
      </c>
      <c r="B59" s="4230" t="s">
        <v>3795</v>
      </c>
      <c r="C59" s="4246">
        <v>3.69</v>
      </c>
      <c r="D59" s="4249" t="s">
        <v>2430</v>
      </c>
      <c r="E59" s="1263">
        <v>15490.69</v>
      </c>
      <c r="F59" s="1263">
        <f t="shared" si="0"/>
        <v>57160.65</v>
      </c>
    </row>
    <row r="60" spans="1:7" ht="14.25">
      <c r="A60" s="4392">
        <v>6.4</v>
      </c>
      <c r="B60" s="4230" t="s">
        <v>2339</v>
      </c>
      <c r="C60" s="4246">
        <v>226.2</v>
      </c>
      <c r="D60" s="4249" t="s">
        <v>2430</v>
      </c>
      <c r="E60" s="1263">
        <v>20247.240000000002</v>
      </c>
      <c r="F60" s="1263">
        <f t="shared" si="0"/>
        <v>4579925.6900000004</v>
      </c>
    </row>
    <row r="61" spans="1:7" ht="14.25">
      <c r="A61" s="4392">
        <v>6.5</v>
      </c>
      <c r="B61" s="4230" t="s">
        <v>3796</v>
      </c>
      <c r="C61" s="4246">
        <v>1.79</v>
      </c>
      <c r="D61" s="4249" t="s">
        <v>2430</v>
      </c>
      <c r="E61" s="1263">
        <v>14254.28</v>
      </c>
      <c r="F61" s="1263">
        <f t="shared" si="0"/>
        <v>25515.16</v>
      </c>
    </row>
    <row r="62" spans="1:7" ht="14.25">
      <c r="A62" s="4392">
        <v>6.6</v>
      </c>
      <c r="B62" s="4230" t="s">
        <v>2340</v>
      </c>
      <c r="C62" s="4246">
        <v>15.46</v>
      </c>
      <c r="D62" s="4249" t="s">
        <v>2430</v>
      </c>
      <c r="E62" s="1263">
        <v>22090.83</v>
      </c>
      <c r="F62" s="1263">
        <f t="shared" si="0"/>
        <v>341524.23</v>
      </c>
    </row>
    <row r="63" spans="1:7" ht="14.25">
      <c r="A63" s="4392">
        <v>6.7</v>
      </c>
      <c r="B63" s="4230" t="s">
        <v>3797</v>
      </c>
      <c r="C63" s="4246">
        <v>4.9000000000000004</v>
      </c>
      <c r="D63" s="4249" t="s">
        <v>2430</v>
      </c>
      <c r="E63" s="1263">
        <v>19101.88</v>
      </c>
      <c r="F63" s="1263">
        <f t="shared" si="0"/>
        <v>93599.21</v>
      </c>
    </row>
    <row r="64" spans="1:7" ht="14.25">
      <c r="A64" s="4392">
        <v>6.8</v>
      </c>
      <c r="B64" s="4230" t="s">
        <v>3798</v>
      </c>
      <c r="C64" s="4246">
        <v>7.32</v>
      </c>
      <c r="D64" s="4249" t="s">
        <v>2430</v>
      </c>
      <c r="E64" s="1263">
        <v>22618.15</v>
      </c>
      <c r="F64" s="1263">
        <f t="shared" si="0"/>
        <v>165564.85999999999</v>
      </c>
    </row>
    <row r="65" spans="1:6" ht="14.25">
      <c r="A65" s="4392">
        <v>6.9</v>
      </c>
      <c r="B65" s="4230" t="s">
        <v>3799</v>
      </c>
      <c r="C65" s="4246">
        <v>7.4</v>
      </c>
      <c r="D65" s="4249" t="s">
        <v>2430</v>
      </c>
      <c r="E65" s="1263">
        <v>27663.24</v>
      </c>
      <c r="F65" s="1263">
        <f t="shared" si="0"/>
        <v>204707.98</v>
      </c>
    </row>
    <row r="66" spans="1:6" ht="14.25">
      <c r="A66" s="4388">
        <v>6.1</v>
      </c>
      <c r="B66" s="4230" t="s">
        <v>3800</v>
      </c>
      <c r="C66" s="4246">
        <v>2.93</v>
      </c>
      <c r="D66" s="4249" t="s">
        <v>2430</v>
      </c>
      <c r="E66" s="1263">
        <v>21150.49</v>
      </c>
      <c r="F66" s="1263">
        <f t="shared" si="0"/>
        <v>61970.94</v>
      </c>
    </row>
    <row r="67" spans="1:6" ht="14.25">
      <c r="A67" s="4388">
        <v>6.11</v>
      </c>
      <c r="B67" s="4230" t="s">
        <v>2341</v>
      </c>
      <c r="C67" s="4246">
        <v>10.78</v>
      </c>
      <c r="D67" s="4249" t="s">
        <v>2430</v>
      </c>
      <c r="E67" s="1263">
        <v>18582.080000000002</v>
      </c>
      <c r="F67" s="1263">
        <f t="shared" si="0"/>
        <v>200314.82</v>
      </c>
    </row>
    <row r="68" spans="1:6" ht="14.25">
      <c r="A68" s="4388">
        <v>6.12</v>
      </c>
      <c r="B68" s="4230" t="s">
        <v>3475</v>
      </c>
      <c r="C68" s="4246">
        <v>2.92</v>
      </c>
      <c r="D68" s="4249" t="s">
        <v>2430</v>
      </c>
      <c r="E68" s="1263">
        <v>25264.25</v>
      </c>
      <c r="F68" s="1263">
        <f t="shared" si="0"/>
        <v>73771.61</v>
      </c>
    </row>
    <row r="69" spans="1:6" ht="14.25">
      <c r="A69" s="4388">
        <v>6.13</v>
      </c>
      <c r="B69" s="4230" t="s">
        <v>3801</v>
      </c>
      <c r="C69" s="4246">
        <v>0.04</v>
      </c>
      <c r="D69" s="4249" t="s">
        <v>2430</v>
      </c>
      <c r="E69" s="1263">
        <v>23582.560000000001</v>
      </c>
      <c r="F69" s="1263">
        <f t="shared" si="0"/>
        <v>943.3</v>
      </c>
    </row>
    <row r="70" spans="1:6" ht="14.25">
      <c r="A70" s="4388">
        <v>6.14</v>
      </c>
      <c r="B70" s="4230" t="s">
        <v>3802</v>
      </c>
      <c r="C70" s="4246">
        <v>87.63</v>
      </c>
      <c r="D70" s="4249" t="s">
        <v>2430</v>
      </c>
      <c r="E70" s="1263">
        <v>12887.84</v>
      </c>
      <c r="F70" s="1263">
        <f t="shared" si="0"/>
        <v>1129361.42</v>
      </c>
    </row>
    <row r="71" spans="1:6" ht="14.25">
      <c r="A71" s="4388">
        <v>6.15</v>
      </c>
      <c r="B71" s="4230" t="s">
        <v>3803</v>
      </c>
      <c r="C71" s="4246">
        <v>5.59</v>
      </c>
      <c r="D71" s="4249" t="s">
        <v>2430</v>
      </c>
      <c r="E71" s="1263">
        <v>20103.849999999999</v>
      </c>
      <c r="F71" s="1263">
        <f t="shared" si="0"/>
        <v>112380.52</v>
      </c>
    </row>
    <row r="72" spans="1:6" ht="14.25">
      <c r="A72" s="4388">
        <v>6.16</v>
      </c>
      <c r="B72" s="4230" t="s">
        <v>3804</v>
      </c>
      <c r="C72" s="4246">
        <v>1.1299999999999999</v>
      </c>
      <c r="D72" s="4249" t="s">
        <v>2430</v>
      </c>
      <c r="E72" s="1263">
        <v>12734.96</v>
      </c>
      <c r="F72" s="1263">
        <f t="shared" si="0"/>
        <v>14390.5</v>
      </c>
    </row>
    <row r="73" spans="1:6" ht="14.25">
      <c r="A73" s="4388">
        <v>6.17</v>
      </c>
      <c r="B73" s="4230" t="s">
        <v>3805</v>
      </c>
      <c r="C73" s="4246">
        <v>0.86</v>
      </c>
      <c r="D73" s="4249" t="s">
        <v>2430</v>
      </c>
      <c r="E73" s="1263">
        <v>12245.74</v>
      </c>
      <c r="F73" s="1263">
        <f t="shared" si="0"/>
        <v>10531.34</v>
      </c>
    </row>
    <row r="74" spans="1:6" ht="14.25">
      <c r="A74" s="4388">
        <v>6.18</v>
      </c>
      <c r="B74" s="4230" t="s">
        <v>3806</v>
      </c>
      <c r="C74" s="4246">
        <v>6.6</v>
      </c>
      <c r="D74" s="4249" t="s">
        <v>2430</v>
      </c>
      <c r="E74" s="1263">
        <v>13438.22</v>
      </c>
      <c r="F74" s="1263">
        <f t="shared" si="0"/>
        <v>88692.25</v>
      </c>
    </row>
    <row r="75" spans="1:6" ht="14.25">
      <c r="A75" s="4388">
        <v>6.19</v>
      </c>
      <c r="B75" s="4230" t="s">
        <v>3807</v>
      </c>
      <c r="C75" s="4246">
        <v>0.75</v>
      </c>
      <c r="D75" s="4249" t="s">
        <v>2430</v>
      </c>
      <c r="E75" s="1263">
        <v>13896.86</v>
      </c>
      <c r="F75" s="1263">
        <f t="shared" si="0"/>
        <v>10422.65</v>
      </c>
    </row>
    <row r="76" spans="1:6" ht="14.25">
      <c r="A76" s="4388">
        <v>6.2</v>
      </c>
      <c r="B76" s="4230" t="s">
        <v>3808</v>
      </c>
      <c r="C76" s="4246">
        <v>0.54</v>
      </c>
      <c r="D76" s="4249" t="s">
        <v>2430</v>
      </c>
      <c r="E76" s="1263">
        <v>11707.73</v>
      </c>
      <c r="F76" s="1263">
        <f t="shared" si="0"/>
        <v>6322.17</v>
      </c>
    </row>
    <row r="77" spans="1:6" ht="14.25">
      <c r="A77" s="4388">
        <v>6.21</v>
      </c>
      <c r="B77" s="4230" t="s">
        <v>3809</v>
      </c>
      <c r="C77" s="4246">
        <v>0.66</v>
      </c>
      <c r="D77" s="4249" t="s">
        <v>2430</v>
      </c>
      <c r="E77" s="1263">
        <v>13236.54</v>
      </c>
      <c r="F77" s="1263">
        <f t="shared" si="0"/>
        <v>8736.1200000000008</v>
      </c>
    </row>
    <row r="78" spans="1:6" ht="14.25">
      <c r="A78" s="4388">
        <v>6.22</v>
      </c>
      <c r="B78" s="4230" t="s">
        <v>3810</v>
      </c>
      <c r="C78" s="4246">
        <v>7.16</v>
      </c>
      <c r="D78" s="4249" t="s">
        <v>2430</v>
      </c>
      <c r="E78" s="1263">
        <v>14916.58</v>
      </c>
      <c r="F78" s="1263">
        <f t="shared" si="0"/>
        <v>106802.71</v>
      </c>
    </row>
    <row r="79" spans="1:6" ht="14.25">
      <c r="A79" s="4388">
        <v>6.23</v>
      </c>
      <c r="B79" s="4230" t="s">
        <v>3811</v>
      </c>
      <c r="C79" s="1263">
        <v>0.56999999999999995</v>
      </c>
      <c r="D79" s="4249" t="s">
        <v>2430</v>
      </c>
      <c r="E79" s="1263">
        <v>16812.310000000001</v>
      </c>
      <c r="F79" s="1263">
        <f t="shared" si="0"/>
        <v>9583.02</v>
      </c>
    </row>
    <row r="80" spans="1:6" ht="14.25">
      <c r="A80" s="4388"/>
      <c r="B80" s="4230"/>
      <c r="C80" s="4246"/>
      <c r="D80" s="4249"/>
      <c r="E80" s="1263"/>
      <c r="F80" s="1263" t="str">
        <f t="shared" si="0"/>
        <v xml:space="preserve"> </v>
      </c>
    </row>
    <row r="81" spans="1:7" ht="15">
      <c r="A81" s="4389">
        <v>7</v>
      </c>
      <c r="B81" s="4343" t="s">
        <v>3538</v>
      </c>
      <c r="C81" s="4246"/>
      <c r="D81" s="4249"/>
      <c r="E81" s="1263"/>
      <c r="F81" s="1263" t="str">
        <f t="shared" si="0"/>
        <v xml:space="preserve"> </v>
      </c>
    </row>
    <row r="82" spans="1:7" ht="14.25">
      <c r="A82" s="4392">
        <v>7.1</v>
      </c>
      <c r="B82" s="4230" t="s">
        <v>2567</v>
      </c>
      <c r="C82" s="4246">
        <v>1098.31</v>
      </c>
      <c r="D82" s="4249" t="s">
        <v>2432</v>
      </c>
      <c r="E82" s="1263">
        <v>56.57</v>
      </c>
      <c r="F82" s="1263">
        <f t="shared" ref="F82:F145" si="1">IF(C82&gt;0,(ROUND((E82*C82),2))," ")</f>
        <v>62131.4</v>
      </c>
    </row>
    <row r="83" spans="1:7" ht="14.25">
      <c r="A83" s="4392">
        <v>7.2</v>
      </c>
      <c r="B83" s="4230" t="s">
        <v>2557</v>
      </c>
      <c r="C83" s="4246">
        <v>340.74</v>
      </c>
      <c r="D83" s="4249" t="s">
        <v>2432</v>
      </c>
      <c r="E83" s="1263">
        <v>611.6</v>
      </c>
      <c r="F83" s="1263">
        <f t="shared" si="1"/>
        <v>208396.58</v>
      </c>
    </row>
    <row r="84" spans="1:7" ht="14.25">
      <c r="A84" s="4392">
        <v>7.3</v>
      </c>
      <c r="B84" s="4230" t="s">
        <v>2343</v>
      </c>
      <c r="C84" s="4246">
        <v>51.58</v>
      </c>
      <c r="D84" s="4249" t="s">
        <v>2432</v>
      </c>
      <c r="E84" s="1263">
        <v>565.92999999999995</v>
      </c>
      <c r="F84" s="1263">
        <f t="shared" si="1"/>
        <v>29190.67</v>
      </c>
    </row>
    <row r="85" spans="1:7" ht="14.25">
      <c r="A85" s="4392">
        <v>7.4</v>
      </c>
      <c r="B85" s="4230" t="s">
        <v>2344</v>
      </c>
      <c r="C85" s="4246">
        <v>609</v>
      </c>
      <c r="D85" s="4249" t="s">
        <v>2432</v>
      </c>
      <c r="E85" s="1263">
        <v>396.6</v>
      </c>
      <c r="F85" s="1263">
        <f t="shared" si="1"/>
        <v>241529.4</v>
      </c>
    </row>
    <row r="86" spans="1:7" ht="14.25">
      <c r="A86" s="4392">
        <v>7.5</v>
      </c>
      <c r="B86" s="4230" t="s">
        <v>2345</v>
      </c>
      <c r="C86" s="4246">
        <v>489.31</v>
      </c>
      <c r="D86" s="4249" t="s">
        <v>2432</v>
      </c>
      <c r="E86" s="1263">
        <v>382.2</v>
      </c>
      <c r="F86" s="1263">
        <f t="shared" si="1"/>
        <v>187014.28</v>
      </c>
    </row>
    <row r="87" spans="1:7" ht="14.25">
      <c r="A87" s="4392">
        <v>7.6</v>
      </c>
      <c r="B87" s="4230" t="s">
        <v>1548</v>
      </c>
      <c r="C87" s="4246">
        <v>344.67</v>
      </c>
      <c r="D87" s="4249" t="s">
        <v>1</v>
      </c>
      <c r="E87" s="1263">
        <v>107.14</v>
      </c>
      <c r="F87" s="1263">
        <f t="shared" si="1"/>
        <v>36927.94</v>
      </c>
    </row>
    <row r="88" spans="1:7" s="4266" customFormat="1" ht="28.5">
      <c r="A88" s="4392">
        <v>7.7</v>
      </c>
      <c r="B88" s="4104" t="s">
        <v>3163</v>
      </c>
      <c r="C88" s="4246">
        <v>163.38</v>
      </c>
      <c r="D88" s="4311" t="s">
        <v>1</v>
      </c>
      <c r="E88" s="4210">
        <v>687</v>
      </c>
      <c r="F88" s="4210">
        <f>IF(C88&gt;0,(ROUND((E88*C88),2))," ")</f>
        <v>112242.06</v>
      </c>
      <c r="G88" s="3557"/>
    </row>
    <row r="89" spans="1:7" ht="14.25">
      <c r="A89" s="4388"/>
      <c r="B89" s="4230"/>
      <c r="C89" s="4246"/>
      <c r="D89" s="4249"/>
      <c r="E89" s="1263"/>
      <c r="F89" s="1263" t="str">
        <f t="shared" si="1"/>
        <v xml:space="preserve"> </v>
      </c>
    </row>
    <row r="90" spans="1:7" ht="15">
      <c r="A90" s="4389">
        <v>8</v>
      </c>
      <c r="B90" s="4343" t="s">
        <v>3814</v>
      </c>
      <c r="C90" s="4246"/>
      <c r="D90" s="4249"/>
      <c r="E90" s="1263"/>
      <c r="F90" s="1263" t="str">
        <f t="shared" si="1"/>
        <v xml:space="preserve"> </v>
      </c>
    </row>
    <row r="91" spans="1:7" ht="15">
      <c r="A91" s="4390">
        <v>8.1</v>
      </c>
      <c r="B91" s="4343" t="s">
        <v>3815</v>
      </c>
      <c r="C91" s="4246"/>
      <c r="D91" s="4249"/>
      <c r="E91" s="1263"/>
      <c r="F91" s="1263" t="str">
        <f t="shared" si="1"/>
        <v xml:space="preserve"> </v>
      </c>
    </row>
    <row r="92" spans="1:7" ht="14.25">
      <c r="A92" s="4388" t="s">
        <v>493</v>
      </c>
      <c r="B92" s="4230" t="s">
        <v>2353</v>
      </c>
      <c r="C92" s="4246">
        <v>35.39</v>
      </c>
      <c r="D92" s="4249" t="s">
        <v>1</v>
      </c>
      <c r="E92" s="1263">
        <v>16.11</v>
      </c>
      <c r="F92" s="1263">
        <f t="shared" si="1"/>
        <v>570.13</v>
      </c>
    </row>
    <row r="93" spans="1:7" ht="14.25">
      <c r="A93" s="4388" t="s">
        <v>494</v>
      </c>
      <c r="B93" s="4230" t="s">
        <v>2979</v>
      </c>
      <c r="C93" s="4246">
        <v>39.28</v>
      </c>
      <c r="D93" s="4249" t="s">
        <v>1</v>
      </c>
      <c r="E93" s="1263">
        <v>154.51</v>
      </c>
      <c r="F93" s="1263">
        <f t="shared" si="1"/>
        <v>6069.15</v>
      </c>
    </row>
    <row r="94" spans="1:7" ht="14.25">
      <c r="A94" s="4388" t="s">
        <v>495</v>
      </c>
      <c r="B94" s="4230" t="s">
        <v>2980</v>
      </c>
      <c r="C94" s="4246">
        <v>33.39</v>
      </c>
      <c r="D94" s="4249" t="s">
        <v>2432</v>
      </c>
      <c r="E94" s="1263">
        <v>22.63</v>
      </c>
      <c r="F94" s="1263">
        <f t="shared" si="1"/>
        <v>755.62</v>
      </c>
    </row>
    <row r="95" spans="1:7" ht="13.5" customHeight="1">
      <c r="A95" s="4388" t="s">
        <v>496</v>
      </c>
      <c r="B95" s="4230" t="s">
        <v>2981</v>
      </c>
      <c r="C95" s="4246">
        <v>32.01</v>
      </c>
      <c r="D95" s="4249" t="s">
        <v>2431</v>
      </c>
      <c r="E95" s="1263">
        <v>121.12</v>
      </c>
      <c r="F95" s="1263">
        <f t="shared" si="1"/>
        <v>3877.05</v>
      </c>
    </row>
    <row r="96" spans="1:7" ht="28.5">
      <c r="A96" s="4388" t="s">
        <v>497</v>
      </c>
      <c r="B96" s="4230" t="s">
        <v>2982</v>
      </c>
      <c r="C96" s="4246">
        <v>9.09</v>
      </c>
      <c r="D96" s="4249" t="s">
        <v>2525</v>
      </c>
      <c r="E96" s="1263">
        <v>210</v>
      </c>
      <c r="F96" s="1263">
        <f t="shared" si="1"/>
        <v>1908.9</v>
      </c>
    </row>
    <row r="97" spans="1:7" ht="15">
      <c r="A97" s="4393"/>
      <c r="B97" s="4250"/>
      <c r="C97" s="4246"/>
      <c r="D97" s="4249"/>
      <c r="E97" s="1263"/>
      <c r="F97" s="1263" t="str">
        <f t="shared" si="1"/>
        <v xml:space="preserve"> </v>
      </c>
    </row>
    <row r="98" spans="1:7" ht="15">
      <c r="A98" s="4390">
        <v>8.1999999999999993</v>
      </c>
      <c r="B98" s="4343" t="s">
        <v>639</v>
      </c>
      <c r="C98" s="4246"/>
      <c r="D98" s="4249"/>
      <c r="E98" s="1263"/>
      <c r="F98" s="1263" t="str">
        <f t="shared" si="1"/>
        <v xml:space="preserve"> </v>
      </c>
    </row>
    <row r="99" spans="1:7" ht="28.5">
      <c r="A99" s="4388" t="s">
        <v>506</v>
      </c>
      <c r="B99" s="4261" t="s">
        <v>2440</v>
      </c>
      <c r="C99" s="4246">
        <v>39.26</v>
      </c>
      <c r="D99" s="4249" t="s">
        <v>1</v>
      </c>
      <c r="E99" s="1263">
        <v>7489.02</v>
      </c>
      <c r="F99" s="1263">
        <f t="shared" si="1"/>
        <v>294018.93</v>
      </c>
    </row>
    <row r="100" spans="1:7" s="4225" customFormat="1" ht="28.5">
      <c r="A100" s="4388" t="s">
        <v>507</v>
      </c>
      <c r="B100" s="4261" t="s">
        <v>3495</v>
      </c>
      <c r="C100" s="4246">
        <v>2</v>
      </c>
      <c r="D100" s="4249" t="s">
        <v>2433</v>
      </c>
      <c r="E100" s="1263">
        <v>167843.20000000001</v>
      </c>
      <c r="F100" s="1263">
        <f t="shared" si="1"/>
        <v>335686.40000000002</v>
      </c>
      <c r="G100" s="3557"/>
    </row>
    <row r="101" spans="1:7" ht="28.5">
      <c r="A101" s="4454" t="s">
        <v>508</v>
      </c>
      <c r="B101" s="4455" t="s">
        <v>2439</v>
      </c>
      <c r="C101" s="4451">
        <v>4</v>
      </c>
      <c r="D101" s="4465" t="s">
        <v>2433</v>
      </c>
      <c r="E101" s="4453">
        <v>13659.17</v>
      </c>
      <c r="F101" s="4453">
        <f t="shared" si="1"/>
        <v>54636.68</v>
      </c>
    </row>
    <row r="102" spans="1:7" ht="28.5">
      <c r="A102" s="4388" t="s">
        <v>509</v>
      </c>
      <c r="B102" s="4261" t="s">
        <v>2441</v>
      </c>
      <c r="C102" s="4246">
        <v>1</v>
      </c>
      <c r="D102" s="4249" t="s">
        <v>2433</v>
      </c>
      <c r="E102" s="1263">
        <v>14219.67</v>
      </c>
      <c r="F102" s="1263">
        <f t="shared" si="1"/>
        <v>14219.67</v>
      </c>
    </row>
    <row r="103" spans="1:7" ht="28.5">
      <c r="A103" s="4388" t="s">
        <v>510</v>
      </c>
      <c r="B103" s="4261" t="s">
        <v>3584</v>
      </c>
      <c r="C103" s="4246">
        <v>2</v>
      </c>
      <c r="D103" s="4249" t="s">
        <v>2433</v>
      </c>
      <c r="E103" s="1263">
        <v>13807.37</v>
      </c>
      <c r="F103" s="1263">
        <f t="shared" si="1"/>
        <v>27614.74</v>
      </c>
    </row>
    <row r="104" spans="1:7" ht="14.25">
      <c r="A104" s="4388" t="s">
        <v>511</v>
      </c>
      <c r="B104" s="4230" t="s">
        <v>2737</v>
      </c>
      <c r="C104" s="4246">
        <v>2</v>
      </c>
      <c r="D104" s="4249" t="s">
        <v>2433</v>
      </c>
      <c r="E104" s="1263">
        <v>19589.39</v>
      </c>
      <c r="F104" s="1263">
        <f t="shared" si="1"/>
        <v>39178.78</v>
      </c>
    </row>
    <row r="105" spans="1:7" s="4236" customFormat="1" ht="14.25">
      <c r="A105" s="4388" t="s">
        <v>512</v>
      </c>
      <c r="B105" s="4230" t="s">
        <v>3573</v>
      </c>
      <c r="C105" s="4246">
        <v>2</v>
      </c>
      <c r="D105" s="4249" t="s">
        <v>2433</v>
      </c>
      <c r="E105" s="1263">
        <v>10000</v>
      </c>
      <c r="F105" s="1263">
        <f t="shared" si="1"/>
        <v>20000</v>
      </c>
      <c r="G105" s="3557"/>
    </row>
    <row r="106" spans="1:7" ht="14.25">
      <c r="A106" s="4388"/>
      <c r="B106" s="4230"/>
      <c r="C106" s="4246"/>
      <c r="D106" s="4249"/>
      <c r="E106" s="1263"/>
      <c r="F106" s="1263"/>
    </row>
    <row r="107" spans="1:7" ht="15">
      <c r="A107" s="4389">
        <v>9</v>
      </c>
      <c r="B107" s="4343" t="s">
        <v>607</v>
      </c>
      <c r="C107" s="4246"/>
      <c r="D107" s="4249"/>
      <c r="E107" s="1263"/>
      <c r="F107" s="1263" t="str">
        <f t="shared" si="1"/>
        <v xml:space="preserve"> </v>
      </c>
    </row>
    <row r="108" spans="1:7" ht="15">
      <c r="A108" s="4390">
        <v>9.1</v>
      </c>
      <c r="B108" s="4343" t="s">
        <v>3585</v>
      </c>
      <c r="C108" s="4246"/>
      <c r="D108" s="4249"/>
      <c r="E108" s="1263"/>
      <c r="F108" s="1263"/>
    </row>
    <row r="109" spans="1:7" s="4225" customFormat="1" ht="57">
      <c r="A109" s="4388" t="s">
        <v>541</v>
      </c>
      <c r="B109" s="3432" t="s">
        <v>3738</v>
      </c>
      <c r="C109" s="4246">
        <v>1</v>
      </c>
      <c r="D109" s="4249" t="s">
        <v>2433</v>
      </c>
      <c r="E109" s="1263">
        <v>529169.81999999995</v>
      </c>
      <c r="F109" s="1263">
        <f t="shared" si="1"/>
        <v>529169.81999999995</v>
      </c>
      <c r="G109" s="3557"/>
    </row>
    <row r="110" spans="1:7" ht="57">
      <c r="A110" s="4388" t="s">
        <v>542</v>
      </c>
      <c r="B110" s="3432" t="s">
        <v>3737</v>
      </c>
      <c r="C110" s="4246">
        <v>1</v>
      </c>
      <c r="D110" s="4249" t="s">
        <v>2433</v>
      </c>
      <c r="E110" s="1263">
        <v>436477.28</v>
      </c>
      <c r="F110" s="1263">
        <f t="shared" si="1"/>
        <v>436477.28</v>
      </c>
    </row>
    <row r="111" spans="1:7" ht="45.75" customHeight="1">
      <c r="A111" s="4388" t="s">
        <v>3169</v>
      </c>
      <c r="B111" s="4230" t="s">
        <v>2556</v>
      </c>
      <c r="C111" s="4246">
        <v>3295.28</v>
      </c>
      <c r="D111" s="4249" t="s">
        <v>2601</v>
      </c>
      <c r="E111" s="1263">
        <v>3745.86</v>
      </c>
      <c r="F111" s="1263">
        <f t="shared" si="1"/>
        <v>12343657.539999999</v>
      </c>
    </row>
    <row r="112" spans="1:7" ht="14.25">
      <c r="A112" s="4388"/>
      <c r="B112" s="4230"/>
      <c r="C112" s="4246"/>
      <c r="D112" s="4249"/>
      <c r="E112" s="1263"/>
      <c r="F112" s="1263" t="str">
        <f t="shared" si="1"/>
        <v xml:space="preserve"> </v>
      </c>
    </row>
    <row r="113" spans="1:7" ht="25.5">
      <c r="A113" s="4390">
        <v>9.1999999999999993</v>
      </c>
      <c r="B113" s="4343" t="s">
        <v>3574</v>
      </c>
      <c r="C113" s="4246"/>
      <c r="D113" s="4249"/>
      <c r="E113" s="1263"/>
      <c r="F113" s="1263" t="str">
        <f t="shared" si="1"/>
        <v xml:space="preserve"> </v>
      </c>
    </row>
    <row r="114" spans="1:7" ht="75.75" customHeight="1">
      <c r="A114" s="4388" t="s">
        <v>543</v>
      </c>
      <c r="B114" s="4206" t="s">
        <v>4016</v>
      </c>
      <c r="C114" s="4246">
        <v>1</v>
      </c>
      <c r="D114" s="4249" t="s">
        <v>2433</v>
      </c>
      <c r="E114" s="1263">
        <v>66610.12</v>
      </c>
      <c r="F114" s="1263">
        <f t="shared" si="1"/>
        <v>66610.12</v>
      </c>
    </row>
    <row r="115" spans="1:7" s="4266" customFormat="1" ht="14.25">
      <c r="A115" s="4205" t="s">
        <v>544</v>
      </c>
      <c r="B115" s="3563" t="s">
        <v>3575</v>
      </c>
      <c r="C115" s="4208">
        <v>2.8</v>
      </c>
      <c r="D115" s="4311" t="s">
        <v>1</v>
      </c>
      <c r="E115" s="4210">
        <v>4119.79</v>
      </c>
      <c r="F115" s="4345">
        <f t="shared" ref="F115:F117" si="2">+ROUND((E115*C115),2)</f>
        <v>11535.41</v>
      </c>
      <c r="G115" s="3557"/>
    </row>
    <row r="116" spans="1:7" s="4266" customFormat="1" ht="14.25">
      <c r="A116" s="4205" t="s">
        <v>545</v>
      </c>
      <c r="B116" s="3563" t="s">
        <v>3576</v>
      </c>
      <c r="C116" s="4208">
        <v>2</v>
      </c>
      <c r="D116" s="4311" t="s">
        <v>2433</v>
      </c>
      <c r="E116" s="4210">
        <v>7730.32</v>
      </c>
      <c r="F116" s="4345">
        <f t="shared" si="2"/>
        <v>15460.64</v>
      </c>
      <c r="G116" s="3557"/>
    </row>
    <row r="117" spans="1:7" s="4266" customFormat="1" ht="14.25">
      <c r="A117" s="4205" t="s">
        <v>3178</v>
      </c>
      <c r="B117" s="3563" t="s">
        <v>3577</v>
      </c>
      <c r="C117" s="4191">
        <v>2</v>
      </c>
      <c r="D117" s="4311" t="s">
        <v>2433</v>
      </c>
      <c r="E117" s="4210">
        <v>6487.9</v>
      </c>
      <c r="F117" s="4345">
        <f t="shared" si="2"/>
        <v>12975.8</v>
      </c>
      <c r="G117" s="3557"/>
    </row>
    <row r="118" spans="1:7" s="4346" customFormat="1" ht="14.25">
      <c r="A118" s="4205" t="s">
        <v>3179</v>
      </c>
      <c r="B118" s="3563" t="s">
        <v>3735</v>
      </c>
      <c r="C118" s="4313">
        <v>2</v>
      </c>
      <c r="D118" s="4430" t="s">
        <v>2433</v>
      </c>
      <c r="E118" s="4210">
        <v>2948.22</v>
      </c>
      <c r="F118" s="4315">
        <f>ROUND(E118*C118,2)</f>
        <v>5896.44</v>
      </c>
      <c r="G118" s="3557"/>
    </row>
    <row r="119" spans="1:7" s="4266" customFormat="1" ht="15">
      <c r="A119" s="4205" t="s">
        <v>3816</v>
      </c>
      <c r="B119" s="4312" t="s">
        <v>3736</v>
      </c>
      <c r="C119" s="4313">
        <v>1</v>
      </c>
      <c r="D119" s="4430" t="s">
        <v>2433</v>
      </c>
      <c r="E119" s="4315">
        <v>38250.480000000003</v>
      </c>
      <c r="F119" s="4315">
        <f>ROUND(E119*C119,2)</f>
        <v>38250.480000000003</v>
      </c>
      <c r="G119" s="3557"/>
    </row>
    <row r="120" spans="1:7" ht="14.25">
      <c r="A120" s="4388"/>
      <c r="B120" s="4230"/>
      <c r="C120" s="4246"/>
      <c r="D120" s="4249"/>
      <c r="E120" s="1263"/>
      <c r="F120" s="1263"/>
    </row>
    <row r="121" spans="1:7" ht="15">
      <c r="A121" s="4389">
        <v>10</v>
      </c>
      <c r="B121" s="4343" t="s">
        <v>642</v>
      </c>
      <c r="C121" s="4246"/>
      <c r="D121" s="4249"/>
      <c r="E121" s="1263"/>
      <c r="F121" s="1263" t="str">
        <f t="shared" si="1"/>
        <v xml:space="preserve"> </v>
      </c>
    </row>
    <row r="122" spans="1:7" ht="14.25">
      <c r="A122" s="4214">
        <v>10.1</v>
      </c>
      <c r="B122" s="4343" t="s">
        <v>3585</v>
      </c>
      <c r="C122" s="4208"/>
      <c r="D122" s="4311"/>
      <c r="E122" s="4203"/>
      <c r="F122" s="4203"/>
    </row>
    <row r="123" spans="1:7" ht="42.75">
      <c r="A123" s="4205" t="s">
        <v>667</v>
      </c>
      <c r="B123" s="4206" t="s">
        <v>3578</v>
      </c>
      <c r="C123" s="4208">
        <v>2</v>
      </c>
      <c r="D123" s="4311" t="s">
        <v>2433</v>
      </c>
      <c r="E123" s="4345">
        <v>445205.74</v>
      </c>
      <c r="F123" s="4204">
        <f t="shared" ref="F123" si="3">+ROUND((E123*C123),2)</f>
        <v>890411.48</v>
      </c>
    </row>
    <row r="124" spans="1:7" ht="14.25">
      <c r="A124" s="4388"/>
      <c r="B124" s="4230"/>
      <c r="C124" s="4246"/>
      <c r="D124" s="4249"/>
      <c r="E124" s="1263"/>
      <c r="F124" s="1263"/>
    </row>
    <row r="125" spans="1:7" ht="15">
      <c r="A125" s="4390">
        <v>10.199999999999999</v>
      </c>
      <c r="B125" s="4343" t="s">
        <v>3579</v>
      </c>
      <c r="C125" s="4246"/>
      <c r="D125" s="4249"/>
      <c r="E125" s="1263"/>
      <c r="F125" s="1263" t="str">
        <f t="shared" si="1"/>
        <v xml:space="preserve"> </v>
      </c>
    </row>
    <row r="126" spans="1:7" ht="14.25">
      <c r="A126" s="4388" t="s">
        <v>669</v>
      </c>
      <c r="B126" s="3432" t="s">
        <v>3817</v>
      </c>
      <c r="C126" s="4246">
        <v>35.479999999999997</v>
      </c>
      <c r="D126" s="4249" t="s">
        <v>2430</v>
      </c>
      <c r="E126" s="1263">
        <v>4722.32</v>
      </c>
      <c r="F126" s="1263">
        <f>IF(C126&gt;0,(ROUND((E126*C126),2))," ")</f>
        <v>167547.91</v>
      </c>
    </row>
    <row r="127" spans="1:7" ht="14.25">
      <c r="A127" s="4388"/>
      <c r="B127" s="4230"/>
      <c r="C127" s="4246"/>
      <c r="D127" s="4249"/>
      <c r="E127" s="1263"/>
      <c r="F127" s="1263" t="str">
        <f t="shared" si="1"/>
        <v xml:space="preserve"> </v>
      </c>
    </row>
    <row r="128" spans="1:7" s="4240" customFormat="1" ht="15">
      <c r="A128" s="4390">
        <v>10.3</v>
      </c>
      <c r="B128" s="4343" t="s">
        <v>648</v>
      </c>
      <c r="C128" s="4361"/>
      <c r="D128" s="4271"/>
      <c r="E128" s="4367"/>
      <c r="F128" s="1263" t="str">
        <f t="shared" si="1"/>
        <v xml:space="preserve"> </v>
      </c>
      <c r="G128" s="3557"/>
    </row>
    <row r="129" spans="1:7" ht="28.5">
      <c r="A129" s="4388" t="s">
        <v>3818</v>
      </c>
      <c r="B129" s="3432" t="s">
        <v>2555</v>
      </c>
      <c r="C129" s="4246">
        <v>18.68</v>
      </c>
      <c r="D129" s="4249" t="s">
        <v>1</v>
      </c>
      <c r="E129" s="1263">
        <v>7489.02</v>
      </c>
      <c r="F129" s="1263">
        <f t="shared" si="1"/>
        <v>139894.89000000001</v>
      </c>
    </row>
    <row r="130" spans="1:7" ht="14.25">
      <c r="A130" s="4454" t="s">
        <v>3819</v>
      </c>
      <c r="B130" s="4456" t="s">
        <v>3586</v>
      </c>
      <c r="C130" s="4451">
        <v>6</v>
      </c>
      <c r="D130" s="4465" t="s">
        <v>2433</v>
      </c>
      <c r="E130" s="4453">
        <v>2245.4299999999998</v>
      </c>
      <c r="F130" s="4453">
        <f t="shared" si="1"/>
        <v>13472.58</v>
      </c>
    </row>
    <row r="131" spans="1:7" ht="117" customHeight="1">
      <c r="A131" s="4388" t="s">
        <v>3820</v>
      </c>
      <c r="B131" s="4206" t="s">
        <v>3580</v>
      </c>
      <c r="C131" s="4246">
        <v>4</v>
      </c>
      <c r="D131" s="4249" t="s">
        <v>2433</v>
      </c>
      <c r="E131" s="4204">
        <v>167843.20000000001</v>
      </c>
      <c r="F131" s="1263">
        <f t="shared" si="1"/>
        <v>671372.80000000005</v>
      </c>
    </row>
    <row r="132" spans="1:7" s="4266" customFormat="1" ht="14.25">
      <c r="A132" s="4388" t="s">
        <v>3821</v>
      </c>
      <c r="B132" s="4265" t="s">
        <v>2738</v>
      </c>
      <c r="C132" s="4362">
        <v>12</v>
      </c>
      <c r="D132" s="4311" t="s">
        <v>2433</v>
      </c>
      <c r="E132" s="4210">
        <v>5242.6099999999997</v>
      </c>
      <c r="F132" s="4210">
        <f t="shared" si="1"/>
        <v>62911.32</v>
      </c>
      <c r="G132" s="3557"/>
    </row>
    <row r="133" spans="1:7" s="4222" customFormat="1" ht="14.25">
      <c r="A133" s="4388" t="s">
        <v>3822</v>
      </c>
      <c r="B133" s="4265" t="s">
        <v>3587</v>
      </c>
      <c r="C133" s="4362">
        <v>12</v>
      </c>
      <c r="D133" s="4311" t="s">
        <v>2433</v>
      </c>
      <c r="E133" s="4210">
        <v>11564.67</v>
      </c>
      <c r="F133" s="4210">
        <f t="shared" si="1"/>
        <v>138776.04</v>
      </c>
      <c r="G133" s="3557"/>
    </row>
    <row r="134" spans="1:7" s="4222" customFormat="1" ht="14.25">
      <c r="A134" s="4388" t="s">
        <v>3823</v>
      </c>
      <c r="B134" s="3563" t="s">
        <v>3581</v>
      </c>
      <c r="C134" s="4362">
        <v>4</v>
      </c>
      <c r="D134" s="4311" t="s">
        <v>2433</v>
      </c>
      <c r="E134" s="4210">
        <v>8449.4699999999993</v>
      </c>
      <c r="F134" s="4210">
        <f t="shared" si="1"/>
        <v>33797.879999999997</v>
      </c>
      <c r="G134" s="3557"/>
    </row>
    <row r="135" spans="1:7" s="4222" customFormat="1" ht="14.25">
      <c r="A135" s="4388" t="s">
        <v>3824</v>
      </c>
      <c r="B135" s="3563" t="s">
        <v>3478</v>
      </c>
      <c r="C135" s="4362">
        <v>31.68</v>
      </c>
      <c r="D135" s="4311" t="s">
        <v>1</v>
      </c>
      <c r="E135" s="4210">
        <v>1765.15</v>
      </c>
      <c r="F135" s="4210">
        <f t="shared" si="1"/>
        <v>55919.95</v>
      </c>
      <c r="G135" s="3557"/>
    </row>
    <row r="136" spans="1:7" s="4236" customFormat="1" ht="14.25">
      <c r="A136" s="4388" t="s">
        <v>3825</v>
      </c>
      <c r="B136" s="4212" t="s">
        <v>3583</v>
      </c>
      <c r="C136" s="4191">
        <v>12</v>
      </c>
      <c r="D136" s="4194" t="s">
        <v>2433</v>
      </c>
      <c r="E136" s="4210">
        <v>250</v>
      </c>
      <c r="F136" s="4210">
        <f t="shared" ref="F136" si="4">+ROUND((E136*C136),2)</f>
        <v>3000</v>
      </c>
      <c r="G136" s="3557"/>
    </row>
    <row r="137" spans="1:7" s="4266" customFormat="1" ht="14.25">
      <c r="A137" s="4388" t="s">
        <v>3826</v>
      </c>
      <c r="B137" s="3563" t="s">
        <v>3582</v>
      </c>
      <c r="C137" s="4362">
        <v>12</v>
      </c>
      <c r="D137" s="4311" t="s">
        <v>2433</v>
      </c>
      <c r="E137" s="4210">
        <v>250</v>
      </c>
      <c r="F137" s="4210">
        <f>IF(C137&gt;0,(ROUND((E137*C137),2))," ")</f>
        <v>3000</v>
      </c>
      <c r="G137" s="3557"/>
    </row>
    <row r="138" spans="1:7" s="4222" customFormat="1" ht="71.25">
      <c r="A138" s="4388" t="s">
        <v>3827</v>
      </c>
      <c r="B138" s="4368" t="s">
        <v>3828</v>
      </c>
      <c r="C138" s="4210">
        <v>1777.01</v>
      </c>
      <c r="D138" s="4311" t="s">
        <v>3477</v>
      </c>
      <c r="E138" s="4210">
        <v>3637.09</v>
      </c>
      <c r="F138" s="4210">
        <f t="shared" si="1"/>
        <v>6463145.2999999998</v>
      </c>
      <c r="G138" s="3557"/>
    </row>
    <row r="139" spans="1:7" s="4222" customFormat="1" ht="14.25">
      <c r="A139" s="4391"/>
      <c r="B139" s="3563"/>
      <c r="C139" s="4362"/>
      <c r="D139" s="4311"/>
      <c r="E139" s="4210"/>
      <c r="F139" s="4210"/>
      <c r="G139" s="3557"/>
    </row>
    <row r="140" spans="1:7" s="4222" customFormat="1" ht="15">
      <c r="A140" s="4394">
        <v>11</v>
      </c>
      <c r="B140" s="4343" t="s">
        <v>673</v>
      </c>
      <c r="C140" s="4362"/>
      <c r="D140" s="4311"/>
      <c r="E140" s="4210"/>
      <c r="F140" s="4210" t="str">
        <f t="shared" si="1"/>
        <v xml:space="preserve"> </v>
      </c>
      <c r="G140" s="3557"/>
    </row>
    <row r="141" spans="1:7" s="4222" customFormat="1" ht="15">
      <c r="A141" s="4395">
        <v>11.1</v>
      </c>
      <c r="B141" s="4343" t="s">
        <v>2265</v>
      </c>
      <c r="C141" s="4362"/>
      <c r="D141" s="4311"/>
      <c r="E141" s="4210"/>
      <c r="F141" s="4210" t="str">
        <f t="shared" si="1"/>
        <v xml:space="preserve"> </v>
      </c>
      <c r="G141" s="3557"/>
    </row>
    <row r="142" spans="1:7" s="4222" customFormat="1" ht="117" customHeight="1">
      <c r="A142" s="4391" t="s">
        <v>488</v>
      </c>
      <c r="B142" s="4219" t="s">
        <v>3588</v>
      </c>
      <c r="C142" s="4362">
        <v>6</v>
      </c>
      <c r="D142" s="4311" t="s">
        <v>2433</v>
      </c>
      <c r="E142" s="4210">
        <v>96476.800000000003</v>
      </c>
      <c r="F142" s="4210">
        <f t="shared" si="1"/>
        <v>578860.80000000005</v>
      </c>
      <c r="G142" s="3557"/>
    </row>
    <row r="143" spans="1:7" s="4222" customFormat="1" ht="128.25">
      <c r="A143" s="4391" t="s">
        <v>489</v>
      </c>
      <c r="B143" s="4218" t="s">
        <v>3589</v>
      </c>
      <c r="C143" s="4362">
        <v>6</v>
      </c>
      <c r="D143" s="4311" t="s">
        <v>2433</v>
      </c>
      <c r="E143" s="4210">
        <v>88547.199999999997</v>
      </c>
      <c r="F143" s="4210">
        <f t="shared" si="1"/>
        <v>531283.19999999995</v>
      </c>
      <c r="G143" s="3557"/>
    </row>
    <row r="144" spans="1:7" s="4222" customFormat="1" ht="128.25">
      <c r="A144" s="4470" t="s">
        <v>490</v>
      </c>
      <c r="B144" s="4471" t="s">
        <v>3590</v>
      </c>
      <c r="C144" s="4472">
        <v>1</v>
      </c>
      <c r="D144" s="4512" t="s">
        <v>2433</v>
      </c>
      <c r="E144" s="4461">
        <v>88547.199999999997</v>
      </c>
      <c r="F144" s="4461">
        <f t="shared" si="1"/>
        <v>88547.199999999997</v>
      </c>
      <c r="G144" s="3557"/>
    </row>
    <row r="145" spans="1:7" s="4222" customFormat="1" ht="128.25">
      <c r="A145" s="4391" t="s">
        <v>1516</v>
      </c>
      <c r="B145" s="4219" t="s">
        <v>3591</v>
      </c>
      <c r="C145" s="4362">
        <v>6</v>
      </c>
      <c r="D145" s="4311" t="s">
        <v>2433</v>
      </c>
      <c r="E145" s="4210">
        <v>167843.20000000001</v>
      </c>
      <c r="F145" s="4210">
        <f t="shared" si="1"/>
        <v>1007059.2</v>
      </c>
      <c r="G145" s="3557"/>
    </row>
    <row r="146" spans="1:7" s="4222" customFormat="1" ht="57">
      <c r="A146" s="4391" t="s">
        <v>1517</v>
      </c>
      <c r="B146" s="4219" t="s">
        <v>3592</v>
      </c>
      <c r="C146" s="4362">
        <v>6</v>
      </c>
      <c r="D146" s="4311" t="s">
        <v>2433</v>
      </c>
      <c r="E146" s="4210">
        <v>427748.82</v>
      </c>
      <c r="F146" s="4210">
        <f t="shared" ref="F146:F159" si="5">IF(C146&gt;0,(ROUND((E146*C146),2))," ")</f>
        <v>2566492.92</v>
      </c>
      <c r="G146" s="3557"/>
    </row>
    <row r="147" spans="1:7" s="4222" customFormat="1" ht="28.5">
      <c r="A147" s="4391" t="s">
        <v>1518</v>
      </c>
      <c r="B147" s="3563" t="s">
        <v>2347</v>
      </c>
      <c r="C147" s="4362">
        <v>231.64</v>
      </c>
      <c r="D147" s="4311" t="s">
        <v>2601</v>
      </c>
      <c r="E147" s="4210">
        <v>11445.22</v>
      </c>
      <c r="F147" s="4210">
        <f>IF(C147&gt;0,(ROUND((E147*C147),2))," ")</f>
        <v>2651170.7599999998</v>
      </c>
      <c r="G147" s="3557"/>
    </row>
    <row r="148" spans="1:7" s="4222" customFormat="1" ht="14.25">
      <c r="A148" s="4391" t="s">
        <v>1519</v>
      </c>
      <c r="B148" s="3563" t="s">
        <v>2436</v>
      </c>
      <c r="C148" s="4362">
        <v>231.64</v>
      </c>
      <c r="D148" s="4311" t="s">
        <v>2601</v>
      </c>
      <c r="E148" s="4210">
        <v>3229.24</v>
      </c>
      <c r="F148" s="4210">
        <f>IF(C148&gt;0,(ROUND((E148*C148),2))," ")</f>
        <v>748021.15</v>
      </c>
      <c r="G148" s="3557"/>
    </row>
    <row r="149" spans="1:7" ht="14.25">
      <c r="A149" s="4391"/>
      <c r="B149" s="4230"/>
      <c r="C149" s="4246"/>
      <c r="D149" s="4249"/>
      <c r="E149" s="1263"/>
      <c r="F149" s="1263" t="str">
        <f t="shared" si="5"/>
        <v xml:space="preserve"> </v>
      </c>
    </row>
    <row r="150" spans="1:7" ht="15">
      <c r="A150" s="4390">
        <v>11.2</v>
      </c>
      <c r="B150" s="4343" t="s">
        <v>2128</v>
      </c>
      <c r="C150" s="4246"/>
      <c r="D150" s="4249"/>
      <c r="E150" s="1263"/>
      <c r="F150" s="1263" t="str">
        <f t="shared" si="5"/>
        <v xml:space="preserve"> </v>
      </c>
    </row>
    <row r="151" spans="1:7" ht="42.75">
      <c r="A151" s="4388" t="s">
        <v>491</v>
      </c>
      <c r="B151" s="4230" t="s">
        <v>3593</v>
      </c>
      <c r="C151" s="4246">
        <v>1</v>
      </c>
      <c r="D151" s="4249" t="s">
        <v>2433</v>
      </c>
      <c r="E151" s="1263">
        <v>494470.74</v>
      </c>
      <c r="F151" s="1263">
        <f t="shared" si="5"/>
        <v>494470.74</v>
      </c>
    </row>
    <row r="152" spans="1:7" ht="42.75">
      <c r="A152" s="4388" t="s">
        <v>492</v>
      </c>
      <c r="B152" s="4230" t="s">
        <v>2437</v>
      </c>
      <c r="C152" s="4246">
        <v>1</v>
      </c>
      <c r="D152" s="4249" t="s">
        <v>2433</v>
      </c>
      <c r="E152" s="1263">
        <v>10000</v>
      </c>
      <c r="F152" s="1263">
        <f t="shared" si="5"/>
        <v>10000</v>
      </c>
    </row>
    <row r="153" spans="1:7" s="4222" customFormat="1" ht="15">
      <c r="A153" s="4391"/>
      <c r="B153" s="4220"/>
      <c r="C153" s="4362"/>
      <c r="D153" s="4311"/>
      <c r="E153" s="4210"/>
      <c r="F153" s="4210" t="str">
        <f>IF(C153&gt;0,(ROUND((E153*C153),2))," ")</f>
        <v xml:space="preserve"> </v>
      </c>
      <c r="G153" s="3557"/>
    </row>
    <row r="154" spans="1:7" s="4222" customFormat="1" ht="15">
      <c r="A154" s="4395">
        <v>11.3</v>
      </c>
      <c r="B154" s="4343" t="s">
        <v>690</v>
      </c>
      <c r="C154" s="4362"/>
      <c r="D154" s="4311"/>
      <c r="E154" s="4210"/>
      <c r="F154" s="4210" t="str">
        <f>IF(C154&gt;0,(ROUND((E154*C154),2))," ")</f>
        <v xml:space="preserve"> </v>
      </c>
      <c r="G154" s="3557"/>
    </row>
    <row r="155" spans="1:7" s="4222" customFormat="1" ht="28.5">
      <c r="A155" s="4391" t="s">
        <v>1785</v>
      </c>
      <c r="B155" s="3563" t="s">
        <v>2348</v>
      </c>
      <c r="C155" s="4362">
        <v>19</v>
      </c>
      <c r="D155" s="4249" t="s">
        <v>2430</v>
      </c>
      <c r="E155" s="4210">
        <v>20060</v>
      </c>
      <c r="F155" s="4210">
        <f>IF(C155&gt;0,(ROUND((E155*C155),2))," ")</f>
        <v>381140</v>
      </c>
      <c r="G155" s="3557"/>
    </row>
    <row r="156" spans="1:7" s="4266" customFormat="1" ht="14.25">
      <c r="A156" s="4391" t="s">
        <v>3829</v>
      </c>
      <c r="B156" s="3563" t="s">
        <v>2604</v>
      </c>
      <c r="C156" s="4362">
        <v>3</v>
      </c>
      <c r="D156" s="4249" t="s">
        <v>2430</v>
      </c>
      <c r="E156" s="4210">
        <v>18880</v>
      </c>
      <c r="F156" s="4210">
        <f>IF(C156&gt;0,(ROUND((E156*C156),2))," ")</f>
        <v>56640</v>
      </c>
      <c r="G156" s="3557"/>
    </row>
    <row r="157" spans="1:7" s="4222" customFormat="1" ht="14.25">
      <c r="A157" s="4391" t="s">
        <v>3830</v>
      </c>
      <c r="B157" s="3563" t="s">
        <v>2349</v>
      </c>
      <c r="C157" s="4362">
        <v>22</v>
      </c>
      <c r="D157" s="4249" t="s">
        <v>2430</v>
      </c>
      <c r="E157" s="4210">
        <v>1770</v>
      </c>
      <c r="F157" s="4210">
        <f>IF(C157&gt;0,(ROUND((E157*C157),2))," ")</f>
        <v>38940</v>
      </c>
      <c r="G157" s="3557"/>
    </row>
    <row r="158" spans="1:7" s="4222" customFormat="1" ht="14.25">
      <c r="A158" s="4391" t="s">
        <v>3831</v>
      </c>
      <c r="B158" s="3563" t="s">
        <v>2350</v>
      </c>
      <c r="C158" s="4362">
        <v>22</v>
      </c>
      <c r="D158" s="4249" t="s">
        <v>2430</v>
      </c>
      <c r="E158" s="4210">
        <v>950</v>
      </c>
      <c r="F158" s="4210">
        <f t="shared" ref="F158" si="6">IF(C158&gt;0,(ROUND((E158*C158),2))," ")</f>
        <v>20900</v>
      </c>
      <c r="G158" s="3557"/>
    </row>
    <row r="159" spans="1:7" ht="14.25">
      <c r="A159" s="4388"/>
      <c r="B159" s="4230"/>
      <c r="C159" s="4246"/>
      <c r="D159" s="4249"/>
      <c r="E159" s="1263"/>
      <c r="F159" s="1263" t="str">
        <f t="shared" si="5"/>
        <v xml:space="preserve"> </v>
      </c>
    </row>
    <row r="160" spans="1:7" s="4227" customFormat="1" ht="12.75" customHeight="1">
      <c r="A160" s="4214">
        <v>12</v>
      </c>
      <c r="B160" s="4343" t="s">
        <v>3594</v>
      </c>
      <c r="C160" s="4208"/>
      <c r="D160" s="4249"/>
      <c r="E160" s="4210"/>
      <c r="F160" s="4210"/>
      <c r="G160" s="3557"/>
    </row>
    <row r="161" spans="1:7" s="4227" customFormat="1" ht="12.75" customHeight="1">
      <c r="A161" s="4215">
        <v>12.1</v>
      </c>
      <c r="B161" s="4228" t="s">
        <v>4032</v>
      </c>
      <c r="C161" s="4191">
        <v>2</v>
      </c>
      <c r="D161" s="4249" t="s">
        <v>2433</v>
      </c>
      <c r="E161" s="4210">
        <v>10000</v>
      </c>
      <c r="F161" s="4210">
        <f t="shared" ref="F161:F163" si="7">ROUND(E161*C161,2)</f>
        <v>20000</v>
      </c>
      <c r="G161" s="3557"/>
    </row>
    <row r="162" spans="1:7" s="4227" customFormat="1" ht="12.75" customHeight="1">
      <c r="A162" s="4215">
        <v>12.2</v>
      </c>
      <c r="B162" s="4229" t="s">
        <v>3596</v>
      </c>
      <c r="C162" s="4191">
        <v>8.75</v>
      </c>
      <c r="D162" s="4249" t="s">
        <v>1</v>
      </c>
      <c r="E162" s="4210">
        <v>7429.53</v>
      </c>
      <c r="F162" s="4210">
        <f t="shared" si="7"/>
        <v>65008.39</v>
      </c>
      <c r="G162" s="3557"/>
    </row>
    <row r="163" spans="1:7" s="4227" customFormat="1" ht="15" customHeight="1">
      <c r="A163" s="4215">
        <v>12.3</v>
      </c>
      <c r="B163" s="4228" t="s">
        <v>3597</v>
      </c>
      <c r="C163" s="4191">
        <v>1</v>
      </c>
      <c r="D163" s="4249" t="s">
        <v>42</v>
      </c>
      <c r="E163" s="4210">
        <v>3500</v>
      </c>
      <c r="F163" s="4210">
        <f t="shared" si="7"/>
        <v>3500</v>
      </c>
      <c r="G163" s="3557"/>
    </row>
    <row r="164" spans="1:7" ht="14.25">
      <c r="A164" s="4388"/>
      <c r="B164" s="4230"/>
      <c r="C164" s="4246"/>
      <c r="D164" s="4249"/>
      <c r="E164" s="1263"/>
      <c r="F164" s="1263" t="str">
        <f t="shared" ref="F164:F523" si="8">IF(C164&gt;0,(ROUND((E164*C164),2))," ")</f>
        <v xml:space="preserve"> </v>
      </c>
    </row>
    <row r="165" spans="1:7" ht="15">
      <c r="A165" s="4389">
        <v>13</v>
      </c>
      <c r="B165" s="4343" t="s">
        <v>3027</v>
      </c>
      <c r="C165" s="4246"/>
      <c r="D165" s="4249"/>
      <c r="E165" s="1263"/>
      <c r="F165" s="1263" t="str">
        <f t="shared" si="8"/>
        <v xml:space="preserve"> </v>
      </c>
    </row>
    <row r="166" spans="1:7" ht="71.25">
      <c r="A166" s="4392">
        <v>13.1</v>
      </c>
      <c r="B166" s="4230" t="s">
        <v>2351</v>
      </c>
      <c r="C166" s="4246">
        <v>126.04</v>
      </c>
      <c r="D166" s="4249" t="s">
        <v>1</v>
      </c>
      <c r="E166" s="1263">
        <v>3247.7</v>
      </c>
      <c r="F166" s="1263">
        <f t="shared" si="8"/>
        <v>409340.11</v>
      </c>
    </row>
    <row r="167" spans="1:7" s="4234" customFormat="1" ht="12.75" customHeight="1">
      <c r="A167" s="4392">
        <v>13.2</v>
      </c>
      <c r="B167" s="4230" t="s">
        <v>3599</v>
      </c>
      <c r="C167" s="4246">
        <v>3</v>
      </c>
      <c r="D167" s="4249" t="s">
        <v>2433</v>
      </c>
      <c r="E167" s="1263">
        <v>6500</v>
      </c>
      <c r="F167" s="1263">
        <f t="shared" si="8"/>
        <v>19500</v>
      </c>
      <c r="G167" s="3557"/>
    </row>
    <row r="168" spans="1:7" ht="14.25">
      <c r="A168" s="4392">
        <v>13.3</v>
      </c>
      <c r="B168" s="4230" t="s">
        <v>3598</v>
      </c>
      <c r="C168" s="4246">
        <v>2</v>
      </c>
      <c r="D168" s="4249" t="s">
        <v>2433</v>
      </c>
      <c r="E168" s="1263">
        <v>127458.41</v>
      </c>
      <c r="F168" s="1263">
        <f t="shared" si="8"/>
        <v>254916.82</v>
      </c>
    </row>
    <row r="169" spans="1:7" ht="14.25">
      <c r="A169" s="4388"/>
      <c r="B169" s="3432"/>
      <c r="C169" s="4246"/>
      <c r="D169" s="4249"/>
      <c r="E169" s="1263"/>
      <c r="F169" s="1263" t="str">
        <f t="shared" si="8"/>
        <v xml:space="preserve"> </v>
      </c>
    </row>
    <row r="170" spans="1:7" s="4227" customFormat="1" ht="28.5" customHeight="1">
      <c r="A170" s="4298">
        <v>14</v>
      </c>
      <c r="B170" s="4343" t="s">
        <v>3600</v>
      </c>
      <c r="C170" s="4496"/>
      <c r="D170" s="4194"/>
      <c r="E170" s="4210"/>
      <c r="F170" s="4301">
        <f t="shared" ref="F170:F174" si="9">ROUND(C170*E170,2)</f>
        <v>0</v>
      </c>
      <c r="G170" s="3557"/>
    </row>
    <row r="171" spans="1:7" s="4227" customFormat="1" ht="14.25">
      <c r="A171" s="4302">
        <v>14.1</v>
      </c>
      <c r="B171" s="4265" t="s">
        <v>4017</v>
      </c>
      <c r="C171" s="4496">
        <v>4</v>
      </c>
      <c r="D171" s="4194" t="s">
        <v>2433</v>
      </c>
      <c r="E171" s="4210">
        <v>92889.600000000006</v>
      </c>
      <c r="F171" s="4301">
        <f t="shared" si="9"/>
        <v>371558.40000000002</v>
      </c>
      <c r="G171" s="3557"/>
    </row>
    <row r="172" spans="1:7" s="4227" customFormat="1" ht="14.25">
      <c r="A172" s="4302">
        <v>14.2</v>
      </c>
      <c r="B172" s="4265" t="s">
        <v>3601</v>
      </c>
      <c r="C172" s="4496">
        <v>6</v>
      </c>
      <c r="D172" s="4194" t="s">
        <v>2433</v>
      </c>
      <c r="E172" s="4210">
        <v>92889.600000000006</v>
      </c>
      <c r="F172" s="4301">
        <f t="shared" si="9"/>
        <v>557337.59999999998</v>
      </c>
      <c r="G172" s="3557"/>
    </row>
    <row r="173" spans="1:7" s="4227" customFormat="1" ht="14.25">
      <c r="A173" s="4302">
        <v>14.3</v>
      </c>
      <c r="B173" s="4265" t="s">
        <v>4018</v>
      </c>
      <c r="C173" s="4496">
        <v>7</v>
      </c>
      <c r="D173" s="4194" t="s">
        <v>2433</v>
      </c>
      <c r="E173" s="4210">
        <v>92889.600000000006</v>
      </c>
      <c r="F173" s="4301">
        <f t="shared" si="9"/>
        <v>650227.19999999995</v>
      </c>
      <c r="G173" s="3557"/>
    </row>
    <row r="174" spans="1:7" s="4227" customFormat="1" ht="14.25">
      <c r="A174" s="4457">
        <v>14.4</v>
      </c>
      <c r="B174" s="4458" t="s">
        <v>4019</v>
      </c>
      <c r="C174" s="4497">
        <v>6</v>
      </c>
      <c r="D174" s="4476" t="s">
        <v>2433</v>
      </c>
      <c r="E174" s="4461">
        <v>92889.600000000006</v>
      </c>
      <c r="F174" s="4462">
        <f t="shared" si="9"/>
        <v>557337.59999999998</v>
      </c>
      <c r="G174" s="3557"/>
    </row>
    <row r="175" spans="1:7" ht="14.25">
      <c r="A175" s="4388"/>
      <c r="B175" s="4230"/>
      <c r="C175" s="4246"/>
      <c r="D175" s="4249"/>
      <c r="E175" s="1263"/>
      <c r="F175" s="1263" t="str">
        <f t="shared" si="8"/>
        <v xml:space="preserve"> </v>
      </c>
    </row>
    <row r="176" spans="1:7" ht="15">
      <c r="A176" s="4389">
        <v>15</v>
      </c>
      <c r="B176" s="4343" t="s">
        <v>764</v>
      </c>
      <c r="C176" s="4246"/>
      <c r="D176" s="4249"/>
      <c r="E176" s="1263"/>
      <c r="F176" s="1263" t="str">
        <f t="shared" si="8"/>
        <v xml:space="preserve"> </v>
      </c>
    </row>
    <row r="177" spans="1:7" ht="14.25">
      <c r="A177" s="4392">
        <v>15.1</v>
      </c>
      <c r="B177" s="4230" t="s">
        <v>2352</v>
      </c>
      <c r="C177" s="4246">
        <v>204.75</v>
      </c>
      <c r="D177" s="4249" t="s">
        <v>2432</v>
      </c>
      <c r="E177" s="1263">
        <v>132.63999999999999</v>
      </c>
      <c r="F177" s="1263">
        <f t="shared" si="8"/>
        <v>27158.04</v>
      </c>
    </row>
    <row r="178" spans="1:7" ht="14.25">
      <c r="A178" s="4392">
        <v>15.2</v>
      </c>
      <c r="B178" s="4230" t="s">
        <v>2598</v>
      </c>
      <c r="C178" s="4246">
        <v>204.75</v>
      </c>
      <c r="D178" s="4249" t="s">
        <v>2432</v>
      </c>
      <c r="E178" s="1263">
        <v>94.92</v>
      </c>
      <c r="F178" s="1263">
        <f t="shared" si="8"/>
        <v>19434.87</v>
      </c>
    </row>
    <row r="179" spans="1:7" ht="14.25">
      <c r="A179" s="4392">
        <v>15.3</v>
      </c>
      <c r="B179" s="4230" t="s">
        <v>2594</v>
      </c>
      <c r="C179" s="4246">
        <v>1</v>
      </c>
      <c r="D179" s="4249" t="s">
        <v>2433</v>
      </c>
      <c r="E179" s="1263">
        <v>12000</v>
      </c>
      <c r="F179" s="1263">
        <f t="shared" si="8"/>
        <v>12000</v>
      </c>
    </row>
    <row r="180" spans="1:7" s="4240" customFormat="1">
      <c r="A180" s="4303"/>
      <c r="B180" s="4304" t="s">
        <v>2127</v>
      </c>
      <c r="C180" s="4498"/>
      <c r="D180" s="4306"/>
      <c r="E180" s="4307"/>
      <c r="F180" s="4307">
        <f>SUM(F15:F179)</f>
        <v>45455882.259999998</v>
      </c>
      <c r="G180" s="3557"/>
    </row>
    <row r="181" spans="1:7" ht="14.25">
      <c r="A181" s="4388"/>
      <c r="B181" s="3433"/>
      <c r="C181" s="4231"/>
      <c r="D181" s="4267"/>
      <c r="E181" s="4268"/>
      <c r="F181" s="4233" t="str">
        <f t="shared" si="8"/>
        <v xml:space="preserve"> </v>
      </c>
    </row>
    <row r="182" spans="1:7" s="4222" customFormat="1" ht="15">
      <c r="A182" s="4396" t="s">
        <v>774</v>
      </c>
      <c r="B182" s="3435" t="s">
        <v>1995</v>
      </c>
      <c r="C182" s="4221"/>
      <c r="D182" s="4311"/>
      <c r="E182" s="4216"/>
      <c r="F182" s="4216" t="str">
        <f>IF(C182&gt;0,(ROUND((E182*C182),2))," ")</f>
        <v xml:space="preserve"> </v>
      </c>
      <c r="G182" s="3557"/>
    </row>
    <row r="183" spans="1:7" s="4225" customFormat="1" ht="15" customHeight="1">
      <c r="A183" s="4393"/>
      <c r="B183" s="3435"/>
      <c r="C183" s="4231"/>
      <c r="D183" s="4249"/>
      <c r="E183" s="4264"/>
      <c r="F183" s="4233" t="str">
        <f>IF(C183&gt;0,(ROUND((E183*C183),2))," ")</f>
        <v xml:space="preserve"> </v>
      </c>
      <c r="G183" s="3557"/>
    </row>
    <row r="184" spans="1:7" s="4238" customFormat="1" ht="15" customHeight="1">
      <c r="A184" s="4389">
        <v>1</v>
      </c>
      <c r="B184" s="4343" t="s">
        <v>2165</v>
      </c>
      <c r="C184" s="4262"/>
      <c r="D184" s="4271"/>
      <c r="E184" s="4264"/>
      <c r="F184" s="4264" t="str">
        <f>IF(C184&gt;0,(ROUND((E184*C184),2))," ")</f>
        <v xml:space="preserve"> </v>
      </c>
      <c r="G184" s="3557"/>
    </row>
    <row r="185" spans="1:7" s="4225" customFormat="1" ht="14.25" customHeight="1">
      <c r="A185" s="4392">
        <v>1.1000000000000001</v>
      </c>
      <c r="B185" s="4230" t="s">
        <v>4028</v>
      </c>
      <c r="C185" s="4231">
        <v>40</v>
      </c>
      <c r="D185" s="4249" t="s">
        <v>1</v>
      </c>
      <c r="E185" s="4233">
        <v>79.19</v>
      </c>
      <c r="F185" s="4233">
        <f>IF(C185&gt;0,(ROUND((E185*C185),2))," ")</f>
        <v>3167.6</v>
      </c>
      <c r="G185" s="3557"/>
    </row>
    <row r="186" spans="1:7" s="4225" customFormat="1" ht="14.25" customHeight="1">
      <c r="A186" s="4388"/>
      <c r="B186" s="4230"/>
      <c r="C186" s="4231"/>
      <c r="D186" s="4249"/>
      <c r="E186" s="4233"/>
      <c r="F186" s="4233"/>
      <c r="G186" s="3557"/>
    </row>
    <row r="187" spans="1:7" s="4238" customFormat="1" ht="15" customHeight="1">
      <c r="A187" s="4389">
        <v>2</v>
      </c>
      <c r="B187" s="4343" t="s">
        <v>14</v>
      </c>
      <c r="C187" s="4262"/>
      <c r="D187" s="4271"/>
      <c r="E187" s="4264"/>
      <c r="F187" s="4264" t="str">
        <f t="shared" ref="F187:F250" si="10">IF(C187&gt;0,(ROUND((E187*C187),2))," ")</f>
        <v xml:space="preserve"> </v>
      </c>
      <c r="G187" s="3557"/>
    </row>
    <row r="188" spans="1:7" ht="14.25" customHeight="1">
      <c r="A188" s="4392">
        <v>2.1</v>
      </c>
      <c r="B188" s="4230" t="s">
        <v>2398</v>
      </c>
      <c r="C188" s="4231">
        <v>24.53</v>
      </c>
      <c r="D188" s="4249" t="s">
        <v>2430</v>
      </c>
      <c r="E188" s="4233">
        <v>330.24</v>
      </c>
      <c r="F188" s="4233">
        <f t="shared" si="10"/>
        <v>8100.79</v>
      </c>
    </row>
    <row r="189" spans="1:7" ht="14.25" customHeight="1">
      <c r="A189" s="4392">
        <v>2.2000000000000002</v>
      </c>
      <c r="B189" s="3434" t="s">
        <v>2983</v>
      </c>
      <c r="C189" s="4233">
        <v>16.36</v>
      </c>
      <c r="D189" s="4249" t="s">
        <v>2431</v>
      </c>
      <c r="E189" s="4233">
        <v>121.12</v>
      </c>
      <c r="F189" s="4233">
        <f t="shared" si="10"/>
        <v>1981.52</v>
      </c>
    </row>
    <row r="190" spans="1:7" ht="28.5" customHeight="1">
      <c r="A190" s="4392">
        <v>2.2999999999999998</v>
      </c>
      <c r="B190" s="3434" t="s">
        <v>3833</v>
      </c>
      <c r="C190" s="4231">
        <v>30.66</v>
      </c>
      <c r="D190" s="4249" t="s">
        <v>2525</v>
      </c>
      <c r="E190" s="4233">
        <v>210</v>
      </c>
      <c r="F190" s="4233">
        <f t="shared" si="10"/>
        <v>6438.6</v>
      </c>
    </row>
    <row r="191" spans="1:7" s="4234" customFormat="1" ht="14.25" customHeight="1">
      <c r="A191" s="4392">
        <v>2.4</v>
      </c>
      <c r="B191" s="4230" t="s">
        <v>3832</v>
      </c>
      <c r="C191" s="4231">
        <v>25.2</v>
      </c>
      <c r="D191" s="4249" t="s">
        <v>2430</v>
      </c>
      <c r="E191" s="4233">
        <v>575</v>
      </c>
      <c r="F191" s="4233">
        <f t="shared" si="10"/>
        <v>14490</v>
      </c>
      <c r="G191" s="3557"/>
    </row>
    <row r="192" spans="1:7" ht="14.25" customHeight="1">
      <c r="A192" s="4388"/>
      <c r="B192" s="4230"/>
      <c r="C192" s="4231"/>
      <c r="D192" s="4249"/>
      <c r="E192" s="4233"/>
      <c r="F192" s="4233" t="str">
        <f t="shared" si="10"/>
        <v xml:space="preserve"> </v>
      </c>
    </row>
    <row r="193" spans="1:7" s="4234" customFormat="1" ht="15" customHeight="1">
      <c r="A193" s="4389">
        <v>3</v>
      </c>
      <c r="B193" s="4343" t="s">
        <v>3707</v>
      </c>
      <c r="C193" s="4231"/>
      <c r="D193" s="4249"/>
      <c r="E193" s="4233"/>
      <c r="F193" s="4233" t="str">
        <f t="shared" si="10"/>
        <v xml:space="preserve"> </v>
      </c>
      <c r="G193" s="3557"/>
    </row>
    <row r="194" spans="1:7" s="4234" customFormat="1" ht="14.25" customHeight="1">
      <c r="A194" s="4392">
        <v>3.1</v>
      </c>
      <c r="B194" s="3433" t="s">
        <v>3963</v>
      </c>
      <c r="C194" s="4231">
        <v>6.57</v>
      </c>
      <c r="D194" s="4249" t="s">
        <v>2430</v>
      </c>
      <c r="E194" s="4233">
        <v>9340.01</v>
      </c>
      <c r="F194" s="4233">
        <f t="shared" si="10"/>
        <v>61363.87</v>
      </c>
      <c r="G194" s="3557"/>
    </row>
    <row r="195" spans="1:7" s="4234" customFormat="1" ht="14.25" customHeight="1">
      <c r="A195" s="4392">
        <v>3.2</v>
      </c>
      <c r="B195" s="3433" t="s">
        <v>3964</v>
      </c>
      <c r="C195" s="4231">
        <v>1.5</v>
      </c>
      <c r="D195" s="4249" t="s">
        <v>2430</v>
      </c>
      <c r="E195" s="4233">
        <v>10440.76</v>
      </c>
      <c r="F195" s="4233">
        <f t="shared" si="10"/>
        <v>15661.14</v>
      </c>
      <c r="G195" s="3557"/>
    </row>
    <row r="196" spans="1:7" s="4234" customFormat="1" ht="14.25" customHeight="1">
      <c r="A196" s="4392">
        <v>3.3</v>
      </c>
      <c r="B196" s="3433" t="s">
        <v>3965</v>
      </c>
      <c r="C196" s="4231">
        <v>0.19</v>
      </c>
      <c r="D196" s="4249" t="s">
        <v>2430</v>
      </c>
      <c r="E196" s="4233">
        <v>9340.01</v>
      </c>
      <c r="F196" s="4233">
        <f t="shared" si="10"/>
        <v>1774.6</v>
      </c>
      <c r="G196" s="3557"/>
    </row>
    <row r="197" spans="1:7" s="4234" customFormat="1" ht="14.25" customHeight="1">
      <c r="A197" s="4392">
        <v>3.4</v>
      </c>
      <c r="B197" s="4230" t="s">
        <v>3966</v>
      </c>
      <c r="C197" s="4231">
        <v>1.1200000000000001</v>
      </c>
      <c r="D197" s="4249" t="s">
        <v>2430</v>
      </c>
      <c r="E197" s="4233">
        <v>34858.26</v>
      </c>
      <c r="F197" s="4233">
        <f t="shared" si="10"/>
        <v>39041.25</v>
      </c>
      <c r="G197" s="3557"/>
    </row>
    <row r="198" spans="1:7" s="4234" customFormat="1" ht="14.25" customHeight="1">
      <c r="A198" s="4392">
        <v>3.5</v>
      </c>
      <c r="B198" s="3433" t="s">
        <v>3967</v>
      </c>
      <c r="C198" s="4231">
        <v>2.73</v>
      </c>
      <c r="D198" s="4249" t="s">
        <v>2430</v>
      </c>
      <c r="E198" s="4233">
        <v>26860.6</v>
      </c>
      <c r="F198" s="4233">
        <f t="shared" si="10"/>
        <v>73329.440000000002</v>
      </c>
      <c r="G198" s="3557"/>
    </row>
    <row r="199" spans="1:7" s="4234" customFormat="1" ht="14.25" customHeight="1">
      <c r="A199" s="4392">
        <v>3.6</v>
      </c>
      <c r="B199" s="3433" t="s">
        <v>3968</v>
      </c>
      <c r="C199" s="4231">
        <v>1.03</v>
      </c>
      <c r="D199" s="4249" t="s">
        <v>2430</v>
      </c>
      <c r="E199" s="4233">
        <v>25868.78</v>
      </c>
      <c r="F199" s="4233">
        <f t="shared" si="10"/>
        <v>26644.84</v>
      </c>
      <c r="G199" s="3557"/>
    </row>
    <row r="200" spans="1:7" s="4234" customFormat="1" ht="14.25" customHeight="1">
      <c r="A200" s="4392">
        <v>3.7</v>
      </c>
      <c r="B200" s="4230" t="s">
        <v>3969</v>
      </c>
      <c r="C200" s="4231">
        <v>0.8</v>
      </c>
      <c r="D200" s="4249" t="s">
        <v>2430</v>
      </c>
      <c r="E200" s="4233">
        <v>29568.51</v>
      </c>
      <c r="F200" s="4233">
        <f t="shared" si="10"/>
        <v>23654.81</v>
      </c>
      <c r="G200" s="3557"/>
    </row>
    <row r="201" spans="1:7" s="4234" customFormat="1" ht="14.25" customHeight="1">
      <c r="A201" s="4392">
        <v>3.8</v>
      </c>
      <c r="B201" s="4230" t="s">
        <v>3970</v>
      </c>
      <c r="C201" s="4231">
        <v>1.51</v>
      </c>
      <c r="D201" s="4249" t="s">
        <v>2430</v>
      </c>
      <c r="E201" s="4233">
        <v>23971.55</v>
      </c>
      <c r="F201" s="4233">
        <f t="shared" si="10"/>
        <v>36197.040000000001</v>
      </c>
      <c r="G201" s="3557"/>
    </row>
    <row r="202" spans="1:7" s="4234" customFormat="1" ht="14.25" customHeight="1">
      <c r="A202" s="4392">
        <v>3.9</v>
      </c>
      <c r="B202" s="4230" t="s">
        <v>3971</v>
      </c>
      <c r="C202" s="4231">
        <v>1.88</v>
      </c>
      <c r="D202" s="4249" t="s">
        <v>2430</v>
      </c>
      <c r="E202" s="4233">
        <v>22888.25</v>
      </c>
      <c r="F202" s="4233">
        <f t="shared" si="10"/>
        <v>43029.91</v>
      </c>
      <c r="G202" s="3557"/>
    </row>
    <row r="203" spans="1:7" s="4234" customFormat="1" ht="14.25" customHeight="1">
      <c r="A203" s="4388">
        <v>3.1</v>
      </c>
      <c r="B203" s="4230" t="s">
        <v>3972</v>
      </c>
      <c r="C203" s="4231">
        <v>1.32</v>
      </c>
      <c r="D203" s="4249" t="s">
        <v>2430</v>
      </c>
      <c r="E203" s="4233">
        <v>18485.259999999998</v>
      </c>
      <c r="F203" s="4233">
        <f t="shared" si="10"/>
        <v>24400.54</v>
      </c>
      <c r="G203" s="3557"/>
    </row>
    <row r="204" spans="1:7" s="4234" customFormat="1" ht="14.25" customHeight="1">
      <c r="A204" s="4388">
        <v>3.11</v>
      </c>
      <c r="B204" s="4230" t="s">
        <v>3973</v>
      </c>
      <c r="C204" s="4231">
        <v>12.1</v>
      </c>
      <c r="D204" s="4249" t="s">
        <v>2430</v>
      </c>
      <c r="E204" s="4233">
        <v>22075.82</v>
      </c>
      <c r="F204" s="4233">
        <f t="shared" si="10"/>
        <v>267117.42</v>
      </c>
      <c r="G204" s="3557"/>
    </row>
    <row r="205" spans="1:7" s="4234" customFormat="1" ht="14.25" customHeight="1">
      <c r="A205" s="4388">
        <v>3.12</v>
      </c>
      <c r="B205" s="4230" t="s">
        <v>3974</v>
      </c>
      <c r="C205" s="4231">
        <v>1.2</v>
      </c>
      <c r="D205" s="4249" t="s">
        <v>2430</v>
      </c>
      <c r="E205" s="4233">
        <v>24610.02</v>
      </c>
      <c r="F205" s="4233">
        <f t="shared" si="10"/>
        <v>29532.02</v>
      </c>
      <c r="G205" s="3557"/>
    </row>
    <row r="206" spans="1:7" s="4234" customFormat="1" ht="14.25" customHeight="1">
      <c r="A206" s="4388">
        <v>3.13</v>
      </c>
      <c r="B206" s="4230" t="s">
        <v>3975</v>
      </c>
      <c r="C206" s="4231">
        <v>1.27</v>
      </c>
      <c r="D206" s="4249" t="s">
        <v>2430</v>
      </c>
      <c r="E206" s="4233">
        <v>14678.22</v>
      </c>
      <c r="F206" s="4233">
        <f t="shared" si="10"/>
        <v>18641.34</v>
      </c>
      <c r="G206" s="3557"/>
    </row>
    <row r="207" spans="1:7" s="4234" customFormat="1" ht="14.25" customHeight="1">
      <c r="A207" s="4388">
        <v>3.14</v>
      </c>
      <c r="B207" s="4230" t="s">
        <v>3976</v>
      </c>
      <c r="C207" s="4231">
        <v>0.68</v>
      </c>
      <c r="D207" s="4249" t="s">
        <v>2430</v>
      </c>
      <c r="E207" s="4233">
        <v>12227.73</v>
      </c>
      <c r="F207" s="4233">
        <f t="shared" si="10"/>
        <v>8314.86</v>
      </c>
      <c r="G207" s="3557"/>
    </row>
    <row r="208" spans="1:7" s="4234" customFormat="1" ht="14.25" customHeight="1">
      <c r="A208" s="4388">
        <v>3.15</v>
      </c>
      <c r="B208" s="4230" t="s">
        <v>3977</v>
      </c>
      <c r="C208" s="4231">
        <v>1.17</v>
      </c>
      <c r="D208" s="4249" t="s">
        <v>2430</v>
      </c>
      <c r="E208" s="4233">
        <v>16358.05</v>
      </c>
      <c r="F208" s="4233">
        <f t="shared" si="10"/>
        <v>19138.919999999998</v>
      </c>
      <c r="G208" s="3557"/>
    </row>
    <row r="209" spans="1:7" s="4234" customFormat="1" ht="14.25" customHeight="1">
      <c r="A209" s="4388">
        <v>3.16</v>
      </c>
      <c r="B209" s="4230" t="s">
        <v>3978</v>
      </c>
      <c r="C209" s="4231">
        <v>1.1200000000000001</v>
      </c>
      <c r="D209" s="4249" t="s">
        <v>2430</v>
      </c>
      <c r="E209" s="4233">
        <v>17795.13</v>
      </c>
      <c r="F209" s="4233">
        <f t="shared" si="10"/>
        <v>19930.55</v>
      </c>
      <c r="G209" s="3557"/>
    </row>
    <row r="210" spans="1:7" s="4234" customFormat="1" ht="14.25" customHeight="1">
      <c r="A210" s="4388">
        <v>3.17</v>
      </c>
      <c r="B210" s="4230" t="s">
        <v>3979</v>
      </c>
      <c r="C210" s="4231">
        <v>7.56</v>
      </c>
      <c r="D210" s="4249" t="s">
        <v>2430</v>
      </c>
      <c r="E210" s="4233">
        <v>16604.79</v>
      </c>
      <c r="F210" s="4233">
        <f t="shared" si="10"/>
        <v>125532.21</v>
      </c>
      <c r="G210" s="3557"/>
    </row>
    <row r="211" spans="1:7" s="4234" customFormat="1" ht="14.25" customHeight="1">
      <c r="A211" s="4388">
        <v>3.18</v>
      </c>
      <c r="B211" s="4230" t="s">
        <v>3980</v>
      </c>
      <c r="C211" s="4231">
        <v>8.94</v>
      </c>
      <c r="D211" s="4249" t="s">
        <v>2430</v>
      </c>
      <c r="E211" s="4233">
        <v>16604.79</v>
      </c>
      <c r="F211" s="4233">
        <f t="shared" si="10"/>
        <v>148446.82</v>
      </c>
      <c r="G211" s="3557"/>
    </row>
    <row r="212" spans="1:7" s="4234" customFormat="1" ht="14.25" customHeight="1">
      <c r="A212" s="4388">
        <v>3.19</v>
      </c>
      <c r="B212" s="4230" t="s">
        <v>3981</v>
      </c>
      <c r="C212" s="4231">
        <v>1.68</v>
      </c>
      <c r="D212" s="4249" t="s">
        <v>2430</v>
      </c>
      <c r="E212" s="4233">
        <v>13092.64</v>
      </c>
      <c r="F212" s="4233">
        <f t="shared" si="10"/>
        <v>21995.64</v>
      </c>
      <c r="G212" s="3557"/>
    </row>
    <row r="213" spans="1:7" s="4225" customFormat="1" ht="14.25" customHeight="1">
      <c r="A213" s="4388">
        <v>3.2</v>
      </c>
      <c r="B213" s="4230" t="s">
        <v>3982</v>
      </c>
      <c r="C213" s="4231">
        <v>6.23</v>
      </c>
      <c r="D213" s="4249" t="s">
        <v>2430</v>
      </c>
      <c r="E213" s="4233">
        <v>988.98</v>
      </c>
      <c r="F213" s="4233">
        <f t="shared" si="10"/>
        <v>6161.35</v>
      </c>
      <c r="G213" s="3557"/>
    </row>
    <row r="214" spans="1:7" s="4225" customFormat="1" ht="14.25" customHeight="1">
      <c r="A214" s="4388">
        <v>3.21</v>
      </c>
      <c r="B214" s="4230" t="s">
        <v>3983</v>
      </c>
      <c r="C214" s="4231">
        <v>3.94</v>
      </c>
      <c r="D214" s="4249" t="s">
        <v>2430</v>
      </c>
      <c r="E214" s="4233">
        <v>30672</v>
      </c>
      <c r="F214" s="4233">
        <f t="shared" si="10"/>
        <v>120847.67999999999</v>
      </c>
      <c r="G214" s="3557"/>
    </row>
    <row r="215" spans="1:7" s="4225" customFormat="1" ht="14.25" customHeight="1">
      <c r="A215" s="4388"/>
      <c r="B215" s="4230"/>
      <c r="C215" s="4231"/>
      <c r="D215" s="4249"/>
      <c r="E215" s="4233"/>
      <c r="F215" s="4233"/>
      <c r="G215" s="3557"/>
    </row>
    <row r="216" spans="1:7" ht="15" customHeight="1">
      <c r="A216" s="4389">
        <v>4</v>
      </c>
      <c r="B216" s="4343" t="s">
        <v>784</v>
      </c>
      <c r="C216" s="4231"/>
      <c r="D216" s="4249"/>
      <c r="E216" s="4233"/>
      <c r="F216" s="4233" t="str">
        <f t="shared" si="10"/>
        <v xml:space="preserve"> </v>
      </c>
    </row>
    <row r="217" spans="1:7" s="4225" customFormat="1" ht="14.25" customHeight="1">
      <c r="A217" s="4392">
        <v>4.0999999999999996</v>
      </c>
      <c r="B217" s="4184" t="s">
        <v>3984</v>
      </c>
      <c r="C217" s="4446">
        <v>16.399999999999999</v>
      </c>
      <c r="D217" s="4249" t="s">
        <v>2432</v>
      </c>
      <c r="E217" s="4233">
        <v>1495.87</v>
      </c>
      <c r="F217" s="4233">
        <f t="shared" si="10"/>
        <v>24532.27</v>
      </c>
      <c r="G217" s="3557"/>
    </row>
    <row r="218" spans="1:7" s="4225" customFormat="1" ht="14.25" customHeight="1">
      <c r="A218" s="4392">
        <v>4.2</v>
      </c>
      <c r="B218" s="4184" t="s">
        <v>3985</v>
      </c>
      <c r="C218" s="4446">
        <v>190.26</v>
      </c>
      <c r="D218" s="4249" t="s">
        <v>2432</v>
      </c>
      <c r="E218" s="4233">
        <v>1528.3</v>
      </c>
      <c r="F218" s="4233">
        <f t="shared" si="10"/>
        <v>290774.36</v>
      </c>
      <c r="G218" s="3557"/>
    </row>
    <row r="219" spans="1:7" s="4225" customFormat="1" ht="14.25" customHeight="1">
      <c r="A219" s="4392">
        <v>4.3</v>
      </c>
      <c r="B219" s="4230" t="s">
        <v>3986</v>
      </c>
      <c r="C219" s="4233">
        <v>22.44</v>
      </c>
      <c r="D219" s="4249" t="s">
        <v>2432</v>
      </c>
      <c r="E219" s="4233">
        <v>1200.45</v>
      </c>
      <c r="F219" s="4233">
        <f t="shared" si="10"/>
        <v>26938.1</v>
      </c>
      <c r="G219" s="3557"/>
    </row>
    <row r="220" spans="1:7" ht="14.25" customHeight="1">
      <c r="A220" s="4454"/>
      <c r="B220" s="4450"/>
      <c r="C220" s="4464"/>
      <c r="D220" s="4465"/>
      <c r="E220" s="4466"/>
      <c r="F220" s="4466" t="str">
        <f t="shared" si="10"/>
        <v xml:space="preserve"> </v>
      </c>
    </row>
    <row r="221" spans="1:7" ht="15" customHeight="1">
      <c r="A221" s="4389">
        <v>5</v>
      </c>
      <c r="B221" s="4343" t="s">
        <v>787</v>
      </c>
      <c r="C221" s="4231"/>
      <c r="D221" s="4249"/>
      <c r="E221" s="4233"/>
      <c r="F221" s="4233" t="str">
        <f t="shared" si="10"/>
        <v xml:space="preserve"> </v>
      </c>
    </row>
    <row r="222" spans="1:7" ht="14.25" customHeight="1">
      <c r="A222" s="4392">
        <v>5.0999999999999996</v>
      </c>
      <c r="B222" s="4230" t="s">
        <v>2360</v>
      </c>
      <c r="C222" s="4231">
        <v>521.63</v>
      </c>
      <c r="D222" s="4249" t="s">
        <v>2432</v>
      </c>
      <c r="E222" s="4233">
        <v>382.2</v>
      </c>
      <c r="F222" s="4233">
        <f t="shared" si="10"/>
        <v>199366.99</v>
      </c>
    </row>
    <row r="223" spans="1:7" ht="14.25" customHeight="1">
      <c r="A223" s="4392">
        <v>5.2</v>
      </c>
      <c r="B223" s="4230" t="s">
        <v>2361</v>
      </c>
      <c r="C223" s="4231">
        <v>73.92</v>
      </c>
      <c r="D223" s="4249" t="s">
        <v>2432</v>
      </c>
      <c r="E223" s="4233">
        <v>565.92999999999995</v>
      </c>
      <c r="F223" s="4233">
        <f t="shared" si="10"/>
        <v>41833.550000000003</v>
      </c>
    </row>
    <row r="224" spans="1:7" ht="14.25" customHeight="1">
      <c r="A224" s="4392">
        <v>5.3</v>
      </c>
      <c r="B224" s="4230" t="s">
        <v>3525</v>
      </c>
      <c r="C224" s="4231">
        <v>33.200000000000003</v>
      </c>
      <c r="D224" s="4249" t="s">
        <v>2432</v>
      </c>
      <c r="E224" s="4233">
        <v>134</v>
      </c>
      <c r="F224" s="4233">
        <f t="shared" si="10"/>
        <v>4448.8</v>
      </c>
    </row>
    <row r="225" spans="1:7" ht="14.25" customHeight="1">
      <c r="A225" s="4392">
        <v>5.4</v>
      </c>
      <c r="B225" s="4230" t="s">
        <v>1548</v>
      </c>
      <c r="C225" s="4231">
        <v>478.68</v>
      </c>
      <c r="D225" s="4249" t="s">
        <v>1</v>
      </c>
      <c r="E225" s="4233">
        <v>107.14</v>
      </c>
      <c r="F225" s="4233">
        <f t="shared" si="10"/>
        <v>51285.78</v>
      </c>
    </row>
    <row r="226" spans="1:7" ht="14.25" customHeight="1">
      <c r="A226" s="4392">
        <v>5.5</v>
      </c>
      <c r="B226" s="4230" t="s">
        <v>2362</v>
      </c>
      <c r="C226" s="4231">
        <v>33.799999999999997</v>
      </c>
      <c r="D226" s="4249" t="s">
        <v>1</v>
      </c>
      <c r="E226" s="4233">
        <v>753.08</v>
      </c>
      <c r="F226" s="4233">
        <f t="shared" si="10"/>
        <v>25454.1</v>
      </c>
    </row>
    <row r="227" spans="1:7" ht="14.25" customHeight="1">
      <c r="A227" s="4392">
        <v>5.6</v>
      </c>
      <c r="B227" s="4230" t="s">
        <v>2363</v>
      </c>
      <c r="C227" s="4233">
        <v>3.11</v>
      </c>
      <c r="D227" s="4249" t="s">
        <v>2432</v>
      </c>
      <c r="E227" s="4233">
        <v>396.6</v>
      </c>
      <c r="F227" s="4233">
        <f t="shared" si="10"/>
        <v>1233.43</v>
      </c>
    </row>
    <row r="228" spans="1:7" ht="14.25" customHeight="1">
      <c r="A228" s="4392">
        <v>5.7</v>
      </c>
      <c r="B228" s="4230" t="s">
        <v>2364</v>
      </c>
      <c r="C228" s="4231">
        <v>15.18</v>
      </c>
      <c r="D228" s="4249" t="s">
        <v>2432</v>
      </c>
      <c r="E228" s="4233">
        <v>396.6</v>
      </c>
      <c r="F228" s="4233">
        <f t="shared" si="10"/>
        <v>6020.39</v>
      </c>
    </row>
    <row r="229" spans="1:7" ht="14.25" customHeight="1">
      <c r="A229" s="4392">
        <v>5.8</v>
      </c>
      <c r="B229" s="4230" t="s">
        <v>2365</v>
      </c>
      <c r="C229" s="4231">
        <v>4.95</v>
      </c>
      <c r="D229" s="4249" t="s">
        <v>2432</v>
      </c>
      <c r="E229" s="4233">
        <v>611.6</v>
      </c>
      <c r="F229" s="4233">
        <f t="shared" si="10"/>
        <v>3027.42</v>
      </c>
    </row>
    <row r="230" spans="1:7" s="4225" customFormat="1" ht="14.25" customHeight="1">
      <c r="A230" s="4392">
        <v>5.9</v>
      </c>
      <c r="B230" s="4230" t="s">
        <v>2366</v>
      </c>
      <c r="C230" s="4231">
        <v>20.13</v>
      </c>
      <c r="D230" s="4249" t="s">
        <v>2432</v>
      </c>
      <c r="E230" s="4233">
        <v>2300</v>
      </c>
      <c r="F230" s="4233">
        <f t="shared" si="10"/>
        <v>46299</v>
      </c>
      <c r="G230" s="3557"/>
    </row>
    <row r="231" spans="1:7" ht="14.25" customHeight="1">
      <c r="A231" s="4388">
        <v>5.0999999999999996</v>
      </c>
      <c r="B231" s="4230" t="s">
        <v>2367</v>
      </c>
      <c r="C231" s="4231">
        <v>98.88</v>
      </c>
      <c r="D231" s="4249" t="s">
        <v>2432</v>
      </c>
      <c r="E231" s="4233">
        <v>978.32</v>
      </c>
      <c r="F231" s="4233">
        <f t="shared" si="10"/>
        <v>96736.28</v>
      </c>
    </row>
    <row r="232" spans="1:7" ht="14.25" customHeight="1">
      <c r="A232" s="4388">
        <v>5.1100000000000003</v>
      </c>
      <c r="B232" s="4230" t="s">
        <v>2368</v>
      </c>
      <c r="C232" s="4231">
        <v>77.150000000000006</v>
      </c>
      <c r="D232" s="4249" t="s">
        <v>1</v>
      </c>
      <c r="E232" s="4233">
        <v>60.01</v>
      </c>
      <c r="F232" s="4233">
        <f t="shared" si="10"/>
        <v>4629.7700000000004</v>
      </c>
    </row>
    <row r="233" spans="1:7" ht="14.25" customHeight="1">
      <c r="A233" s="4388">
        <v>5.12</v>
      </c>
      <c r="B233" s="4230" t="s">
        <v>2369</v>
      </c>
      <c r="C233" s="4231">
        <v>598.66</v>
      </c>
      <c r="D233" s="4249" t="s">
        <v>2432</v>
      </c>
      <c r="E233" s="4233">
        <v>94.92</v>
      </c>
      <c r="F233" s="4233">
        <f t="shared" si="10"/>
        <v>56824.81</v>
      </c>
    </row>
    <row r="234" spans="1:7" ht="14.25" customHeight="1">
      <c r="A234" s="4388">
        <v>5.13</v>
      </c>
      <c r="B234" s="4230" t="s">
        <v>2352</v>
      </c>
      <c r="C234" s="4231">
        <v>598.66</v>
      </c>
      <c r="D234" s="4249" t="s">
        <v>2432</v>
      </c>
      <c r="E234" s="4233">
        <v>132.63999999999999</v>
      </c>
      <c r="F234" s="4233">
        <f t="shared" si="10"/>
        <v>79406.259999999995</v>
      </c>
    </row>
    <row r="235" spans="1:7" ht="14.25" customHeight="1">
      <c r="A235" s="4388">
        <v>5.14</v>
      </c>
      <c r="B235" s="4230" t="s">
        <v>2346</v>
      </c>
      <c r="C235" s="4231">
        <v>27.84</v>
      </c>
      <c r="D235" s="4249" t="s">
        <v>2432</v>
      </c>
      <c r="E235" s="4233">
        <v>941.58</v>
      </c>
      <c r="F235" s="4233">
        <f t="shared" si="10"/>
        <v>26213.59</v>
      </c>
    </row>
    <row r="236" spans="1:7" ht="14.25" customHeight="1">
      <c r="A236" s="4388"/>
      <c r="B236" s="4230"/>
      <c r="C236" s="4231"/>
      <c r="D236" s="4249"/>
      <c r="E236" s="4233"/>
      <c r="F236" s="4233" t="str">
        <f t="shared" si="10"/>
        <v xml:space="preserve"> </v>
      </c>
    </row>
    <row r="237" spans="1:7" ht="15" customHeight="1">
      <c r="A237" s="4389">
        <v>6</v>
      </c>
      <c r="B237" s="4343" t="s">
        <v>2741</v>
      </c>
      <c r="C237" s="4231"/>
      <c r="D237" s="4249"/>
      <c r="E237" s="4233"/>
      <c r="F237" s="4233" t="str">
        <f t="shared" si="10"/>
        <v xml:space="preserve"> </v>
      </c>
    </row>
    <row r="238" spans="1:7" s="4225" customFormat="1" ht="14.25" customHeight="1">
      <c r="A238" s="4392">
        <v>6.1</v>
      </c>
      <c r="B238" s="4230" t="s">
        <v>2935</v>
      </c>
      <c r="C238" s="4231">
        <v>5</v>
      </c>
      <c r="D238" s="4249" t="s">
        <v>2433</v>
      </c>
      <c r="E238" s="4233">
        <v>7500</v>
      </c>
      <c r="F238" s="4233">
        <f t="shared" si="10"/>
        <v>37500</v>
      </c>
      <c r="G238" s="3557"/>
    </row>
    <row r="239" spans="1:7" s="4225" customFormat="1" ht="14.25" customHeight="1">
      <c r="A239" s="4392">
        <v>6.2</v>
      </c>
      <c r="B239" s="4230" t="s">
        <v>3603</v>
      </c>
      <c r="C239" s="4231">
        <v>1</v>
      </c>
      <c r="D239" s="4249" t="s">
        <v>2433</v>
      </c>
      <c r="E239" s="4233">
        <v>35000</v>
      </c>
      <c r="F239" s="4233">
        <f t="shared" si="10"/>
        <v>35000</v>
      </c>
      <c r="G239" s="3557"/>
    </row>
    <row r="240" spans="1:7" s="4225" customFormat="1" ht="14.25" customHeight="1">
      <c r="A240" s="4392">
        <v>6.3</v>
      </c>
      <c r="B240" s="4212" t="s">
        <v>3604</v>
      </c>
      <c r="C240" s="4233">
        <v>185.26</v>
      </c>
      <c r="D240" s="4249" t="s">
        <v>2601</v>
      </c>
      <c r="E240" s="4233">
        <v>543.33000000000004</v>
      </c>
      <c r="F240" s="4233">
        <f t="shared" si="10"/>
        <v>100657.32</v>
      </c>
      <c r="G240" s="3557"/>
    </row>
    <row r="241" spans="1:7" ht="14.25" customHeight="1">
      <c r="A241" s="4388"/>
      <c r="B241" s="4230"/>
      <c r="C241" s="4231"/>
      <c r="D241" s="4249"/>
      <c r="E241" s="4233"/>
      <c r="F241" s="4233" t="str">
        <f t="shared" si="10"/>
        <v xml:space="preserve"> </v>
      </c>
    </row>
    <row r="242" spans="1:7" ht="15" customHeight="1">
      <c r="A242" s="4389">
        <v>7</v>
      </c>
      <c r="B242" s="4343" t="s">
        <v>3708</v>
      </c>
      <c r="C242" s="4231"/>
      <c r="D242" s="4249"/>
      <c r="E242" s="4233"/>
      <c r="F242" s="4233" t="str">
        <f t="shared" si="10"/>
        <v xml:space="preserve"> </v>
      </c>
    </row>
    <row r="243" spans="1:7" s="4225" customFormat="1" ht="14.25" customHeight="1">
      <c r="A243" s="4392">
        <v>7.1</v>
      </c>
      <c r="B243" s="4230" t="s">
        <v>2370</v>
      </c>
      <c r="C243" s="4231">
        <v>3</v>
      </c>
      <c r="D243" s="4249" t="s">
        <v>2433</v>
      </c>
      <c r="E243" s="4231">
        <v>2500</v>
      </c>
      <c r="F243" s="4233">
        <f t="shared" si="10"/>
        <v>7500</v>
      </c>
      <c r="G243" s="3557"/>
    </row>
    <row r="244" spans="1:7" ht="71.25" customHeight="1">
      <c r="A244" s="4392">
        <v>7.2</v>
      </c>
      <c r="B244" s="4206" t="s">
        <v>3987</v>
      </c>
      <c r="C244" s="4231">
        <v>2</v>
      </c>
      <c r="D244" s="4249" t="s">
        <v>2433</v>
      </c>
      <c r="E244" s="4345">
        <v>224315.98</v>
      </c>
      <c r="F244" s="4233">
        <f t="shared" si="10"/>
        <v>448631.96</v>
      </c>
    </row>
    <row r="245" spans="1:7" ht="14.25" customHeight="1">
      <c r="A245" s="4392">
        <v>7.3</v>
      </c>
      <c r="B245" s="4230" t="s">
        <v>2371</v>
      </c>
      <c r="C245" s="4231">
        <v>1</v>
      </c>
      <c r="D245" s="4249" t="s">
        <v>2433</v>
      </c>
      <c r="E245" s="4233">
        <v>3200</v>
      </c>
      <c r="F245" s="4233">
        <f t="shared" si="10"/>
        <v>3200</v>
      </c>
    </row>
    <row r="246" spans="1:7" s="4225" customFormat="1" ht="57" customHeight="1">
      <c r="A246" s="4392">
        <v>7.4</v>
      </c>
      <c r="B246" s="4206" t="s">
        <v>3605</v>
      </c>
      <c r="C246" s="4231">
        <v>2</v>
      </c>
      <c r="D246" s="4249" t="s">
        <v>2433</v>
      </c>
      <c r="E246" s="4233">
        <v>246136.2</v>
      </c>
      <c r="F246" s="4233">
        <f t="shared" si="10"/>
        <v>492272.4</v>
      </c>
      <c r="G246" s="3557"/>
    </row>
    <row r="247" spans="1:7" s="3532" customFormat="1" ht="15.75" customHeight="1">
      <c r="A247" s="4392">
        <v>7.5</v>
      </c>
      <c r="B247" s="4230" t="s">
        <v>3606</v>
      </c>
      <c r="C247" s="4231">
        <v>1</v>
      </c>
      <c r="D247" s="4249" t="s">
        <v>2433</v>
      </c>
      <c r="E247" s="4233">
        <v>5330</v>
      </c>
      <c r="F247" s="4233">
        <f t="shared" si="10"/>
        <v>5330</v>
      </c>
      <c r="G247" s="3557"/>
    </row>
    <row r="248" spans="1:7" s="3532" customFormat="1" ht="28.5" customHeight="1">
      <c r="A248" s="4392">
        <v>7.6</v>
      </c>
      <c r="B248" s="4230" t="s">
        <v>3607</v>
      </c>
      <c r="C248" s="4231">
        <v>1</v>
      </c>
      <c r="D248" s="4249" t="s">
        <v>42</v>
      </c>
      <c r="E248" s="4233">
        <v>1200</v>
      </c>
      <c r="F248" s="4233">
        <f t="shared" si="10"/>
        <v>1200</v>
      </c>
      <c r="G248" s="3557"/>
    </row>
    <row r="249" spans="1:7" s="4225" customFormat="1" ht="14.25" customHeight="1">
      <c r="A249" s="4392">
        <v>7.7</v>
      </c>
      <c r="B249" s="4212" t="s">
        <v>3988</v>
      </c>
      <c r="C249" s="4231">
        <v>1</v>
      </c>
      <c r="D249" s="4249" t="s">
        <v>2433</v>
      </c>
      <c r="E249" s="4233">
        <v>8500</v>
      </c>
      <c r="F249" s="4233">
        <f t="shared" si="10"/>
        <v>8500</v>
      </c>
      <c r="G249" s="3557"/>
    </row>
    <row r="250" spans="1:7" ht="14.25" customHeight="1">
      <c r="A250" s="4388"/>
      <c r="B250" s="4230"/>
      <c r="C250" s="4231"/>
      <c r="D250" s="4249"/>
      <c r="E250" s="4233"/>
      <c r="F250" s="4233" t="str">
        <f t="shared" si="10"/>
        <v xml:space="preserve"> </v>
      </c>
    </row>
    <row r="251" spans="1:7" ht="15" customHeight="1">
      <c r="A251" s="4389">
        <v>8</v>
      </c>
      <c r="B251" s="4343" t="s">
        <v>808</v>
      </c>
      <c r="C251" s="4231"/>
      <c r="D251" s="4249"/>
      <c r="E251" s="4233"/>
      <c r="F251" s="4233" t="str">
        <f t="shared" ref="F251" si="11">IF(C251&gt;0,(ROUND((E251*C251),2))," ")</f>
        <v xml:space="preserve"> </v>
      </c>
    </row>
    <row r="252" spans="1:7" ht="15" customHeight="1">
      <c r="A252" s="4389"/>
      <c r="B252" s="4207" t="s">
        <v>2028</v>
      </c>
      <c r="C252" s="4208"/>
      <c r="D252" s="4194"/>
      <c r="E252" s="4226"/>
      <c r="F252" s="4233"/>
    </row>
    <row r="253" spans="1:7" ht="15" customHeight="1">
      <c r="A253" s="4389"/>
      <c r="B253" s="4212" t="s">
        <v>3989</v>
      </c>
      <c r="C253" s="4191">
        <v>1</v>
      </c>
      <c r="D253" s="4194" t="s">
        <v>2433</v>
      </c>
      <c r="E253" s="4210">
        <v>6128</v>
      </c>
      <c r="F253" s="4233">
        <f t="shared" ref="F253:F292" si="12">IF(C253&gt;0,(ROUND((E253*C253),2))," ")</f>
        <v>6128</v>
      </c>
    </row>
    <row r="254" spans="1:7" ht="15" customHeight="1">
      <c r="A254" s="4389"/>
      <c r="B254" s="4212" t="s">
        <v>3990</v>
      </c>
      <c r="C254" s="4191">
        <v>36</v>
      </c>
      <c r="D254" s="4194" t="s">
        <v>2433</v>
      </c>
      <c r="E254" s="4210">
        <v>50.71</v>
      </c>
      <c r="F254" s="4233">
        <f t="shared" si="12"/>
        <v>1825.56</v>
      </c>
    </row>
    <row r="255" spans="1:7" ht="15" customHeight="1">
      <c r="A255" s="4389"/>
      <c r="B255" s="4212" t="s">
        <v>3991</v>
      </c>
      <c r="C255" s="4191">
        <v>6</v>
      </c>
      <c r="D255" s="4194" t="s">
        <v>2433</v>
      </c>
      <c r="E255" s="4210">
        <v>2175</v>
      </c>
      <c r="F255" s="4233">
        <f t="shared" si="12"/>
        <v>13050</v>
      </c>
    </row>
    <row r="256" spans="1:7" ht="15" customHeight="1">
      <c r="A256" s="4389"/>
      <c r="B256" s="4212" t="s">
        <v>3992</v>
      </c>
      <c r="C256" s="4191">
        <v>1</v>
      </c>
      <c r="D256" s="4194" t="s">
        <v>2433</v>
      </c>
      <c r="E256" s="4210">
        <v>3175</v>
      </c>
      <c r="F256" s="4233">
        <f t="shared" si="12"/>
        <v>3175</v>
      </c>
    </row>
    <row r="257" spans="1:6" ht="15" customHeight="1">
      <c r="A257" s="4389"/>
      <c r="B257" s="4212" t="s">
        <v>3993</v>
      </c>
      <c r="C257" s="4191">
        <v>6</v>
      </c>
      <c r="D257" s="4194" t="s">
        <v>2433</v>
      </c>
      <c r="E257" s="4210">
        <v>1050</v>
      </c>
      <c r="F257" s="4233">
        <f t="shared" si="12"/>
        <v>6300</v>
      </c>
    </row>
    <row r="258" spans="1:6" ht="15" customHeight="1">
      <c r="A258" s="4389"/>
      <c r="B258" s="4212" t="s">
        <v>3994</v>
      </c>
      <c r="C258" s="4191">
        <v>3</v>
      </c>
      <c r="D258" s="4194" t="s">
        <v>2433</v>
      </c>
      <c r="E258" s="4210">
        <v>445</v>
      </c>
      <c r="F258" s="4233">
        <f t="shared" si="12"/>
        <v>1335</v>
      </c>
    </row>
    <row r="259" spans="1:6" ht="15" customHeight="1">
      <c r="A259" s="4389"/>
      <c r="B259" s="4212" t="s">
        <v>3995</v>
      </c>
      <c r="C259" s="4191">
        <v>8</v>
      </c>
      <c r="D259" s="4194" t="s">
        <v>2433</v>
      </c>
      <c r="E259" s="4210">
        <v>1770</v>
      </c>
      <c r="F259" s="4233">
        <f t="shared" si="12"/>
        <v>14160</v>
      </c>
    </row>
    <row r="260" spans="1:6" ht="15" customHeight="1">
      <c r="A260" s="4389"/>
      <c r="B260" s="4212" t="s">
        <v>3996</v>
      </c>
      <c r="C260" s="4191">
        <v>7</v>
      </c>
      <c r="D260" s="4194" t="s">
        <v>2433</v>
      </c>
      <c r="E260" s="4210">
        <v>1320</v>
      </c>
      <c r="F260" s="4233">
        <f t="shared" si="12"/>
        <v>9240</v>
      </c>
    </row>
    <row r="261" spans="1:6" ht="15" customHeight="1">
      <c r="A261" s="4389"/>
      <c r="B261" s="4212" t="s">
        <v>3997</v>
      </c>
      <c r="C261" s="4191">
        <v>5</v>
      </c>
      <c r="D261" s="4194" t="s">
        <v>2433</v>
      </c>
      <c r="E261" s="4210">
        <v>60.1</v>
      </c>
      <c r="F261" s="4233">
        <f t="shared" si="12"/>
        <v>300.5</v>
      </c>
    </row>
    <row r="262" spans="1:6" ht="15" customHeight="1">
      <c r="A262" s="4389"/>
      <c r="B262" s="4212" t="s">
        <v>3998</v>
      </c>
      <c r="C262" s="4191">
        <v>1</v>
      </c>
      <c r="D262" s="4311" t="s">
        <v>42</v>
      </c>
      <c r="E262" s="4210">
        <v>10000</v>
      </c>
      <c r="F262" s="4233">
        <f t="shared" si="12"/>
        <v>10000</v>
      </c>
    </row>
    <row r="263" spans="1:6" ht="15" customHeight="1">
      <c r="A263" s="4389"/>
      <c r="B263" s="4212" t="s">
        <v>3999</v>
      </c>
      <c r="C263" s="4208">
        <v>16</v>
      </c>
      <c r="D263" s="4194" t="s">
        <v>2433</v>
      </c>
      <c r="E263" s="4359">
        <v>882.85</v>
      </c>
      <c r="F263" s="4233">
        <f t="shared" si="12"/>
        <v>14125.6</v>
      </c>
    </row>
    <row r="264" spans="1:6" ht="15" customHeight="1">
      <c r="A264" s="4463"/>
      <c r="B264" s="4474" t="s">
        <v>4000</v>
      </c>
      <c r="C264" s="4499">
        <v>1</v>
      </c>
      <c r="D264" s="4476" t="s">
        <v>2433</v>
      </c>
      <c r="E264" s="4513">
        <v>882.05</v>
      </c>
      <c r="F264" s="4466">
        <f t="shared" si="12"/>
        <v>882.05</v>
      </c>
    </row>
    <row r="265" spans="1:6" ht="15" customHeight="1">
      <c r="A265" s="4389"/>
      <c r="B265" s="4212" t="s">
        <v>4001</v>
      </c>
      <c r="C265" s="4191">
        <v>8</v>
      </c>
      <c r="D265" s="4194" t="s">
        <v>2433</v>
      </c>
      <c r="E265" s="4210">
        <v>67.849999999999994</v>
      </c>
      <c r="F265" s="4233">
        <f t="shared" si="12"/>
        <v>542.79999999999995</v>
      </c>
    </row>
    <row r="266" spans="1:6" ht="15" customHeight="1">
      <c r="A266" s="4389"/>
      <c r="B266" s="4212" t="s">
        <v>4002</v>
      </c>
      <c r="C266" s="4191">
        <v>2</v>
      </c>
      <c r="D266" s="4194" t="s">
        <v>2433</v>
      </c>
      <c r="E266" s="4210">
        <v>2144.8000000000002</v>
      </c>
      <c r="F266" s="4233">
        <f t="shared" si="12"/>
        <v>4289.6000000000004</v>
      </c>
    </row>
    <row r="267" spans="1:6" ht="15" customHeight="1">
      <c r="A267" s="4389"/>
      <c r="B267" s="4212" t="s">
        <v>4003</v>
      </c>
      <c r="C267" s="4191">
        <v>5</v>
      </c>
      <c r="D267" s="4194" t="s">
        <v>3956</v>
      </c>
      <c r="E267" s="4210">
        <v>169.63</v>
      </c>
      <c r="F267" s="4233">
        <f t="shared" si="12"/>
        <v>848.15</v>
      </c>
    </row>
    <row r="268" spans="1:6" ht="15" customHeight="1">
      <c r="A268" s="4389"/>
      <c r="B268" s="4212" t="s">
        <v>4004</v>
      </c>
      <c r="C268" s="4191">
        <v>4</v>
      </c>
      <c r="D268" s="4194" t="s">
        <v>2433</v>
      </c>
      <c r="E268" s="4210">
        <v>1085.5999999999999</v>
      </c>
      <c r="F268" s="4233">
        <f t="shared" si="12"/>
        <v>4342.3999999999996</v>
      </c>
    </row>
    <row r="269" spans="1:6" ht="30" customHeight="1">
      <c r="A269" s="4392"/>
      <c r="B269" s="4212" t="s">
        <v>4005</v>
      </c>
      <c r="C269" s="4191">
        <v>1</v>
      </c>
      <c r="D269" s="4194" t="s">
        <v>2433</v>
      </c>
      <c r="E269" s="4210">
        <v>43905.74</v>
      </c>
      <c r="F269" s="4233">
        <f t="shared" si="12"/>
        <v>43905.74</v>
      </c>
    </row>
    <row r="270" spans="1:6" ht="30" customHeight="1">
      <c r="A270" s="4392"/>
      <c r="B270" s="3563" t="s">
        <v>4006</v>
      </c>
      <c r="C270" s="4191">
        <v>1</v>
      </c>
      <c r="D270" s="4194" t="s">
        <v>2433</v>
      </c>
      <c r="E270" s="4345">
        <v>83307.990000000005</v>
      </c>
      <c r="F270" s="4233">
        <f t="shared" si="12"/>
        <v>83307.990000000005</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v>3080.05</v>
      </c>
      <c r="F272" s="4233">
        <f t="shared" si="12"/>
        <v>4928.08</v>
      </c>
    </row>
    <row r="273" spans="1:6" ht="14.25" customHeight="1">
      <c r="A273" s="4392">
        <v>9.1999999999999993</v>
      </c>
      <c r="B273" s="4230" t="s">
        <v>2378</v>
      </c>
      <c r="C273" s="4231">
        <v>3</v>
      </c>
      <c r="D273" s="4249" t="s">
        <v>1</v>
      </c>
      <c r="E273" s="4233">
        <v>3696.07</v>
      </c>
      <c r="F273" s="4233">
        <f t="shared" si="12"/>
        <v>11088.21</v>
      </c>
    </row>
    <row r="274" spans="1:6" ht="14.25" customHeight="1">
      <c r="A274" s="4392">
        <v>9.3000000000000007</v>
      </c>
      <c r="B274" s="4230" t="s">
        <v>2379</v>
      </c>
      <c r="C274" s="4231">
        <v>1.8</v>
      </c>
      <c r="D274" s="4249" t="s">
        <v>2432</v>
      </c>
      <c r="E274" s="4233">
        <v>2679.02</v>
      </c>
      <c r="F274" s="4233">
        <f t="shared" si="12"/>
        <v>4822.24</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4033</v>
      </c>
      <c r="C277" s="4191">
        <v>1</v>
      </c>
      <c r="D277" s="4194" t="s">
        <v>2433</v>
      </c>
      <c r="E277" s="4210">
        <v>24297.38</v>
      </c>
      <c r="F277" s="4233">
        <f t="shared" si="12"/>
        <v>24297.38</v>
      </c>
    </row>
    <row r="278" spans="1:6" ht="14.25" customHeight="1">
      <c r="A278" s="4392">
        <v>10.199999999999999</v>
      </c>
      <c r="B278" s="4212" t="s">
        <v>3616</v>
      </c>
      <c r="C278" s="4191">
        <v>1</v>
      </c>
      <c r="D278" s="4194" t="s">
        <v>2433</v>
      </c>
      <c r="E278" s="4210">
        <v>328942.11</v>
      </c>
      <c r="F278" s="4233">
        <f t="shared" si="12"/>
        <v>328942.11</v>
      </c>
    </row>
    <row r="279" spans="1:6" ht="14.25" customHeight="1">
      <c r="A279" s="4392">
        <v>10.3</v>
      </c>
      <c r="B279" s="4212" t="s">
        <v>3617</v>
      </c>
      <c r="C279" s="4191">
        <v>1</v>
      </c>
      <c r="D279" s="4194" t="s">
        <v>2433</v>
      </c>
      <c r="E279" s="4210">
        <v>61195.98</v>
      </c>
      <c r="F279" s="4233">
        <f t="shared" si="12"/>
        <v>61195.98</v>
      </c>
    </row>
    <row r="280" spans="1:6" ht="14.25" customHeight="1">
      <c r="A280" s="4392">
        <v>10.4</v>
      </c>
      <c r="B280" s="4212" t="s">
        <v>2380</v>
      </c>
      <c r="C280" s="4191">
        <v>2</v>
      </c>
      <c r="D280" s="4194" t="s">
        <v>2433</v>
      </c>
      <c r="E280" s="4210">
        <v>27708.76</v>
      </c>
      <c r="F280" s="4233">
        <f t="shared" si="12"/>
        <v>55417.52</v>
      </c>
    </row>
    <row r="281" spans="1:6" ht="14.25" customHeight="1">
      <c r="A281" s="4392">
        <v>10.5</v>
      </c>
      <c r="B281" s="4212" t="s">
        <v>3618</v>
      </c>
      <c r="C281" s="4191">
        <v>2</v>
      </c>
      <c r="D281" s="4194" t="s">
        <v>2433</v>
      </c>
      <c r="E281" s="4210">
        <v>550</v>
      </c>
      <c r="F281" s="4233">
        <f t="shared" si="12"/>
        <v>1100</v>
      </c>
    </row>
    <row r="282" spans="1:6" ht="14.25" customHeight="1">
      <c r="A282" s="4392">
        <v>10.6</v>
      </c>
      <c r="B282" s="4312" t="s">
        <v>2381</v>
      </c>
      <c r="C282" s="4313">
        <v>12</v>
      </c>
      <c r="D282" s="4314" t="s">
        <v>2433</v>
      </c>
      <c r="E282" s="4315">
        <v>5699.4</v>
      </c>
      <c r="F282" s="4233">
        <f t="shared" si="12"/>
        <v>68392.800000000003</v>
      </c>
    </row>
    <row r="283" spans="1:6" ht="14.25" customHeight="1">
      <c r="A283" s="4392">
        <v>10.7</v>
      </c>
      <c r="B283" s="4212" t="s">
        <v>2382</v>
      </c>
      <c r="C283" s="4191">
        <v>2</v>
      </c>
      <c r="D283" s="4194" t="s">
        <v>2433</v>
      </c>
      <c r="E283" s="4210">
        <v>2950</v>
      </c>
      <c r="F283" s="4233">
        <f t="shared" si="12"/>
        <v>5900</v>
      </c>
    </row>
    <row r="284" spans="1:6" ht="14.25" customHeight="1">
      <c r="A284" s="4392">
        <v>10.8</v>
      </c>
      <c r="B284" s="4212" t="s">
        <v>2383</v>
      </c>
      <c r="C284" s="4191">
        <v>1</v>
      </c>
      <c r="D284" s="4194" t="s">
        <v>2433</v>
      </c>
      <c r="E284" s="4210">
        <v>3800.2</v>
      </c>
      <c r="F284" s="4233">
        <f t="shared" si="12"/>
        <v>3800.2</v>
      </c>
    </row>
    <row r="285" spans="1:6" ht="13.5" customHeight="1">
      <c r="A285" s="4392">
        <v>10.9</v>
      </c>
      <c r="B285" s="4212" t="s">
        <v>2384</v>
      </c>
      <c r="C285" s="4191">
        <v>1</v>
      </c>
      <c r="D285" s="4194" t="s">
        <v>2433</v>
      </c>
      <c r="E285" s="4210">
        <v>47607.48</v>
      </c>
      <c r="F285" s="4233">
        <f t="shared" si="12"/>
        <v>47607.48</v>
      </c>
    </row>
    <row r="286" spans="1:6" ht="75.75" customHeight="1">
      <c r="A286" s="4388">
        <v>10.1</v>
      </c>
      <c r="B286" s="4206" t="s">
        <v>3943</v>
      </c>
      <c r="C286" s="4191">
        <v>1</v>
      </c>
      <c r="D286" s="4194" t="s">
        <v>2433</v>
      </c>
      <c r="E286" s="4210">
        <v>104626.41</v>
      </c>
      <c r="F286" s="4233">
        <f t="shared" si="12"/>
        <v>104626.41</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3619</v>
      </c>
      <c r="C289" s="4191">
        <v>3</v>
      </c>
      <c r="D289" s="4194" t="s">
        <v>2433</v>
      </c>
      <c r="E289" s="4210">
        <v>3500</v>
      </c>
      <c r="F289" s="4233">
        <f t="shared" si="12"/>
        <v>10500</v>
      </c>
    </row>
    <row r="290" spans="1:6" ht="14.25" customHeight="1">
      <c r="A290" s="4392">
        <v>11.2</v>
      </c>
      <c r="B290" s="4212" t="s">
        <v>3620</v>
      </c>
      <c r="C290" s="4191">
        <v>1</v>
      </c>
      <c r="D290" s="4194" t="s">
        <v>2433</v>
      </c>
      <c r="E290" s="4316">
        <v>10913.28</v>
      </c>
      <c r="F290" s="4233">
        <f t="shared" si="12"/>
        <v>10913.28</v>
      </c>
    </row>
    <row r="291" spans="1:6" ht="14.25" customHeight="1">
      <c r="A291" s="4392">
        <v>11.3</v>
      </c>
      <c r="B291" s="4212" t="s">
        <v>3621</v>
      </c>
      <c r="C291" s="4191">
        <v>1</v>
      </c>
      <c r="D291" s="4194" t="s">
        <v>2433</v>
      </c>
      <c r="E291" s="4316">
        <v>4677.12</v>
      </c>
      <c r="F291" s="4233">
        <f t="shared" si="12"/>
        <v>4677.12</v>
      </c>
    </row>
    <row r="292" spans="1:6" ht="14.25" customHeight="1">
      <c r="A292" s="4392">
        <v>11.4</v>
      </c>
      <c r="B292" s="4212" t="s">
        <v>3622</v>
      </c>
      <c r="C292" s="4191">
        <v>2</v>
      </c>
      <c r="D292" s="4194" t="s">
        <v>2433</v>
      </c>
      <c r="E292" s="4316">
        <v>5500</v>
      </c>
      <c r="F292" s="4233">
        <f t="shared" si="12"/>
        <v>11000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500">
        <v>2</v>
      </c>
      <c r="D295" s="4318" t="s">
        <v>2433</v>
      </c>
      <c r="E295" s="4316">
        <v>352.82</v>
      </c>
      <c r="F295" s="4233">
        <f t="shared" si="13"/>
        <v>705.64</v>
      </c>
    </row>
    <row r="296" spans="1:6" ht="14.25" customHeight="1">
      <c r="A296" s="4392">
        <v>12.2</v>
      </c>
      <c r="B296" s="3563" t="s">
        <v>2386</v>
      </c>
      <c r="C296" s="4500">
        <v>4</v>
      </c>
      <c r="D296" s="4318" t="s">
        <v>2433</v>
      </c>
      <c r="E296" s="4316">
        <v>165.2</v>
      </c>
      <c r="F296" s="4233">
        <f t="shared" si="13"/>
        <v>660.8</v>
      </c>
    </row>
    <row r="297" spans="1:6" ht="14.25" customHeight="1">
      <c r="A297" s="4392">
        <v>12.3</v>
      </c>
      <c r="B297" s="3563" t="s">
        <v>2387</v>
      </c>
      <c r="C297" s="4500">
        <v>4</v>
      </c>
      <c r="D297" s="4318" t="s">
        <v>2433</v>
      </c>
      <c r="E297" s="4316">
        <v>93.22</v>
      </c>
      <c r="F297" s="4233">
        <f t="shared" si="13"/>
        <v>372.88</v>
      </c>
    </row>
    <row r="298" spans="1:6" ht="14.25" customHeight="1">
      <c r="A298" s="4392">
        <v>12.4</v>
      </c>
      <c r="B298" s="3563" t="s">
        <v>3623</v>
      </c>
      <c r="C298" s="4500">
        <v>2</v>
      </c>
      <c r="D298" s="4318" t="s">
        <v>2433</v>
      </c>
      <c r="E298" s="4316">
        <v>295</v>
      </c>
      <c r="F298" s="4233">
        <f t="shared" si="13"/>
        <v>590</v>
      </c>
    </row>
    <row r="299" spans="1:6" ht="14.25" customHeight="1">
      <c r="A299" s="4392">
        <v>12.5</v>
      </c>
      <c r="B299" s="3563" t="s">
        <v>2388</v>
      </c>
      <c r="C299" s="4500">
        <v>2</v>
      </c>
      <c r="D299" s="4318" t="s">
        <v>2433</v>
      </c>
      <c r="E299" s="4316">
        <v>277.3</v>
      </c>
      <c r="F299" s="4233">
        <f t="shared" si="13"/>
        <v>554.6</v>
      </c>
    </row>
    <row r="300" spans="1:6" ht="14.25" customHeight="1">
      <c r="A300" s="4392">
        <v>12.6</v>
      </c>
      <c r="B300" s="3563" t="s">
        <v>2389</v>
      </c>
      <c r="C300" s="4500">
        <v>2</v>
      </c>
      <c r="D300" s="4318" t="s">
        <v>2433</v>
      </c>
      <c r="E300" s="4316">
        <v>548.70000000000005</v>
      </c>
      <c r="F300" s="4233">
        <f t="shared" si="13"/>
        <v>1097.4000000000001</v>
      </c>
    </row>
    <row r="301" spans="1:6" ht="14.25" customHeight="1">
      <c r="A301" s="4392">
        <v>12.7</v>
      </c>
      <c r="B301" s="3563" t="s">
        <v>2390</v>
      </c>
      <c r="C301" s="4500">
        <v>1</v>
      </c>
      <c r="D301" s="4318" t="s">
        <v>2433</v>
      </c>
      <c r="E301" s="4316">
        <v>5000</v>
      </c>
      <c r="F301" s="4233">
        <f t="shared" si="13"/>
        <v>5000</v>
      </c>
    </row>
    <row r="302" spans="1:6" ht="14.25" customHeight="1">
      <c r="A302" s="4392">
        <v>12.8</v>
      </c>
      <c r="B302" s="3563" t="s">
        <v>3624</v>
      </c>
      <c r="C302" s="4500">
        <v>2</v>
      </c>
      <c r="D302" s="4318" t="s">
        <v>2433</v>
      </c>
      <c r="E302" s="4316">
        <v>150</v>
      </c>
      <c r="F302" s="4233">
        <f t="shared" si="13"/>
        <v>300</v>
      </c>
    </row>
    <row r="303" spans="1:6" ht="14.25" customHeight="1">
      <c r="A303" s="4392">
        <v>12.9</v>
      </c>
      <c r="B303" s="3563" t="s">
        <v>4020</v>
      </c>
      <c r="C303" s="4500">
        <v>2</v>
      </c>
      <c r="D303" s="4318" t="s">
        <v>2433</v>
      </c>
      <c r="E303" s="4316">
        <v>247.8</v>
      </c>
      <c r="F303" s="4233">
        <f t="shared" si="13"/>
        <v>495.6</v>
      </c>
    </row>
    <row r="304" spans="1:6" ht="14.25" customHeight="1">
      <c r="A304" s="4388">
        <v>12.1</v>
      </c>
      <c r="B304" s="3563" t="s">
        <v>2391</v>
      </c>
      <c r="C304" s="4500">
        <v>1</v>
      </c>
      <c r="D304" s="4318" t="s">
        <v>2957</v>
      </c>
      <c r="E304" s="4316">
        <v>650</v>
      </c>
      <c r="F304" s="4233">
        <f t="shared" si="13"/>
        <v>650</v>
      </c>
    </row>
    <row r="305" spans="1:7" ht="14.25" customHeight="1">
      <c r="A305" s="4388">
        <v>12.11</v>
      </c>
      <c r="B305" s="3563" t="s">
        <v>2392</v>
      </c>
      <c r="C305" s="4500">
        <v>2</v>
      </c>
      <c r="D305" s="4318" t="s">
        <v>2433</v>
      </c>
      <c r="E305" s="4316">
        <v>126.26</v>
      </c>
      <c r="F305" s="4233">
        <f t="shared" si="13"/>
        <v>252.52</v>
      </c>
    </row>
    <row r="306" spans="1:7" ht="14.25" customHeight="1">
      <c r="A306" s="4388">
        <v>12.13</v>
      </c>
      <c r="B306" s="3563" t="s">
        <v>2393</v>
      </c>
      <c r="C306" s="4500">
        <v>2</v>
      </c>
      <c r="D306" s="4318" t="s">
        <v>2433</v>
      </c>
      <c r="E306" s="4316">
        <v>330.4</v>
      </c>
      <c r="F306" s="4233">
        <f t="shared" si="13"/>
        <v>660.8</v>
      </c>
    </row>
    <row r="307" spans="1:7" ht="14.25" customHeight="1">
      <c r="A307" s="4388">
        <v>12.4</v>
      </c>
      <c r="B307" s="3563" t="s">
        <v>3625</v>
      </c>
      <c r="C307" s="4500">
        <v>2</v>
      </c>
      <c r="D307" s="4318" t="s">
        <v>2433</v>
      </c>
      <c r="E307" s="4316">
        <v>258.42</v>
      </c>
      <c r="F307" s="4233">
        <f t="shared" si="13"/>
        <v>516.84</v>
      </c>
    </row>
    <row r="308" spans="1:7" ht="14.25" customHeight="1">
      <c r="A308" s="4454"/>
      <c r="B308" s="4450"/>
      <c r="C308" s="4464"/>
      <c r="D308" s="4465"/>
      <c r="E308" s="4466"/>
      <c r="F308" s="4466" t="str">
        <f t="shared" si="13"/>
        <v xml:space="preserve"> </v>
      </c>
    </row>
    <row r="309" spans="1:7" s="4225" customFormat="1" ht="15" customHeight="1">
      <c r="A309" s="4389">
        <v>13</v>
      </c>
      <c r="B309" s="4343" t="s">
        <v>819</v>
      </c>
      <c r="C309" s="4231"/>
      <c r="D309" s="4249"/>
      <c r="E309" s="4233"/>
      <c r="F309" s="4233" t="str">
        <f t="shared" si="13"/>
        <v xml:space="preserve"> </v>
      </c>
      <c r="G309" s="3557"/>
    </row>
    <row r="310" spans="1:7" s="4225" customFormat="1" ht="14.25" customHeight="1">
      <c r="A310" s="4392">
        <v>13.1</v>
      </c>
      <c r="B310" s="4230" t="s">
        <v>4007</v>
      </c>
      <c r="C310" s="4448">
        <v>19</v>
      </c>
      <c r="D310" s="4249" t="s">
        <v>2433</v>
      </c>
      <c r="E310" s="4233">
        <v>1153.96</v>
      </c>
      <c r="F310" s="4233">
        <f t="shared" si="13"/>
        <v>21925.24</v>
      </c>
      <c r="G310" s="3557"/>
    </row>
    <row r="311" spans="1:7" s="4225" customFormat="1" ht="14.25" customHeight="1">
      <c r="A311" s="4392">
        <v>13.2</v>
      </c>
      <c r="B311" s="4230" t="s">
        <v>4008</v>
      </c>
      <c r="C311" s="4448">
        <v>10</v>
      </c>
      <c r="D311" s="4249" t="s">
        <v>2433</v>
      </c>
      <c r="E311" s="4233">
        <v>1174.26</v>
      </c>
      <c r="F311" s="4233">
        <f t="shared" si="13"/>
        <v>11742.6</v>
      </c>
      <c r="G311" s="3557"/>
    </row>
    <row r="312" spans="1:7" s="4225" customFormat="1" ht="14.25" customHeight="1">
      <c r="A312" s="4392">
        <v>13.3</v>
      </c>
      <c r="B312" s="4230" t="s">
        <v>4009</v>
      </c>
      <c r="C312" s="4448">
        <v>4</v>
      </c>
      <c r="D312" s="4249" t="s">
        <v>2433</v>
      </c>
      <c r="E312" s="4233">
        <v>1195.6400000000001</v>
      </c>
      <c r="F312" s="4233">
        <f t="shared" si="13"/>
        <v>4782.5600000000004</v>
      </c>
      <c r="G312" s="3557"/>
    </row>
    <row r="313" spans="1:7" s="4225" customFormat="1" ht="14.25" customHeight="1">
      <c r="A313" s="4392">
        <v>13.4</v>
      </c>
      <c r="B313" s="4230" t="s">
        <v>4010</v>
      </c>
      <c r="C313" s="4448">
        <v>1</v>
      </c>
      <c r="D313" s="4249" t="s">
        <v>2433</v>
      </c>
      <c r="E313" s="4233">
        <v>1824.53</v>
      </c>
      <c r="F313" s="4233">
        <f t="shared" si="13"/>
        <v>1824.53</v>
      </c>
      <c r="G313" s="3557"/>
    </row>
    <row r="314" spans="1:7" s="4225" customFormat="1" ht="14.25" customHeight="1">
      <c r="A314" s="4392">
        <v>13.4</v>
      </c>
      <c r="B314" s="4230" t="s">
        <v>4011</v>
      </c>
      <c r="C314" s="4448">
        <v>1</v>
      </c>
      <c r="D314" s="4249" t="s">
        <v>2433</v>
      </c>
      <c r="E314" s="4233">
        <v>5215.99</v>
      </c>
      <c r="F314" s="4233">
        <f t="shared" si="13"/>
        <v>5215.99</v>
      </c>
      <c r="G314" s="3557"/>
    </row>
    <row r="315" spans="1:7" s="4222" customFormat="1" ht="14.25" customHeight="1">
      <c r="A315" s="4391"/>
      <c r="B315" s="3563"/>
      <c r="C315" s="4369"/>
      <c r="D315" s="4311"/>
      <c r="E315" s="4216"/>
      <c r="F315" s="4216"/>
      <c r="G315" s="3557"/>
    </row>
    <row r="316" spans="1:7" ht="15" customHeight="1">
      <c r="A316" s="4389">
        <v>14</v>
      </c>
      <c r="B316" s="4343" t="s">
        <v>810</v>
      </c>
      <c r="C316" s="4231"/>
      <c r="D316" s="4249"/>
      <c r="E316" s="4233"/>
      <c r="F316" s="4233" t="str">
        <f t="shared" ref="F316:F364" si="14">IF(C316&gt;0,(ROUND((E316*C316),2))," ")</f>
        <v xml:space="preserve"> </v>
      </c>
    </row>
    <row r="317" spans="1:7" ht="14.25" customHeight="1">
      <c r="A317" s="4392">
        <v>14.1</v>
      </c>
      <c r="B317" s="4230" t="s">
        <v>2411</v>
      </c>
      <c r="C317" s="4231">
        <v>1</v>
      </c>
      <c r="D317" s="4249" t="s">
        <v>2433</v>
      </c>
      <c r="E317" s="4233">
        <v>8465.98</v>
      </c>
      <c r="F317" s="4233">
        <f t="shared" si="14"/>
        <v>8465.98</v>
      </c>
    </row>
    <row r="318" spans="1:7" ht="14.25" customHeight="1">
      <c r="A318" s="4392">
        <v>14.2</v>
      </c>
      <c r="B318" s="4230" t="s">
        <v>2410</v>
      </c>
      <c r="C318" s="4231">
        <v>1</v>
      </c>
      <c r="D318" s="4249" t="s">
        <v>2433</v>
      </c>
      <c r="E318" s="4233">
        <v>10007.26</v>
      </c>
      <c r="F318" s="4233">
        <f t="shared" si="14"/>
        <v>10007.26</v>
      </c>
    </row>
    <row r="319" spans="1:7" ht="14.25" customHeight="1">
      <c r="A319" s="4392">
        <v>14.3</v>
      </c>
      <c r="B319" s="4230" t="s">
        <v>2372</v>
      </c>
      <c r="C319" s="4231">
        <v>1</v>
      </c>
      <c r="D319" s="4249" t="s">
        <v>2433</v>
      </c>
      <c r="E319" s="4233">
        <v>7739.5</v>
      </c>
      <c r="F319" s="4233">
        <f t="shared" si="14"/>
        <v>7739.5</v>
      </c>
    </row>
    <row r="320" spans="1:7" ht="14.25" customHeight="1">
      <c r="A320" s="4392">
        <v>14.4</v>
      </c>
      <c r="B320" s="4230" t="s">
        <v>2373</v>
      </c>
      <c r="C320" s="4231">
        <v>1</v>
      </c>
      <c r="D320" s="4249" t="s">
        <v>2433</v>
      </c>
      <c r="E320" s="4233">
        <v>2450.34</v>
      </c>
      <c r="F320" s="4233">
        <f t="shared" si="14"/>
        <v>2450.34</v>
      </c>
    </row>
    <row r="321" spans="1:7" ht="14.25" customHeight="1">
      <c r="A321" s="4392">
        <v>14.5</v>
      </c>
      <c r="B321" s="4230" t="s">
        <v>2374</v>
      </c>
      <c r="C321" s="4231">
        <v>1</v>
      </c>
      <c r="D321" s="4249" t="s">
        <v>2433</v>
      </c>
      <c r="E321" s="4233">
        <v>2212.15</v>
      </c>
      <c r="F321" s="4233">
        <f t="shared" si="14"/>
        <v>2212.15</v>
      </c>
    </row>
    <row r="322" spans="1:7" ht="14.25" customHeight="1">
      <c r="A322" s="4392">
        <v>14.6</v>
      </c>
      <c r="B322" s="4230" t="s">
        <v>2375</v>
      </c>
      <c r="C322" s="4231">
        <v>1</v>
      </c>
      <c r="D322" s="4249" t="s">
        <v>2433</v>
      </c>
      <c r="E322" s="4233">
        <v>4886.3</v>
      </c>
      <c r="F322" s="4233">
        <f t="shared" si="14"/>
        <v>4886.3</v>
      </c>
    </row>
    <row r="323" spans="1:7" ht="14.25" customHeight="1">
      <c r="A323" s="4392">
        <v>14.7</v>
      </c>
      <c r="B323" s="4230" t="s">
        <v>2376</v>
      </c>
      <c r="C323" s="4231">
        <v>1</v>
      </c>
      <c r="D323" s="4249" t="s">
        <v>2433</v>
      </c>
      <c r="E323" s="4233">
        <v>3748.47</v>
      </c>
      <c r="F323" s="4233">
        <f t="shared" si="14"/>
        <v>3748.47</v>
      </c>
    </row>
    <row r="324" spans="1:7" ht="14.25" customHeight="1">
      <c r="A324" s="4392">
        <v>14.8</v>
      </c>
      <c r="B324" s="4230" t="s">
        <v>2937</v>
      </c>
      <c r="C324" s="4231">
        <v>1</v>
      </c>
      <c r="D324" s="4249" t="s">
        <v>2433</v>
      </c>
      <c r="E324" s="4233">
        <v>14230.08</v>
      </c>
      <c r="F324" s="4233">
        <f t="shared" si="14"/>
        <v>14230.08</v>
      </c>
    </row>
    <row r="325" spans="1:7" ht="14.25" customHeight="1">
      <c r="A325" s="4388"/>
      <c r="B325" s="4230"/>
      <c r="C325" s="4231"/>
      <c r="D325" s="4249"/>
      <c r="E325" s="4258"/>
      <c r="F325" s="4233" t="str">
        <f t="shared" si="14"/>
        <v xml:space="preserve"> </v>
      </c>
    </row>
    <row r="326" spans="1:7" s="4236" customFormat="1" ht="15" customHeight="1">
      <c r="A326" s="4389">
        <v>15</v>
      </c>
      <c r="B326" s="4343" t="s">
        <v>3834</v>
      </c>
      <c r="C326" s="4231"/>
      <c r="D326" s="4249"/>
      <c r="E326" s="4233"/>
      <c r="F326" s="4233" t="str">
        <f t="shared" si="14"/>
        <v xml:space="preserve"> </v>
      </c>
      <c r="G326" s="3557"/>
    </row>
    <row r="327" spans="1:7" s="4236" customFormat="1" ht="14.25" customHeight="1">
      <c r="A327" s="4392">
        <v>15.1</v>
      </c>
      <c r="B327" s="4230" t="s">
        <v>2394</v>
      </c>
      <c r="C327" s="4231">
        <v>1</v>
      </c>
      <c r="D327" s="4249" t="s">
        <v>42</v>
      </c>
      <c r="E327" s="4233">
        <v>700</v>
      </c>
      <c r="F327" s="4233">
        <f t="shared" si="14"/>
        <v>700</v>
      </c>
      <c r="G327" s="3557"/>
    </row>
    <row r="328" spans="1:7" s="4236" customFormat="1" ht="15" customHeight="1">
      <c r="A328" s="4393"/>
      <c r="B328" s="4230"/>
      <c r="C328" s="4231"/>
      <c r="D328" s="4249"/>
      <c r="E328" s="4233"/>
      <c r="F328" s="4233" t="str">
        <f t="shared" si="14"/>
        <v xml:space="preserve"> </v>
      </c>
      <c r="G328" s="3557"/>
    </row>
    <row r="329" spans="1:7" s="4236" customFormat="1" ht="27.75" customHeight="1">
      <c r="A329" s="4390">
        <v>15.2</v>
      </c>
      <c r="B329" s="4342" t="s">
        <v>3835</v>
      </c>
      <c r="C329" s="4231">
        <v>1</v>
      </c>
      <c r="D329" s="4249" t="s">
        <v>42</v>
      </c>
      <c r="E329" s="4233">
        <v>1200</v>
      </c>
      <c r="F329" s="4233">
        <f t="shared" si="14"/>
        <v>1200</v>
      </c>
      <c r="G329" s="3557"/>
    </row>
    <row r="330" spans="1:7" s="4236" customFormat="1" ht="15" customHeight="1">
      <c r="A330" s="4393"/>
      <c r="B330" s="3434"/>
      <c r="C330" s="4231"/>
      <c r="D330" s="4249"/>
      <c r="E330" s="4233"/>
      <c r="F330" s="4233" t="str">
        <f t="shared" si="14"/>
        <v xml:space="preserve"> </v>
      </c>
      <c r="G330" s="3557"/>
    </row>
    <row r="331" spans="1:7" s="4236" customFormat="1" ht="15" customHeight="1">
      <c r="A331" s="4390">
        <v>15.3</v>
      </c>
      <c r="B331" s="4343" t="s">
        <v>3511</v>
      </c>
      <c r="C331" s="4231"/>
      <c r="D331" s="4249"/>
      <c r="E331" s="4233"/>
      <c r="F331" s="4233" t="str">
        <f t="shared" si="14"/>
        <v xml:space="preserve"> </v>
      </c>
      <c r="G331" s="3557"/>
    </row>
    <row r="332" spans="1:7" s="4236" customFormat="1" ht="14.25" customHeight="1">
      <c r="A332" s="4388" t="s">
        <v>3841</v>
      </c>
      <c r="B332" s="4230" t="s">
        <v>3608</v>
      </c>
      <c r="C332" s="4231">
        <v>13.82</v>
      </c>
      <c r="D332" s="4249" t="s">
        <v>1</v>
      </c>
      <c r="E332" s="4223">
        <v>70.06</v>
      </c>
      <c r="F332" s="4233">
        <f t="shared" si="14"/>
        <v>968.23</v>
      </c>
      <c r="G332" s="3557"/>
    </row>
    <row r="333" spans="1:7" s="4236" customFormat="1" ht="15" customHeight="1">
      <c r="A333" s="4393"/>
      <c r="B333" s="4230"/>
      <c r="C333" s="4231"/>
      <c r="D333" s="4249"/>
      <c r="E333" s="4223"/>
      <c r="F333" s="4233" t="str">
        <f t="shared" si="14"/>
        <v xml:space="preserve"> </v>
      </c>
      <c r="G333" s="3557"/>
    </row>
    <row r="334" spans="1:7" s="4236" customFormat="1" ht="15" customHeight="1">
      <c r="A334" s="4390">
        <v>15.4</v>
      </c>
      <c r="B334" s="4343" t="s">
        <v>3512</v>
      </c>
      <c r="C334" s="4231"/>
      <c r="D334" s="4249"/>
      <c r="E334" s="4223"/>
      <c r="F334" s="4233" t="str">
        <f t="shared" si="14"/>
        <v xml:space="preserve"> </v>
      </c>
      <c r="G334" s="3557"/>
    </row>
    <row r="335" spans="1:7" s="4236" customFormat="1" ht="14.25" customHeight="1">
      <c r="A335" s="4388" t="s">
        <v>3836</v>
      </c>
      <c r="B335" s="4230" t="s">
        <v>3609</v>
      </c>
      <c r="C335" s="4231">
        <v>13.42</v>
      </c>
      <c r="D335" s="4249" t="s">
        <v>1</v>
      </c>
      <c r="E335" s="4223">
        <v>15.71</v>
      </c>
      <c r="F335" s="4233">
        <f t="shared" si="14"/>
        <v>210.83</v>
      </c>
      <c r="G335" s="3557"/>
    </row>
    <row r="336" spans="1:7" s="4236" customFormat="1" ht="15" customHeight="1">
      <c r="A336" s="4393"/>
      <c r="B336" s="4230"/>
      <c r="C336" s="4231"/>
      <c r="D336" s="4249"/>
      <c r="E336" s="4223"/>
      <c r="F336" s="4233" t="str">
        <f t="shared" si="14"/>
        <v xml:space="preserve"> </v>
      </c>
      <c r="G336" s="3557"/>
    </row>
    <row r="337" spans="1:7" s="4236" customFormat="1" ht="15" customHeight="1">
      <c r="A337" s="4390">
        <v>15.5</v>
      </c>
      <c r="B337" s="4343" t="s">
        <v>3513</v>
      </c>
      <c r="C337" s="4231"/>
      <c r="D337" s="4249"/>
      <c r="E337" s="4223"/>
      <c r="F337" s="4233" t="str">
        <f t="shared" si="14"/>
        <v xml:space="preserve"> </v>
      </c>
      <c r="G337" s="3557"/>
    </row>
    <row r="338" spans="1:7" s="4236" customFormat="1" ht="14.25" customHeight="1">
      <c r="A338" s="4388" t="s">
        <v>3842</v>
      </c>
      <c r="B338" s="4230" t="s">
        <v>3639</v>
      </c>
      <c r="C338" s="4231">
        <v>5</v>
      </c>
      <c r="D338" s="4249" t="s">
        <v>2433</v>
      </c>
      <c r="E338" s="4403">
        <v>27.23</v>
      </c>
      <c r="F338" s="4233">
        <f t="shared" si="14"/>
        <v>136.15</v>
      </c>
      <c r="G338" s="3557"/>
    </row>
    <row r="339" spans="1:7" s="4236" customFormat="1" ht="14.25" customHeight="1">
      <c r="A339" s="4388" t="s">
        <v>3843</v>
      </c>
      <c r="B339" s="4230" t="s">
        <v>3837</v>
      </c>
      <c r="C339" s="4231">
        <v>3</v>
      </c>
      <c r="D339" s="4249" t="s">
        <v>2433</v>
      </c>
      <c r="E339" s="4403">
        <v>38.840000000000003</v>
      </c>
      <c r="F339" s="4233">
        <f t="shared" si="14"/>
        <v>116.52</v>
      </c>
      <c r="G339" s="3557"/>
    </row>
    <row r="340" spans="1:7" s="4236" customFormat="1" ht="14.25" customHeight="1">
      <c r="A340" s="4388" t="s">
        <v>3844</v>
      </c>
      <c r="B340" s="4230" t="s">
        <v>3838</v>
      </c>
      <c r="C340" s="4231">
        <v>1</v>
      </c>
      <c r="D340" s="4249" t="s">
        <v>2433</v>
      </c>
      <c r="E340" s="4403">
        <v>129.97</v>
      </c>
      <c r="F340" s="4233">
        <f t="shared" si="14"/>
        <v>129.97</v>
      </c>
      <c r="G340" s="3557"/>
    </row>
    <row r="341" spans="1:7" s="4236" customFormat="1" ht="14.25" customHeight="1">
      <c r="A341" s="4388" t="s">
        <v>3845</v>
      </c>
      <c r="B341" s="4230" t="s">
        <v>3551</v>
      </c>
      <c r="C341" s="4231">
        <v>2</v>
      </c>
      <c r="D341" s="4249" t="s">
        <v>2433</v>
      </c>
      <c r="E341" s="4403">
        <v>27</v>
      </c>
      <c r="F341" s="4233">
        <f t="shared" si="14"/>
        <v>54</v>
      </c>
      <c r="G341" s="3557"/>
    </row>
    <row r="342" spans="1:7" s="4236" customFormat="1" ht="14.25" customHeight="1">
      <c r="A342" s="4388" t="s">
        <v>3846</v>
      </c>
      <c r="B342" s="4230" t="s">
        <v>3514</v>
      </c>
      <c r="C342" s="4231">
        <v>1</v>
      </c>
      <c r="D342" s="4249" t="s">
        <v>42</v>
      </c>
      <c r="E342" s="4233">
        <v>500</v>
      </c>
      <c r="F342" s="4233">
        <f t="shared" si="14"/>
        <v>500</v>
      </c>
      <c r="G342" s="3557"/>
    </row>
    <row r="343" spans="1:7" ht="14.25" customHeight="1">
      <c r="A343" s="4388"/>
      <c r="B343" s="4230"/>
      <c r="C343" s="4231"/>
      <c r="D343" s="4249"/>
      <c r="E343" s="4233"/>
      <c r="F343" s="4233" t="str">
        <f t="shared" si="14"/>
        <v xml:space="preserve"> </v>
      </c>
    </row>
    <row r="344" spans="1:7" s="4234" customFormat="1" ht="15" customHeight="1">
      <c r="A344" s="4390">
        <v>15.6</v>
      </c>
      <c r="B344" s="4343" t="s">
        <v>3537</v>
      </c>
      <c r="C344" s="4231"/>
      <c r="D344" s="4249"/>
      <c r="E344" s="4233"/>
      <c r="F344" s="4233" t="str">
        <f t="shared" si="14"/>
        <v xml:space="preserve"> </v>
      </c>
      <c r="G344" s="3557"/>
    </row>
    <row r="345" spans="1:7" s="4234" customFormat="1" ht="14.25" customHeight="1">
      <c r="A345" s="4388" t="s">
        <v>3847</v>
      </c>
      <c r="B345" s="4230" t="s">
        <v>2394</v>
      </c>
      <c r="C345" s="4231">
        <v>1</v>
      </c>
      <c r="D345" s="4249" t="s">
        <v>42</v>
      </c>
      <c r="E345" s="4233">
        <v>750</v>
      </c>
      <c r="F345" s="4233">
        <f>IF(C345&gt;0,(ROUND((E345*C345),2))," ")</f>
        <v>750</v>
      </c>
      <c r="G345" s="3557"/>
    </row>
    <row r="346" spans="1:7" s="4234" customFormat="1" ht="15" customHeight="1">
      <c r="A346" s="4393"/>
      <c r="B346" s="4398"/>
      <c r="C346" s="4231"/>
      <c r="D346" s="4249"/>
      <c r="E346" s="4233"/>
      <c r="F346" s="4233" t="str">
        <f t="shared" si="14"/>
        <v xml:space="preserve"> </v>
      </c>
      <c r="G346" s="3557"/>
    </row>
    <row r="347" spans="1:7" s="4234" customFormat="1" ht="15" customHeight="1">
      <c r="A347" s="4393" t="s">
        <v>3848</v>
      </c>
      <c r="B347" s="4342" t="s">
        <v>3835</v>
      </c>
      <c r="C347" s="4231">
        <v>1</v>
      </c>
      <c r="D347" s="4249" t="s">
        <v>42</v>
      </c>
      <c r="E347" s="4233">
        <v>1600</v>
      </c>
      <c r="F347" s="4233">
        <f t="shared" si="14"/>
        <v>1600</v>
      </c>
      <c r="G347" s="3557"/>
    </row>
    <row r="348" spans="1:7" s="4234" customFormat="1" ht="15" customHeight="1">
      <c r="A348" s="4393"/>
      <c r="B348" s="4398"/>
      <c r="C348" s="4231"/>
      <c r="D348" s="4249"/>
      <c r="E348" s="4233"/>
      <c r="F348" s="4233" t="str">
        <f t="shared" si="14"/>
        <v xml:space="preserve"> </v>
      </c>
      <c r="G348" s="3557"/>
    </row>
    <row r="349" spans="1:7" s="4234" customFormat="1" ht="15" customHeight="1">
      <c r="A349" s="4393" t="s">
        <v>3849</v>
      </c>
      <c r="B349" s="4343" t="s">
        <v>3511</v>
      </c>
      <c r="C349" s="4231"/>
      <c r="D349" s="4249"/>
      <c r="E349" s="4233"/>
      <c r="F349" s="4233" t="str">
        <f t="shared" si="14"/>
        <v xml:space="preserve"> </v>
      </c>
      <c r="G349" s="3557"/>
    </row>
    <row r="350" spans="1:7" s="4234" customFormat="1" ht="14.25" customHeight="1">
      <c r="A350" s="4388" t="s">
        <v>3850</v>
      </c>
      <c r="B350" s="4230" t="s">
        <v>3611</v>
      </c>
      <c r="C350" s="4231">
        <v>3.09</v>
      </c>
      <c r="D350" s="4249" t="s">
        <v>1</v>
      </c>
      <c r="E350" s="4233">
        <v>197.75</v>
      </c>
      <c r="F350" s="4233">
        <f t="shared" si="14"/>
        <v>611.04999999999995</v>
      </c>
      <c r="G350" s="3557"/>
    </row>
    <row r="351" spans="1:7" s="4234" customFormat="1" ht="14.25" customHeight="1">
      <c r="A351" s="4388" t="s">
        <v>3851</v>
      </c>
      <c r="B351" s="4230" t="s">
        <v>3610</v>
      </c>
      <c r="C351" s="4231">
        <v>7.28</v>
      </c>
      <c r="D351" s="4249" t="s">
        <v>1</v>
      </c>
      <c r="E351" s="4233">
        <v>692.39</v>
      </c>
      <c r="F351" s="4233">
        <f t="shared" si="14"/>
        <v>5040.6000000000004</v>
      </c>
      <c r="G351" s="3557"/>
    </row>
    <row r="352" spans="1:7" s="4234" customFormat="1" ht="15" customHeight="1">
      <c r="A352" s="4393"/>
      <c r="B352" s="4398"/>
      <c r="C352" s="4231"/>
      <c r="D352" s="4249"/>
      <c r="E352" s="4233"/>
      <c r="F352" s="4233" t="str">
        <f t="shared" si="14"/>
        <v xml:space="preserve"> </v>
      </c>
      <c r="G352" s="3557"/>
    </row>
    <row r="353" spans="1:7" s="4234" customFormat="1" ht="15" customHeight="1">
      <c r="A353" s="4393" t="s">
        <v>3852</v>
      </c>
      <c r="B353" s="4343" t="s">
        <v>3512</v>
      </c>
      <c r="C353" s="4231"/>
      <c r="D353" s="4249"/>
      <c r="E353" s="4233"/>
      <c r="F353" s="4233" t="str">
        <f t="shared" si="14"/>
        <v xml:space="preserve"> </v>
      </c>
      <c r="G353" s="3557"/>
    </row>
    <row r="354" spans="1:7" s="4234" customFormat="1" ht="14.25" customHeight="1">
      <c r="A354" s="4388" t="s">
        <v>3853</v>
      </c>
      <c r="B354" s="4230" t="s">
        <v>3612</v>
      </c>
      <c r="C354" s="4231">
        <v>3</v>
      </c>
      <c r="D354" s="4249" t="s">
        <v>1</v>
      </c>
      <c r="E354" s="4233">
        <v>19.64</v>
      </c>
      <c r="F354" s="4233">
        <f t="shared" si="14"/>
        <v>58.92</v>
      </c>
      <c r="G354" s="3557"/>
    </row>
    <row r="355" spans="1:7" s="4234" customFormat="1" ht="14.25" customHeight="1">
      <c r="A355" s="4388" t="s">
        <v>3854</v>
      </c>
      <c r="B355" s="4230" t="s">
        <v>3613</v>
      </c>
      <c r="C355" s="4231">
        <v>7</v>
      </c>
      <c r="D355" s="4249" t="s">
        <v>1</v>
      </c>
      <c r="E355" s="4233">
        <v>32.270000000000003</v>
      </c>
      <c r="F355" s="4233">
        <f t="shared" si="14"/>
        <v>225.89</v>
      </c>
      <c r="G355" s="3557"/>
    </row>
    <row r="356" spans="1:7" s="4234" customFormat="1" ht="15" customHeight="1">
      <c r="A356" s="4467"/>
      <c r="B356" s="4478"/>
      <c r="C356" s="4464"/>
      <c r="D356" s="4465"/>
      <c r="E356" s="4466"/>
      <c r="F356" s="4466" t="str">
        <f t="shared" si="14"/>
        <v xml:space="preserve"> </v>
      </c>
      <c r="G356" s="3557"/>
    </row>
    <row r="357" spans="1:7" s="4234" customFormat="1" ht="15" customHeight="1">
      <c r="A357" s="4393" t="s">
        <v>3855</v>
      </c>
      <c r="B357" s="4343" t="s">
        <v>3534</v>
      </c>
      <c r="C357" s="4231"/>
      <c r="D357" s="4249"/>
      <c r="E357" s="4233"/>
      <c r="F357" s="4233" t="str">
        <f t="shared" si="14"/>
        <v xml:space="preserve"> </v>
      </c>
      <c r="G357" s="3557"/>
    </row>
    <row r="358" spans="1:7" s="4234" customFormat="1" ht="14.25" customHeight="1">
      <c r="A358" s="4388" t="s">
        <v>3856</v>
      </c>
      <c r="B358" s="4230" t="s">
        <v>3552</v>
      </c>
      <c r="C358" s="4231">
        <v>1</v>
      </c>
      <c r="D358" s="4249" t="s">
        <v>2433</v>
      </c>
      <c r="E358" s="4233">
        <v>16.5</v>
      </c>
      <c r="F358" s="4233">
        <f t="shared" si="14"/>
        <v>16.5</v>
      </c>
      <c r="G358" s="3557"/>
    </row>
    <row r="359" spans="1:7" s="4234" customFormat="1" ht="14.25" customHeight="1">
      <c r="A359" s="4388" t="s">
        <v>3857</v>
      </c>
      <c r="B359" s="4230" t="s">
        <v>3535</v>
      </c>
      <c r="C359" s="4231">
        <v>1</v>
      </c>
      <c r="D359" s="4249" t="s">
        <v>2433</v>
      </c>
      <c r="E359" s="4233">
        <v>222.94</v>
      </c>
      <c r="F359" s="4233">
        <f t="shared" si="14"/>
        <v>222.94</v>
      </c>
      <c r="G359" s="3557"/>
    </row>
    <row r="360" spans="1:7" s="4234" customFormat="1" ht="14.25" customHeight="1">
      <c r="A360" s="4388" t="s">
        <v>3858</v>
      </c>
      <c r="B360" s="4230" t="s">
        <v>3536</v>
      </c>
      <c r="C360" s="4231">
        <v>1</v>
      </c>
      <c r="D360" s="4249" t="s">
        <v>2433</v>
      </c>
      <c r="E360" s="4233">
        <v>205.32</v>
      </c>
      <c r="F360" s="4233">
        <f t="shared" si="14"/>
        <v>205.32</v>
      </c>
      <c r="G360" s="3557"/>
    </row>
    <row r="361" spans="1:7" s="4234" customFormat="1" ht="14.25" customHeight="1">
      <c r="A361" s="4388" t="s">
        <v>3859</v>
      </c>
      <c r="B361" s="4230" t="s">
        <v>3553</v>
      </c>
      <c r="C361" s="4231">
        <v>1</v>
      </c>
      <c r="D361" s="4249" t="s">
        <v>2433</v>
      </c>
      <c r="E361" s="4233">
        <v>72.209999999999994</v>
      </c>
      <c r="F361" s="4233">
        <f t="shared" si="14"/>
        <v>72.209999999999994</v>
      </c>
      <c r="G361" s="3557"/>
    </row>
    <row r="362" spans="1:7" s="4234" customFormat="1" ht="14.25" customHeight="1">
      <c r="A362" s="4388" t="s">
        <v>3860</v>
      </c>
      <c r="B362" s="4230" t="s">
        <v>3554</v>
      </c>
      <c r="C362" s="4231">
        <v>1</v>
      </c>
      <c r="D362" s="4249" t="s">
        <v>2433</v>
      </c>
      <c r="E362" s="4233">
        <v>109.11</v>
      </c>
      <c r="F362" s="4233">
        <f t="shared" si="14"/>
        <v>109.11</v>
      </c>
      <c r="G362" s="3557"/>
    </row>
    <row r="363" spans="1:7" s="4234" customFormat="1" ht="14.25" customHeight="1">
      <c r="A363" s="4388" t="s">
        <v>3861</v>
      </c>
      <c r="B363" s="4230" t="s">
        <v>3839</v>
      </c>
      <c r="C363" s="4231">
        <v>1</v>
      </c>
      <c r="D363" s="4249" t="s">
        <v>42</v>
      </c>
      <c r="E363" s="4233">
        <v>500</v>
      </c>
      <c r="F363" s="4233">
        <f t="shared" si="14"/>
        <v>500</v>
      </c>
      <c r="G363" s="3557"/>
    </row>
    <row r="364" spans="1:7" s="4234" customFormat="1" ht="14.25" customHeight="1">
      <c r="A364" s="4388" t="s">
        <v>3862</v>
      </c>
      <c r="B364" s="4230" t="s">
        <v>3840</v>
      </c>
      <c r="C364" s="4231">
        <v>2</v>
      </c>
      <c r="D364" s="4249" t="s">
        <v>2433</v>
      </c>
      <c r="E364" s="4233">
        <v>4500</v>
      </c>
      <c r="F364" s="4233">
        <f t="shared" si="14"/>
        <v>9000</v>
      </c>
      <c r="G364" s="3557"/>
    </row>
    <row r="365" spans="1:7" s="4234" customFormat="1" ht="14.25" customHeight="1">
      <c r="A365" s="4388"/>
      <c r="B365" s="4230"/>
      <c r="C365" s="4231"/>
      <c r="D365" s="4249"/>
      <c r="E365" s="4233"/>
      <c r="F365" s="4233"/>
      <c r="G365" s="3557"/>
    </row>
    <row r="366" spans="1:7" ht="14.25" customHeight="1">
      <c r="A366" s="4389">
        <v>16</v>
      </c>
      <c r="B366" s="4230" t="s">
        <v>2595</v>
      </c>
      <c r="C366" s="4231">
        <v>1</v>
      </c>
      <c r="D366" s="4249" t="s">
        <v>2433</v>
      </c>
      <c r="E366" s="4233">
        <v>7500</v>
      </c>
      <c r="F366" s="4233">
        <f t="shared" ref="F366" si="15">IF(C366&gt;0,(ROUND((E366*C366),2))," ")</f>
        <v>7500</v>
      </c>
    </row>
    <row r="367" spans="1:7" s="4266" customFormat="1" ht="12.75" customHeight="1">
      <c r="A367" s="4304"/>
      <c r="B367" s="4304" t="s">
        <v>2126</v>
      </c>
      <c r="C367" s="4501"/>
      <c r="D367" s="4501"/>
      <c r="E367" s="4501"/>
      <c r="F367" s="4319">
        <f>SUM(F183:F366)</f>
        <v>4407734.8600000003</v>
      </c>
      <c r="G367" s="3557"/>
    </row>
    <row r="368" spans="1:7" s="4240" customFormat="1" ht="15" customHeight="1">
      <c r="A368" s="4393"/>
      <c r="B368" s="3435"/>
      <c r="C368" s="4264"/>
      <c r="D368" s="4271"/>
      <c r="E368" s="4264"/>
      <c r="F368" s="4264"/>
      <c r="G368" s="3557"/>
    </row>
    <row r="369" spans="1:7" s="4222" customFormat="1" ht="15">
      <c r="A369" s="4396" t="s">
        <v>851</v>
      </c>
      <c r="B369" s="3435" t="s">
        <v>1771</v>
      </c>
      <c r="C369" s="4221"/>
      <c r="D369" s="4311"/>
      <c r="E369" s="4216"/>
      <c r="F369" s="4216" t="str">
        <f t="shared" ref="F369:F432" si="16">IF(C369&gt;0,(ROUND((E369*C369),2))," ")</f>
        <v xml:space="preserve"> </v>
      </c>
      <c r="G369" s="3557"/>
    </row>
    <row r="370" spans="1:7" ht="15" customHeight="1">
      <c r="A370" s="4388"/>
      <c r="B370" s="3435"/>
      <c r="C370" s="4231"/>
      <c r="D370" s="4249"/>
      <c r="E370" s="4233"/>
      <c r="F370" s="4233" t="str">
        <f t="shared" si="16"/>
        <v xml:space="preserve"> </v>
      </c>
    </row>
    <row r="371" spans="1:7" ht="15" customHeight="1">
      <c r="A371" s="4389">
        <v>1</v>
      </c>
      <c r="B371" s="4343" t="s">
        <v>2165</v>
      </c>
      <c r="C371" s="4231"/>
      <c r="D371" s="4249"/>
      <c r="E371" s="4233"/>
      <c r="F371" s="4233" t="str">
        <f t="shared" si="16"/>
        <v xml:space="preserve"> </v>
      </c>
    </row>
    <row r="372" spans="1:7" ht="14.25" customHeight="1">
      <c r="A372" s="4392">
        <v>1.1000000000000001</v>
      </c>
      <c r="B372" s="4230" t="s">
        <v>4028</v>
      </c>
      <c r="C372" s="4231">
        <v>25.88</v>
      </c>
      <c r="D372" s="4249" t="s">
        <v>2432</v>
      </c>
      <c r="E372" s="4233">
        <v>79.19</v>
      </c>
      <c r="F372" s="4233">
        <f t="shared" si="16"/>
        <v>2049.44</v>
      </c>
    </row>
    <row r="373" spans="1:7" ht="14.25" customHeight="1">
      <c r="A373" s="4388"/>
      <c r="B373" s="4230"/>
      <c r="C373" s="4231"/>
      <c r="D373" s="4249"/>
      <c r="E373" s="4233"/>
      <c r="F373" s="4233"/>
    </row>
    <row r="374" spans="1:7" s="4266" customFormat="1" ht="12.75" customHeight="1">
      <c r="A374" s="4350">
        <v>2</v>
      </c>
      <c r="B374" s="4351" t="s">
        <v>3752</v>
      </c>
      <c r="C374" s="4502"/>
      <c r="D374" s="4514"/>
      <c r="E374" s="4502"/>
      <c r="F374" s="4352"/>
      <c r="G374" s="3557"/>
    </row>
    <row r="375" spans="1:7" s="4225" customFormat="1" ht="14.25" customHeight="1">
      <c r="A375" s="4392">
        <v>2.1</v>
      </c>
      <c r="B375" s="4230" t="s">
        <v>2398</v>
      </c>
      <c r="C375" s="4231">
        <v>14.21</v>
      </c>
      <c r="D375" s="4249" t="s">
        <v>2430</v>
      </c>
      <c r="E375" s="4233">
        <v>330.24</v>
      </c>
      <c r="F375" s="4233">
        <f t="shared" si="16"/>
        <v>4692.71</v>
      </c>
      <c r="G375" s="3557"/>
    </row>
    <row r="376" spans="1:7" s="4225" customFormat="1" ht="14.25" customHeight="1">
      <c r="A376" s="4392">
        <v>2.2000000000000002</v>
      </c>
      <c r="B376" s="3434" t="s">
        <v>3863</v>
      </c>
      <c r="C376" s="4233">
        <v>7.49</v>
      </c>
      <c r="D376" s="4249" t="s">
        <v>2431</v>
      </c>
      <c r="E376" s="4233">
        <v>121.12</v>
      </c>
      <c r="F376" s="4233">
        <f t="shared" si="16"/>
        <v>907.19</v>
      </c>
      <c r="G376" s="3557"/>
    </row>
    <row r="377" spans="1:7" s="4225" customFormat="1" ht="14.25" customHeight="1">
      <c r="A377" s="4392">
        <v>2.2999999999999998</v>
      </c>
      <c r="B377" s="4230" t="s">
        <v>4021</v>
      </c>
      <c r="C377" s="4231">
        <v>7.49</v>
      </c>
      <c r="D377" s="4249" t="s">
        <v>2430</v>
      </c>
      <c r="E377" s="4233">
        <v>575</v>
      </c>
      <c r="F377" s="4233">
        <f t="shared" si="16"/>
        <v>4306.75</v>
      </c>
      <c r="G377" s="3557"/>
    </row>
    <row r="378" spans="1:7" s="4225" customFormat="1" ht="29.25" customHeight="1">
      <c r="A378" s="4392">
        <v>2.4</v>
      </c>
      <c r="B378" s="3434" t="s">
        <v>3833</v>
      </c>
      <c r="C378" s="4231">
        <v>8.73</v>
      </c>
      <c r="D378" s="4249" t="s">
        <v>2525</v>
      </c>
      <c r="E378" s="4233">
        <v>210</v>
      </c>
      <c r="F378" s="4233">
        <f>IF(C378&gt;0,(ROUND((E378*C378),2))," ")</f>
        <v>1833.3</v>
      </c>
      <c r="G378" s="3557"/>
    </row>
    <row r="379" spans="1:7" ht="14.25" customHeight="1">
      <c r="A379" s="4388"/>
      <c r="B379" s="4230"/>
      <c r="C379" s="4231"/>
      <c r="D379" s="4249"/>
      <c r="E379" s="4233"/>
      <c r="F379" s="4233" t="str">
        <f t="shared" si="16"/>
        <v xml:space="preserve"> </v>
      </c>
    </row>
    <row r="380" spans="1:7" ht="15" customHeight="1">
      <c r="A380" s="4389">
        <v>3</v>
      </c>
      <c r="B380" s="4343" t="s">
        <v>1776</v>
      </c>
      <c r="C380" s="4231"/>
      <c r="D380" s="4249"/>
      <c r="E380" s="4233"/>
      <c r="F380" s="4233" t="str">
        <f t="shared" si="16"/>
        <v xml:space="preserve"> </v>
      </c>
    </row>
    <row r="381" spans="1:7" ht="14.25" customHeight="1">
      <c r="A381" s="4392">
        <v>3.1</v>
      </c>
      <c r="B381" s="4212" t="s">
        <v>3742</v>
      </c>
      <c r="C381" s="4503">
        <v>1.28</v>
      </c>
      <c r="D381" s="4515" t="s">
        <v>3747</v>
      </c>
      <c r="E381" s="4233">
        <v>9645.7800000000007</v>
      </c>
      <c r="F381" s="4233">
        <f t="shared" si="16"/>
        <v>12346.6</v>
      </c>
    </row>
    <row r="382" spans="1:7" ht="14.25" customHeight="1">
      <c r="A382" s="4392">
        <v>3.2</v>
      </c>
      <c r="B382" s="4212" t="s">
        <v>3748</v>
      </c>
      <c r="C382" s="4349">
        <v>2.59</v>
      </c>
      <c r="D382" s="4515" t="s">
        <v>3747</v>
      </c>
      <c r="E382" s="4233">
        <v>10624.22</v>
      </c>
      <c r="F382" s="4233">
        <f t="shared" si="16"/>
        <v>27516.73</v>
      </c>
    </row>
    <row r="383" spans="1:7" ht="14.25" customHeight="1">
      <c r="A383" s="4392">
        <v>3.3</v>
      </c>
      <c r="B383" s="4206" t="s">
        <v>4022</v>
      </c>
      <c r="C383" s="4349">
        <v>2.11</v>
      </c>
      <c r="D383" s="4515" t="s">
        <v>3747</v>
      </c>
      <c r="E383" s="4233">
        <v>23377.279999999999</v>
      </c>
      <c r="F383" s="4233">
        <f t="shared" si="16"/>
        <v>49326.06</v>
      </c>
    </row>
    <row r="384" spans="1:7" ht="14.25" customHeight="1">
      <c r="A384" s="4392">
        <v>3.4</v>
      </c>
      <c r="B384" s="3563" t="s">
        <v>3743</v>
      </c>
      <c r="C384" s="4349">
        <v>0.5</v>
      </c>
      <c r="D384" s="4515" t="s">
        <v>3747</v>
      </c>
      <c r="E384" s="4233">
        <v>26692.52</v>
      </c>
      <c r="F384" s="4233">
        <f t="shared" si="16"/>
        <v>13346.26</v>
      </c>
    </row>
    <row r="385" spans="1:7" ht="14.25" customHeight="1">
      <c r="A385" s="4392">
        <v>3.5</v>
      </c>
      <c r="B385" s="3563" t="s">
        <v>3744</v>
      </c>
      <c r="C385" s="4349">
        <v>0.78</v>
      </c>
      <c r="D385" s="4515" t="s">
        <v>3747</v>
      </c>
      <c r="E385" s="4233">
        <v>20526</v>
      </c>
      <c r="F385" s="4233">
        <f t="shared" si="16"/>
        <v>16010.28</v>
      </c>
    </row>
    <row r="386" spans="1:7" ht="14.25" customHeight="1">
      <c r="A386" s="4392">
        <v>3.6</v>
      </c>
      <c r="B386" s="3563" t="s">
        <v>3745</v>
      </c>
      <c r="C386" s="4349">
        <v>0.84</v>
      </c>
      <c r="D386" s="4515" t="s">
        <v>3747</v>
      </c>
      <c r="E386" s="4233">
        <v>30157.53</v>
      </c>
      <c r="F386" s="4233">
        <f t="shared" si="16"/>
        <v>25332.33</v>
      </c>
    </row>
    <row r="387" spans="1:7" ht="14.25" customHeight="1">
      <c r="A387" s="4392">
        <v>3.7</v>
      </c>
      <c r="B387" s="3563" t="s">
        <v>3746</v>
      </c>
      <c r="C387" s="4503">
        <v>2.17</v>
      </c>
      <c r="D387" s="4515" t="s">
        <v>3747</v>
      </c>
      <c r="E387" s="4233">
        <v>9889.76</v>
      </c>
      <c r="F387" s="4233">
        <f t="shared" si="16"/>
        <v>21460.78</v>
      </c>
    </row>
    <row r="388" spans="1:7" ht="14.25" customHeight="1">
      <c r="A388" s="4392">
        <v>3.8</v>
      </c>
      <c r="B388" s="3563" t="s">
        <v>4023</v>
      </c>
      <c r="C388" s="4503">
        <v>3.5</v>
      </c>
      <c r="D388" s="4515" t="s">
        <v>3747</v>
      </c>
      <c r="E388" s="4233">
        <v>15362.46</v>
      </c>
      <c r="F388" s="4233">
        <f t="shared" si="16"/>
        <v>53768.61</v>
      </c>
    </row>
    <row r="389" spans="1:7" ht="14.25" customHeight="1">
      <c r="A389" s="4388"/>
      <c r="B389" s="4230"/>
      <c r="C389" s="4231"/>
      <c r="D389" s="4249"/>
      <c r="E389" s="4233"/>
      <c r="F389" s="4233"/>
    </row>
    <row r="390" spans="1:7" s="4222" customFormat="1" ht="15" customHeight="1">
      <c r="A390" s="4394">
        <v>4</v>
      </c>
      <c r="B390" s="4211" t="s">
        <v>1784</v>
      </c>
      <c r="C390" s="4221"/>
      <c r="D390" s="4311"/>
      <c r="E390" s="4216"/>
      <c r="F390" s="4216" t="str">
        <f t="shared" si="16"/>
        <v xml:space="preserve"> </v>
      </c>
      <c r="G390" s="3557"/>
    </row>
    <row r="391" spans="1:7" s="4222" customFormat="1" ht="14.25" customHeight="1">
      <c r="A391" s="4399">
        <v>4.0999999999999996</v>
      </c>
      <c r="B391" s="4212" t="s">
        <v>3739</v>
      </c>
      <c r="C391" s="4216">
        <v>6.97</v>
      </c>
      <c r="D391" s="4311" t="s">
        <v>2432</v>
      </c>
      <c r="E391" s="4216">
        <v>1168.02</v>
      </c>
      <c r="F391" s="4216">
        <f t="shared" si="16"/>
        <v>8141.1</v>
      </c>
      <c r="G391" s="3557"/>
    </row>
    <row r="392" spans="1:7" s="4222" customFormat="1" ht="14.25" customHeight="1">
      <c r="A392" s="4399">
        <v>4.2</v>
      </c>
      <c r="B392" s="4212" t="s">
        <v>3740</v>
      </c>
      <c r="C392" s="4221">
        <v>40.700000000000003</v>
      </c>
      <c r="D392" s="4311" t="s">
        <v>2432</v>
      </c>
      <c r="E392" s="4216">
        <v>1200.45</v>
      </c>
      <c r="F392" s="4216">
        <f t="shared" si="16"/>
        <v>48858.32</v>
      </c>
      <c r="G392" s="3557"/>
    </row>
    <row r="393" spans="1:7" s="4222" customFormat="1" ht="14.25" customHeight="1">
      <c r="A393" s="4399">
        <v>4.3</v>
      </c>
      <c r="B393" s="3563" t="s">
        <v>2362</v>
      </c>
      <c r="C393" s="4221">
        <v>17.8</v>
      </c>
      <c r="D393" s="4311" t="s">
        <v>1</v>
      </c>
      <c r="E393" s="4216">
        <v>753.08</v>
      </c>
      <c r="F393" s="4216">
        <f t="shared" si="16"/>
        <v>13404.82</v>
      </c>
      <c r="G393" s="3557"/>
    </row>
    <row r="394" spans="1:7" s="4222" customFormat="1" ht="15" customHeight="1">
      <c r="A394" s="4400"/>
      <c r="B394" s="4220"/>
      <c r="C394" s="4221"/>
      <c r="D394" s="4311"/>
      <c r="E394" s="4216"/>
      <c r="F394" s="4216" t="str">
        <f t="shared" si="16"/>
        <v xml:space="preserve"> </v>
      </c>
      <c r="G394" s="3557"/>
    </row>
    <row r="395" spans="1:7" s="4222" customFormat="1" ht="15" customHeight="1">
      <c r="A395" s="4394">
        <v>5</v>
      </c>
      <c r="B395" s="4211" t="s">
        <v>859</v>
      </c>
      <c r="C395" s="4221"/>
      <c r="D395" s="4311"/>
      <c r="E395" s="4216"/>
      <c r="F395" s="4216" t="str">
        <f t="shared" si="16"/>
        <v xml:space="preserve"> </v>
      </c>
      <c r="G395" s="3557"/>
    </row>
    <row r="396" spans="1:7" s="4266" customFormat="1" ht="14.25" customHeight="1">
      <c r="A396" s="4399">
        <v>5.0999999999999996</v>
      </c>
      <c r="B396" s="3563" t="s">
        <v>2567</v>
      </c>
      <c r="C396" s="4221">
        <v>66.63</v>
      </c>
      <c r="D396" s="4311" t="s">
        <v>2432</v>
      </c>
      <c r="E396" s="4216">
        <v>56.57</v>
      </c>
      <c r="F396" s="4216">
        <f t="shared" si="16"/>
        <v>3769.26</v>
      </c>
      <c r="G396" s="3557"/>
    </row>
    <row r="397" spans="1:7" s="4222" customFormat="1" ht="14.25" customHeight="1">
      <c r="A397" s="4399">
        <v>5.2</v>
      </c>
      <c r="B397" s="3563" t="s">
        <v>2396</v>
      </c>
      <c r="C397" s="4221">
        <v>47.93</v>
      </c>
      <c r="D397" s="4311" t="s">
        <v>2432</v>
      </c>
      <c r="E397" s="4216">
        <v>336.35</v>
      </c>
      <c r="F397" s="4216">
        <f t="shared" si="16"/>
        <v>16121.26</v>
      </c>
      <c r="G397" s="3557"/>
    </row>
    <row r="398" spans="1:7" s="4222" customFormat="1" ht="14.25" customHeight="1">
      <c r="A398" s="4399">
        <v>5.3</v>
      </c>
      <c r="B398" s="3563" t="s">
        <v>2395</v>
      </c>
      <c r="C398" s="4221">
        <v>51.06</v>
      </c>
      <c r="D398" s="4311" t="s">
        <v>2432</v>
      </c>
      <c r="E398" s="4216">
        <v>382.2</v>
      </c>
      <c r="F398" s="4216">
        <f t="shared" si="16"/>
        <v>19515.13</v>
      </c>
      <c r="G398" s="3557"/>
    </row>
    <row r="399" spans="1:7" s="4266" customFormat="1" ht="14.25">
      <c r="A399" s="4399">
        <v>5.4</v>
      </c>
      <c r="B399" s="4212" t="s">
        <v>3456</v>
      </c>
      <c r="C399" s="4503">
        <v>26.94</v>
      </c>
      <c r="D399" s="4514" t="s">
        <v>3741</v>
      </c>
      <c r="E399" s="4502">
        <v>336.35</v>
      </c>
      <c r="F399" s="4347">
        <f t="shared" ref="F399" si="17">ROUND(C399*E399,2)</f>
        <v>9061.27</v>
      </c>
      <c r="G399" s="3557"/>
    </row>
    <row r="400" spans="1:7" s="4222" customFormat="1" ht="14.25" customHeight="1">
      <c r="A400" s="4399">
        <v>5.5</v>
      </c>
      <c r="B400" s="3563" t="s">
        <v>2397</v>
      </c>
      <c r="C400" s="4221">
        <v>29.81</v>
      </c>
      <c r="D400" s="4311" t="s">
        <v>2432</v>
      </c>
      <c r="E400" s="4216">
        <v>565.92999999999995</v>
      </c>
      <c r="F400" s="4216">
        <f t="shared" si="16"/>
        <v>16870.37</v>
      </c>
      <c r="G400" s="3557"/>
    </row>
    <row r="401" spans="1:7" s="4222" customFormat="1" ht="14.25" customHeight="1">
      <c r="A401" s="4399">
        <v>5.6</v>
      </c>
      <c r="B401" s="3563" t="s">
        <v>1548</v>
      </c>
      <c r="C401" s="4221">
        <v>104</v>
      </c>
      <c r="D401" s="4311" t="s">
        <v>1</v>
      </c>
      <c r="E401" s="4216">
        <v>107.14</v>
      </c>
      <c r="F401" s="4216">
        <f t="shared" si="16"/>
        <v>11142.56</v>
      </c>
      <c r="G401" s="3557"/>
    </row>
    <row r="402" spans="1:7" s="4222" customFormat="1" ht="14.25" customHeight="1">
      <c r="A402" s="4399">
        <v>5.7</v>
      </c>
      <c r="B402" s="3563" t="s">
        <v>3527</v>
      </c>
      <c r="C402" s="4221">
        <v>18.8</v>
      </c>
      <c r="D402" s="4311" t="s">
        <v>1</v>
      </c>
      <c r="E402" s="4216">
        <v>134</v>
      </c>
      <c r="F402" s="4216">
        <f t="shared" si="16"/>
        <v>2519.1999999999998</v>
      </c>
      <c r="G402" s="3557"/>
    </row>
    <row r="403" spans="1:7" s="4222" customFormat="1" ht="14.25" customHeight="1">
      <c r="A403" s="4399">
        <v>5.8</v>
      </c>
      <c r="B403" s="3563" t="s">
        <v>2352</v>
      </c>
      <c r="C403" s="4221">
        <v>125.93</v>
      </c>
      <c r="D403" s="4311" t="s">
        <v>2432</v>
      </c>
      <c r="E403" s="4216">
        <v>132.63999999999999</v>
      </c>
      <c r="F403" s="4216">
        <f t="shared" si="16"/>
        <v>16703.36</v>
      </c>
      <c r="G403" s="3557"/>
    </row>
    <row r="404" spans="1:7" s="4222" customFormat="1" ht="14.25" customHeight="1">
      <c r="A404" s="4399">
        <v>5.9</v>
      </c>
      <c r="B404" s="3563" t="s">
        <v>2346</v>
      </c>
      <c r="C404" s="4221">
        <v>15.86</v>
      </c>
      <c r="D404" s="4311" t="s">
        <v>2432</v>
      </c>
      <c r="E404" s="4216">
        <v>941.58</v>
      </c>
      <c r="F404" s="4216">
        <f t="shared" si="16"/>
        <v>14933.46</v>
      </c>
      <c r="G404" s="3557"/>
    </row>
    <row r="405" spans="1:7" s="4222" customFormat="1" ht="14.25" customHeight="1">
      <c r="A405" s="4391">
        <v>5.0999999999999996</v>
      </c>
      <c r="B405" s="4212" t="s">
        <v>3864</v>
      </c>
      <c r="C405" s="4221">
        <v>1</v>
      </c>
      <c r="D405" s="4311" t="s">
        <v>2433</v>
      </c>
      <c r="E405" s="4216">
        <v>2471.14</v>
      </c>
      <c r="F405" s="4216">
        <f t="shared" si="16"/>
        <v>2471.14</v>
      </c>
      <c r="G405" s="3557"/>
    </row>
    <row r="406" spans="1:7" ht="14.25" customHeight="1">
      <c r="A406" s="4454"/>
      <c r="B406" s="4450"/>
      <c r="C406" s="4464"/>
      <c r="D406" s="4465"/>
      <c r="E406" s="4466"/>
      <c r="F406" s="4466" t="str">
        <f t="shared" si="16"/>
        <v xml:space="preserve"> </v>
      </c>
    </row>
    <row r="407" spans="1:7" s="4240" customFormat="1" ht="15" customHeight="1">
      <c r="A407" s="4389">
        <v>6</v>
      </c>
      <c r="B407" s="4211" t="s">
        <v>2948</v>
      </c>
      <c r="C407" s="4262"/>
      <c r="D407" s="4271"/>
      <c r="E407" s="4264"/>
      <c r="F407" s="4264" t="str">
        <f t="shared" si="16"/>
        <v xml:space="preserve"> </v>
      </c>
      <c r="G407" s="3557"/>
    </row>
    <row r="408" spans="1:7" ht="14.25" customHeight="1">
      <c r="A408" s="4392">
        <v>6.1</v>
      </c>
      <c r="B408" s="4230" t="s">
        <v>2949</v>
      </c>
      <c r="C408" s="4231">
        <v>630</v>
      </c>
      <c r="D408" s="4249" t="s">
        <v>2602</v>
      </c>
      <c r="E408" s="4233">
        <v>31.49</v>
      </c>
      <c r="F408" s="4233">
        <f t="shared" si="16"/>
        <v>19838.7</v>
      </c>
    </row>
    <row r="409" spans="1:7" ht="14.25" customHeight="1">
      <c r="A409" s="4392">
        <v>6.2</v>
      </c>
      <c r="B409" s="4230" t="s">
        <v>2950</v>
      </c>
      <c r="C409" s="4231">
        <v>127.5</v>
      </c>
      <c r="D409" s="4249" t="s">
        <v>2602</v>
      </c>
      <c r="E409" s="4233">
        <v>24</v>
      </c>
      <c r="F409" s="4233">
        <f t="shared" si="16"/>
        <v>3060</v>
      </c>
    </row>
    <row r="410" spans="1:7" ht="14.25" customHeight="1">
      <c r="A410" s="4392">
        <v>6.3</v>
      </c>
      <c r="B410" s="4230" t="s">
        <v>2951</v>
      </c>
      <c r="C410" s="4231">
        <v>6</v>
      </c>
      <c r="D410" s="4249" t="s">
        <v>2433</v>
      </c>
      <c r="E410" s="4233">
        <v>84.22</v>
      </c>
      <c r="F410" s="4233">
        <f t="shared" si="16"/>
        <v>505.32</v>
      </c>
    </row>
    <row r="411" spans="1:7" ht="14.25" customHeight="1">
      <c r="A411" s="4392">
        <v>6.4</v>
      </c>
      <c r="B411" s="4230" t="s">
        <v>2952</v>
      </c>
      <c r="C411" s="4231">
        <v>8</v>
      </c>
      <c r="D411" s="4249" t="s">
        <v>2433</v>
      </c>
      <c r="E411" s="4233">
        <v>39.479999999999997</v>
      </c>
      <c r="F411" s="4233">
        <f t="shared" si="16"/>
        <v>315.83999999999997</v>
      </c>
    </row>
    <row r="412" spans="1:7" ht="14.25" customHeight="1">
      <c r="A412" s="4392">
        <v>6.5</v>
      </c>
      <c r="B412" s="4230" t="s">
        <v>2953</v>
      </c>
      <c r="C412" s="4231">
        <v>1</v>
      </c>
      <c r="D412" s="4249" t="s">
        <v>2433</v>
      </c>
      <c r="E412" s="4233">
        <v>11601.76</v>
      </c>
      <c r="F412" s="4233">
        <f t="shared" si="16"/>
        <v>11601.76</v>
      </c>
    </row>
    <row r="413" spans="1:7" ht="14.25" customHeight="1">
      <c r="A413" s="4392">
        <v>6.6</v>
      </c>
      <c r="B413" s="4230" t="s">
        <v>2954</v>
      </c>
      <c r="C413" s="4231">
        <v>1</v>
      </c>
      <c r="D413" s="4249" t="s">
        <v>42</v>
      </c>
      <c r="E413" s="4233">
        <v>16736</v>
      </c>
      <c r="F413" s="4233">
        <f t="shared" si="16"/>
        <v>16736</v>
      </c>
    </row>
    <row r="414" spans="1:7" ht="14.25" customHeight="1">
      <c r="A414" s="4388"/>
      <c r="B414" s="4230"/>
      <c r="C414" s="4231"/>
      <c r="D414" s="4249"/>
      <c r="E414" s="4233"/>
      <c r="F414" s="4233" t="str">
        <f t="shared" si="16"/>
        <v xml:space="preserve"> </v>
      </c>
    </row>
    <row r="415" spans="1:7" s="4222" customFormat="1" ht="15" customHeight="1">
      <c r="A415" s="4394">
        <v>7</v>
      </c>
      <c r="B415" s="4211" t="s">
        <v>3865</v>
      </c>
      <c r="C415" s="4221"/>
      <c r="D415" s="4311"/>
      <c r="E415" s="4216"/>
      <c r="F415" s="4216" t="str">
        <f t="shared" si="16"/>
        <v xml:space="preserve"> </v>
      </c>
      <c r="G415" s="3557"/>
    </row>
    <row r="416" spans="1:7" s="4222" customFormat="1" ht="14.25" customHeight="1">
      <c r="A416" s="4399">
        <v>7.1</v>
      </c>
      <c r="B416" s="4212" t="s">
        <v>3749</v>
      </c>
      <c r="C416" s="4503">
        <v>4</v>
      </c>
      <c r="D416" s="4514" t="s">
        <v>2433</v>
      </c>
      <c r="E416" s="4502">
        <v>1153.96</v>
      </c>
      <c r="F416" s="4216">
        <f t="shared" si="16"/>
        <v>4615.84</v>
      </c>
      <c r="G416" s="3557"/>
    </row>
    <row r="417" spans="1:7" s="4222" customFormat="1" ht="14.25" customHeight="1">
      <c r="A417" s="4399">
        <v>7.2</v>
      </c>
      <c r="B417" s="3563" t="s">
        <v>3750</v>
      </c>
      <c r="C417" s="4503">
        <v>1</v>
      </c>
      <c r="D417" s="4514" t="s">
        <v>2433</v>
      </c>
      <c r="E417" s="4502">
        <v>1551.32</v>
      </c>
      <c r="F417" s="4216">
        <f t="shared" si="16"/>
        <v>1551.32</v>
      </c>
      <c r="G417" s="3557"/>
    </row>
    <row r="418" spans="1:7" s="4222" customFormat="1" ht="14.25" customHeight="1">
      <c r="A418" s="4399">
        <v>7.3</v>
      </c>
      <c r="B418" s="3563" t="s">
        <v>3751</v>
      </c>
      <c r="C418" s="4503">
        <v>2</v>
      </c>
      <c r="D418" s="4514" t="s">
        <v>2433</v>
      </c>
      <c r="E418" s="4502">
        <v>1174.26</v>
      </c>
      <c r="F418" s="4216">
        <f t="shared" si="16"/>
        <v>2348.52</v>
      </c>
      <c r="G418" s="3557"/>
    </row>
    <row r="419" spans="1:7" s="4222" customFormat="1" ht="14.25" customHeight="1">
      <c r="A419" s="4399">
        <v>7.4</v>
      </c>
      <c r="B419" s="3563" t="s">
        <v>3866</v>
      </c>
      <c r="C419" s="4503">
        <v>1</v>
      </c>
      <c r="D419" s="4514" t="s">
        <v>2433</v>
      </c>
      <c r="E419" s="4345">
        <v>1746.95</v>
      </c>
      <c r="F419" s="4216">
        <f t="shared" si="16"/>
        <v>1746.95</v>
      </c>
      <c r="G419" s="3557"/>
    </row>
    <row r="420" spans="1:7" ht="14.25" customHeight="1">
      <c r="A420" s="4388"/>
      <c r="B420" s="4230"/>
      <c r="C420" s="4231"/>
      <c r="D420" s="4249"/>
      <c r="E420" s="4233"/>
      <c r="F420" s="4233" t="str">
        <f t="shared" si="16"/>
        <v xml:space="preserve"> </v>
      </c>
    </row>
    <row r="421" spans="1:7" ht="15" customHeight="1">
      <c r="A421" s="4389">
        <v>8</v>
      </c>
      <c r="B421" s="4343" t="s">
        <v>1816</v>
      </c>
      <c r="C421" s="4231"/>
      <c r="D421" s="4249"/>
      <c r="E421" s="4233"/>
      <c r="F421" s="4233" t="str">
        <f t="shared" si="16"/>
        <v xml:space="preserve"> </v>
      </c>
    </row>
    <row r="422" spans="1:7" ht="28.5" customHeight="1">
      <c r="A422" s="4392">
        <v>8.1</v>
      </c>
      <c r="B422" s="3563" t="s">
        <v>4024</v>
      </c>
      <c r="C422" s="4233">
        <v>2</v>
      </c>
      <c r="D422" s="4249" t="s">
        <v>2433</v>
      </c>
      <c r="E422" s="4233">
        <v>144461.5</v>
      </c>
      <c r="F422" s="4233">
        <f t="shared" si="16"/>
        <v>288923</v>
      </c>
    </row>
    <row r="423" spans="1:7" ht="14.25" customHeight="1">
      <c r="A423" s="4392">
        <v>8.1999999999999993</v>
      </c>
      <c r="B423" s="3563" t="s">
        <v>4025</v>
      </c>
      <c r="C423" s="4233">
        <v>2</v>
      </c>
      <c r="D423" s="4249" t="s">
        <v>2433</v>
      </c>
      <c r="E423" s="4233">
        <v>49029</v>
      </c>
      <c r="F423" s="4233">
        <f t="shared" si="16"/>
        <v>98058</v>
      </c>
    </row>
    <row r="424" spans="1:7" ht="14.25" customHeight="1">
      <c r="A424" s="4392">
        <v>8.3000000000000007</v>
      </c>
      <c r="B424" s="4212" t="s">
        <v>3626</v>
      </c>
      <c r="C424" s="4233">
        <v>3</v>
      </c>
      <c r="D424" s="4249" t="s">
        <v>2433</v>
      </c>
      <c r="E424" s="4233">
        <v>561100</v>
      </c>
      <c r="F424" s="4233">
        <f t="shared" si="16"/>
        <v>1683300</v>
      </c>
    </row>
    <row r="425" spans="1:7" ht="14.25" customHeight="1">
      <c r="A425" s="4392">
        <v>8.4</v>
      </c>
      <c r="B425" s="4212" t="s">
        <v>3627</v>
      </c>
      <c r="C425" s="4233">
        <v>1</v>
      </c>
      <c r="D425" s="4249" t="s">
        <v>2433</v>
      </c>
      <c r="E425" s="4233">
        <v>33116.699999999997</v>
      </c>
      <c r="F425" s="4233">
        <f t="shared" si="16"/>
        <v>33116.699999999997</v>
      </c>
    </row>
    <row r="426" spans="1:7" ht="14.25" customHeight="1">
      <c r="A426" s="4392">
        <v>8.5</v>
      </c>
      <c r="B426" s="4212" t="s">
        <v>3628</v>
      </c>
      <c r="C426" s="4233">
        <v>1</v>
      </c>
      <c r="D426" s="4249" t="s">
        <v>2433</v>
      </c>
      <c r="E426" s="4233">
        <v>1003</v>
      </c>
      <c r="F426" s="4233">
        <f t="shared" si="16"/>
        <v>1003</v>
      </c>
    </row>
    <row r="427" spans="1:7" ht="14.25" customHeight="1">
      <c r="A427" s="4392">
        <v>8.6</v>
      </c>
      <c r="B427" s="4320" t="s">
        <v>3629</v>
      </c>
      <c r="C427" s="4233">
        <v>5</v>
      </c>
      <c r="D427" s="4249" t="s">
        <v>2433</v>
      </c>
      <c r="E427" s="4233">
        <v>802.4</v>
      </c>
      <c r="F427" s="4233">
        <f t="shared" si="16"/>
        <v>4012</v>
      </c>
    </row>
    <row r="428" spans="1:7" ht="14.25" customHeight="1">
      <c r="A428" s="4392">
        <v>8.6999999999999993</v>
      </c>
      <c r="B428" s="3563" t="s">
        <v>3630</v>
      </c>
      <c r="C428" s="4233">
        <v>4</v>
      </c>
      <c r="D428" s="4249" t="s">
        <v>2433</v>
      </c>
      <c r="E428" s="4233">
        <v>4500</v>
      </c>
      <c r="F428" s="4233">
        <f t="shared" si="16"/>
        <v>18000</v>
      </c>
    </row>
    <row r="429" spans="1:7" ht="14.25" customHeight="1">
      <c r="A429" s="4392">
        <v>8.8000000000000007</v>
      </c>
      <c r="B429" s="4212" t="s">
        <v>3631</v>
      </c>
      <c r="C429" s="4233">
        <v>1</v>
      </c>
      <c r="D429" s="4249" t="s">
        <v>2433</v>
      </c>
      <c r="E429" s="4233">
        <v>1396.75</v>
      </c>
      <c r="F429" s="4233">
        <f t="shared" si="16"/>
        <v>1396.75</v>
      </c>
    </row>
    <row r="430" spans="1:7" ht="14.25" customHeight="1">
      <c r="A430" s="4392">
        <v>8.9</v>
      </c>
      <c r="B430" s="4212" t="s">
        <v>3632</v>
      </c>
      <c r="C430" s="4233">
        <v>1</v>
      </c>
      <c r="D430" s="4249" t="s">
        <v>2433</v>
      </c>
      <c r="E430" s="4233">
        <v>15400</v>
      </c>
      <c r="F430" s="4233">
        <f t="shared" si="16"/>
        <v>15400</v>
      </c>
    </row>
    <row r="431" spans="1:7" ht="14.25" customHeight="1">
      <c r="A431" s="4388">
        <v>8.1</v>
      </c>
      <c r="B431" s="3563" t="s">
        <v>3633</v>
      </c>
      <c r="C431" s="4233">
        <v>1</v>
      </c>
      <c r="D431" s="4249" t="s">
        <v>2433</v>
      </c>
      <c r="E431" s="4233">
        <v>3528</v>
      </c>
      <c r="F431" s="4233">
        <f t="shared" si="16"/>
        <v>3528</v>
      </c>
    </row>
    <row r="432" spans="1:7" ht="14.25" customHeight="1">
      <c r="A432" s="4388">
        <v>8.11</v>
      </c>
      <c r="B432" s="4212" t="s">
        <v>2945</v>
      </c>
      <c r="C432" s="4233">
        <v>1</v>
      </c>
      <c r="D432" s="4249" t="s">
        <v>2433</v>
      </c>
      <c r="E432" s="4233">
        <v>885000</v>
      </c>
      <c r="F432" s="4233">
        <f t="shared" si="16"/>
        <v>885000</v>
      </c>
    </row>
    <row r="433" spans="1:7" ht="14.25" customHeight="1">
      <c r="A433" s="4388">
        <v>8.1199999999999992</v>
      </c>
      <c r="B433" s="4212" t="s">
        <v>2946</v>
      </c>
      <c r="C433" s="4233">
        <v>8</v>
      </c>
      <c r="D433" s="4249" t="s">
        <v>2433</v>
      </c>
      <c r="E433" s="4233">
        <v>68204</v>
      </c>
      <c r="F433" s="4233">
        <f t="shared" ref="F433:F444" si="18">IF(C433&gt;0,(ROUND((E433*C433),2))," ")</f>
        <v>545632</v>
      </c>
    </row>
    <row r="434" spans="1:7" ht="14.25" customHeight="1">
      <c r="A434" s="4388">
        <v>8.1300000000000008</v>
      </c>
      <c r="B434" s="4212" t="s">
        <v>2947</v>
      </c>
      <c r="C434" s="4233">
        <v>1</v>
      </c>
      <c r="D434" s="4249" t="s">
        <v>2433</v>
      </c>
      <c r="E434" s="4233">
        <v>44974.04</v>
      </c>
      <c r="F434" s="4233">
        <f t="shared" si="18"/>
        <v>44974.04</v>
      </c>
    </row>
    <row r="435" spans="1:7" ht="14.25" customHeight="1">
      <c r="A435" s="4388"/>
      <c r="B435" s="4274"/>
      <c r="C435" s="4233"/>
      <c r="D435" s="4249"/>
      <c r="E435" s="4233"/>
      <c r="F435" s="4233" t="str">
        <f t="shared" si="18"/>
        <v xml:space="preserve"> </v>
      </c>
    </row>
    <row r="436" spans="1:7" s="4240" customFormat="1" ht="15" customHeight="1">
      <c r="A436" s="4389">
        <v>9</v>
      </c>
      <c r="B436" s="4343" t="s">
        <v>2958</v>
      </c>
      <c r="C436" s="4264"/>
      <c r="D436" s="4271"/>
      <c r="E436" s="4264"/>
      <c r="F436" s="4233" t="str">
        <f t="shared" si="18"/>
        <v xml:space="preserve"> </v>
      </c>
      <c r="G436" s="3557"/>
    </row>
    <row r="437" spans="1:7" ht="14.25" customHeight="1">
      <c r="A437" s="4392">
        <v>9.1</v>
      </c>
      <c r="B437" s="4274" t="s">
        <v>2394</v>
      </c>
      <c r="C437" s="4233">
        <v>37</v>
      </c>
      <c r="D437" s="4249" t="s">
        <v>1</v>
      </c>
      <c r="E437" s="4233">
        <v>16.11</v>
      </c>
      <c r="F437" s="4233">
        <f t="shared" si="18"/>
        <v>596.07000000000005</v>
      </c>
    </row>
    <row r="438" spans="1:7" ht="14.25" customHeight="1">
      <c r="A438" s="4392">
        <v>9.1999999999999993</v>
      </c>
      <c r="B438" s="4274" t="s">
        <v>2955</v>
      </c>
      <c r="C438" s="4233">
        <v>14.8</v>
      </c>
      <c r="D438" s="4249" t="s">
        <v>3154</v>
      </c>
      <c r="E438" s="4233">
        <v>330.24</v>
      </c>
      <c r="F438" s="4233">
        <f t="shared" si="18"/>
        <v>4887.55</v>
      </c>
    </row>
    <row r="439" spans="1:7" ht="14.25" customHeight="1">
      <c r="A439" s="4392">
        <v>9.3000000000000007</v>
      </c>
      <c r="B439" s="4274" t="s">
        <v>2546</v>
      </c>
      <c r="C439" s="4233">
        <v>1.85</v>
      </c>
      <c r="D439" s="4249" t="s">
        <v>2618</v>
      </c>
      <c r="E439" s="4233">
        <v>1313.13</v>
      </c>
      <c r="F439" s="4233">
        <f t="shared" si="18"/>
        <v>2429.29</v>
      </c>
    </row>
    <row r="440" spans="1:7" ht="14.25" customHeight="1">
      <c r="A440" s="4392">
        <v>9.4</v>
      </c>
      <c r="B440" s="3434" t="s">
        <v>2399</v>
      </c>
      <c r="C440" s="4233">
        <v>10.36</v>
      </c>
      <c r="D440" s="4249" t="s">
        <v>2431</v>
      </c>
      <c r="E440" s="4233">
        <v>121.12</v>
      </c>
      <c r="F440" s="4233">
        <f t="shared" si="18"/>
        <v>1254.8</v>
      </c>
    </row>
    <row r="441" spans="1:7" ht="28.5" customHeight="1">
      <c r="A441" s="4392">
        <v>9.5</v>
      </c>
      <c r="B441" s="4274" t="s">
        <v>2956</v>
      </c>
      <c r="C441" s="4233">
        <v>5.33</v>
      </c>
      <c r="D441" s="4249" t="s">
        <v>2525</v>
      </c>
      <c r="E441" s="4233">
        <v>210</v>
      </c>
      <c r="F441" s="4233">
        <f t="shared" si="18"/>
        <v>1119.3</v>
      </c>
    </row>
    <row r="442" spans="1:7" ht="14.25" customHeight="1">
      <c r="A442" s="4392">
        <v>9.6</v>
      </c>
      <c r="B442" s="4274" t="s">
        <v>3480</v>
      </c>
      <c r="C442" s="4233">
        <v>37</v>
      </c>
      <c r="D442" s="4249" t="s">
        <v>1</v>
      </c>
      <c r="E442" s="4233">
        <v>50</v>
      </c>
      <c r="F442" s="4233">
        <f t="shared" si="18"/>
        <v>1850</v>
      </c>
    </row>
    <row r="443" spans="1:7" ht="14.25" customHeight="1">
      <c r="A443" s="4392">
        <v>9.6999999999999993</v>
      </c>
      <c r="B443" s="4274" t="s">
        <v>2959</v>
      </c>
      <c r="C443" s="4233">
        <v>7</v>
      </c>
      <c r="D443" s="4249" t="s">
        <v>2433</v>
      </c>
      <c r="E443" s="4233">
        <v>17</v>
      </c>
      <c r="F443" s="4233">
        <f t="shared" si="18"/>
        <v>119</v>
      </c>
    </row>
    <row r="444" spans="1:7" ht="14.25" customHeight="1">
      <c r="A444" s="4392">
        <v>9.8000000000000007</v>
      </c>
      <c r="B444" s="4274" t="s">
        <v>3867</v>
      </c>
      <c r="C444" s="4233">
        <v>1</v>
      </c>
      <c r="D444" s="4249" t="s">
        <v>42</v>
      </c>
      <c r="E444" s="4233">
        <v>700</v>
      </c>
      <c r="F444" s="4233">
        <f t="shared" si="18"/>
        <v>700</v>
      </c>
    </row>
    <row r="445" spans="1:7" s="4266" customFormat="1" ht="12.75" customHeight="1">
      <c r="A445" s="4305"/>
      <c r="B445" s="4304" t="s">
        <v>2125</v>
      </c>
      <c r="C445" s="4498"/>
      <c r="D445" s="4498"/>
      <c r="E445" s="4498"/>
      <c r="F445" s="4307">
        <f>SUM(F369:F444)</f>
        <v>4114028.04</v>
      </c>
      <c r="G445" s="3557"/>
    </row>
    <row r="446" spans="1:7" ht="15" customHeight="1">
      <c r="A446" s="4393"/>
      <c r="B446" s="3435"/>
      <c r="C446" s="4264"/>
      <c r="D446" s="4271"/>
      <c r="E446" s="4264"/>
      <c r="F446" s="4264"/>
    </row>
    <row r="447" spans="1:7" s="4222" customFormat="1" ht="15">
      <c r="A447" s="4396" t="s">
        <v>877</v>
      </c>
      <c r="B447" s="3435" t="s">
        <v>3123</v>
      </c>
      <c r="C447" s="4321"/>
      <c r="D447" s="4322"/>
      <c r="E447" s="4323"/>
      <c r="F447" s="4323" t="str">
        <f t="shared" ref="F447:F485" si="19">IF(C447&gt;0,(ROUND((E447*C447),2))," ")</f>
        <v xml:space="preserve"> </v>
      </c>
      <c r="G447" s="3557"/>
    </row>
    <row r="448" spans="1:7" s="4240" customFormat="1" ht="15" customHeight="1">
      <c r="A448" s="4389">
        <v>1</v>
      </c>
      <c r="B448" s="4343" t="s">
        <v>2165</v>
      </c>
      <c r="C448" s="4262"/>
      <c r="D448" s="4271"/>
      <c r="E448" s="4264"/>
      <c r="F448" s="4264" t="str">
        <f t="shared" si="19"/>
        <v xml:space="preserve"> </v>
      </c>
      <c r="G448" s="3557"/>
    </row>
    <row r="449" spans="1:6" ht="14.25" customHeight="1">
      <c r="A449" s="4392">
        <v>1.1000000000000001</v>
      </c>
      <c r="B449" s="4230" t="s">
        <v>4028</v>
      </c>
      <c r="C449" s="4208">
        <v>1</v>
      </c>
      <c r="D449" s="4249" t="s">
        <v>2433</v>
      </c>
      <c r="E449" s="4210">
        <v>2000</v>
      </c>
      <c r="F449" s="4226">
        <f t="shared" si="19"/>
        <v>2000</v>
      </c>
    </row>
    <row r="450" spans="1:6" ht="14.25" customHeight="1">
      <c r="A450" s="4388"/>
      <c r="B450" s="4230"/>
      <c r="C450" s="4231"/>
      <c r="D450" s="4249"/>
      <c r="E450" s="4233"/>
      <c r="F450" s="4233" t="str">
        <f t="shared" si="19"/>
        <v xml:space="preserve"> </v>
      </c>
    </row>
    <row r="451" spans="1:6" ht="15" customHeight="1">
      <c r="A451" s="4389">
        <v>2</v>
      </c>
      <c r="B451" s="4343" t="s">
        <v>3709</v>
      </c>
      <c r="C451" s="4231"/>
      <c r="D451" s="4249"/>
      <c r="E451" s="4233"/>
      <c r="F451" s="4233" t="str">
        <f t="shared" si="19"/>
        <v xml:space="preserve"> </v>
      </c>
    </row>
    <row r="452" spans="1:6" ht="14.25" customHeight="1">
      <c r="A452" s="4392">
        <v>2.1</v>
      </c>
      <c r="B452" s="3434" t="s">
        <v>2398</v>
      </c>
      <c r="C452" s="4231">
        <v>8.9499999999999993</v>
      </c>
      <c r="D452" s="4249" t="s">
        <v>2430</v>
      </c>
      <c r="E452" s="4233">
        <v>330.24</v>
      </c>
      <c r="F452" s="4233">
        <f t="shared" si="19"/>
        <v>2955.65</v>
      </c>
    </row>
    <row r="453" spans="1:6" ht="14.25" customHeight="1">
      <c r="A453" s="4392">
        <v>2.2000000000000002</v>
      </c>
      <c r="B453" s="3434" t="s">
        <v>2399</v>
      </c>
      <c r="C453" s="4233">
        <v>4.33</v>
      </c>
      <c r="D453" s="4249" t="s">
        <v>2431</v>
      </c>
      <c r="E453" s="4233">
        <v>121.12</v>
      </c>
      <c r="F453" s="4233">
        <f t="shared" si="19"/>
        <v>524.45000000000005</v>
      </c>
    </row>
    <row r="454" spans="1:6" ht="29.25" customHeight="1">
      <c r="A454" s="4392">
        <v>2.2999999999999998</v>
      </c>
      <c r="B454" s="3434" t="s">
        <v>3833</v>
      </c>
      <c r="C454" s="4231">
        <v>6</v>
      </c>
      <c r="D454" s="4249" t="s">
        <v>2525</v>
      </c>
      <c r="E454" s="4233">
        <v>210</v>
      </c>
      <c r="F454" s="4233">
        <f t="shared" si="19"/>
        <v>1260</v>
      </c>
    </row>
    <row r="455" spans="1:6" ht="14.25" customHeight="1">
      <c r="A455" s="4454"/>
      <c r="B455" s="4450"/>
      <c r="C455" s="4464"/>
      <c r="D455" s="4465"/>
      <c r="E455" s="4466"/>
      <c r="F455" s="4466" t="str">
        <f t="shared" si="19"/>
        <v xml:space="preserve"> </v>
      </c>
    </row>
    <row r="456" spans="1:6" ht="15" customHeight="1">
      <c r="A456" s="4389">
        <v>3</v>
      </c>
      <c r="B456" s="4343" t="s">
        <v>3710</v>
      </c>
      <c r="C456" s="4231"/>
      <c r="D456" s="4249"/>
      <c r="E456" s="4233"/>
      <c r="F456" s="4233" t="str">
        <f t="shared" si="19"/>
        <v xml:space="preserve"> </v>
      </c>
    </row>
    <row r="457" spans="1:6" ht="14.25" customHeight="1">
      <c r="A457" s="4392">
        <v>3.1</v>
      </c>
      <c r="B457" s="4230" t="s">
        <v>3516</v>
      </c>
      <c r="C457" s="4191">
        <v>1.78</v>
      </c>
      <c r="D457" s="4249" t="s">
        <v>2430</v>
      </c>
      <c r="E457" s="4233">
        <v>9125.98</v>
      </c>
      <c r="F457" s="4233">
        <f t="shared" si="19"/>
        <v>16244.24</v>
      </c>
    </row>
    <row r="458" spans="1:6" ht="14.25" customHeight="1">
      <c r="A458" s="4392">
        <v>3.2</v>
      </c>
      <c r="B458" s="4230" t="s">
        <v>3517</v>
      </c>
      <c r="C458" s="4191">
        <v>1.32</v>
      </c>
      <c r="D458" s="4249" t="s">
        <v>2430</v>
      </c>
      <c r="E458" s="4233">
        <v>14171.07</v>
      </c>
      <c r="F458" s="4233">
        <f t="shared" si="19"/>
        <v>18705.810000000001</v>
      </c>
    </row>
    <row r="459" spans="1:6" ht="14.25" customHeight="1">
      <c r="A459" s="4392">
        <v>3.3</v>
      </c>
      <c r="B459" s="4230" t="s">
        <v>3518</v>
      </c>
      <c r="C459" s="4191">
        <v>1.22</v>
      </c>
      <c r="D459" s="4249" t="s">
        <v>2430</v>
      </c>
      <c r="E459" s="4233">
        <v>23349.14</v>
      </c>
      <c r="F459" s="4233">
        <f t="shared" si="19"/>
        <v>28485.95</v>
      </c>
    </row>
    <row r="460" spans="1:6" ht="14.25" customHeight="1">
      <c r="A460" s="4392">
        <v>3.4</v>
      </c>
      <c r="B460" s="4230" t="s">
        <v>3519</v>
      </c>
      <c r="C460" s="4191">
        <v>0.51</v>
      </c>
      <c r="D460" s="4249" t="s">
        <v>2430</v>
      </c>
      <c r="E460" s="4233">
        <v>34000.44</v>
      </c>
      <c r="F460" s="4233">
        <f t="shared" si="19"/>
        <v>17340.22</v>
      </c>
    </row>
    <row r="461" spans="1:6" ht="14.25" customHeight="1">
      <c r="A461" s="4392">
        <v>3.5</v>
      </c>
      <c r="B461" s="4230" t="s">
        <v>3520</v>
      </c>
      <c r="C461" s="4191">
        <v>0.98</v>
      </c>
      <c r="D461" s="4249" t="s">
        <v>2430</v>
      </c>
      <c r="E461" s="4233">
        <v>16444.47</v>
      </c>
      <c r="F461" s="4233">
        <f t="shared" si="19"/>
        <v>16115.58</v>
      </c>
    </row>
    <row r="462" spans="1:6" ht="14.25" customHeight="1">
      <c r="A462" s="4392">
        <v>3.6</v>
      </c>
      <c r="B462" s="4230" t="s">
        <v>3150</v>
      </c>
      <c r="C462" s="4191">
        <v>0.16</v>
      </c>
      <c r="D462" s="4249" t="s">
        <v>2430</v>
      </c>
      <c r="E462" s="4233">
        <v>34000.44</v>
      </c>
      <c r="F462" s="4233">
        <f t="shared" si="19"/>
        <v>5440.07</v>
      </c>
    </row>
    <row r="463" spans="1:6" ht="14.25" customHeight="1">
      <c r="A463" s="4392">
        <v>3.7</v>
      </c>
      <c r="B463" s="4230" t="s">
        <v>3521</v>
      </c>
      <c r="C463" s="4191">
        <v>2.1800000000000002</v>
      </c>
      <c r="D463" s="4249" t="s">
        <v>2430</v>
      </c>
      <c r="E463" s="4233">
        <v>16444.47</v>
      </c>
      <c r="F463" s="4233">
        <f t="shared" si="19"/>
        <v>35848.94</v>
      </c>
    </row>
    <row r="464" spans="1:6" ht="14.25" customHeight="1">
      <c r="A464" s="4392">
        <v>3.8</v>
      </c>
      <c r="B464" s="4230" t="s">
        <v>3556</v>
      </c>
      <c r="C464" s="4191">
        <v>1.07</v>
      </c>
      <c r="D464" s="4249" t="s">
        <v>2430</v>
      </c>
      <c r="E464" s="4233">
        <v>986.65</v>
      </c>
      <c r="F464" s="4233">
        <f t="shared" si="19"/>
        <v>1055.72</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3522</v>
      </c>
      <c r="C467" s="4231">
        <v>5.0599999999999996</v>
      </c>
      <c r="D467" s="4249" t="s">
        <v>2432</v>
      </c>
      <c r="E467" s="4233">
        <v>1495.87</v>
      </c>
      <c r="F467" s="4233">
        <f t="shared" si="19"/>
        <v>7569.1</v>
      </c>
    </row>
    <row r="468" spans="1:6" ht="14.25" customHeight="1">
      <c r="A468" s="4392">
        <v>4.2</v>
      </c>
      <c r="B468" s="4272" t="s">
        <v>3523</v>
      </c>
      <c r="C468" s="4231">
        <v>25.13</v>
      </c>
      <c r="D468" s="4249" t="s">
        <v>2432</v>
      </c>
      <c r="E468" s="4233">
        <v>1528.3</v>
      </c>
      <c r="F468" s="4233">
        <f t="shared" si="19"/>
        <v>38406.18</v>
      </c>
    </row>
    <row r="469" spans="1:6" ht="14.25" customHeight="1">
      <c r="A469" s="4392">
        <v>4.3</v>
      </c>
      <c r="B469" s="4230" t="s">
        <v>2401</v>
      </c>
      <c r="C469" s="4231">
        <v>5.2</v>
      </c>
      <c r="D469" s="4249" t="s">
        <v>2432</v>
      </c>
      <c r="E469" s="4233">
        <v>1503.91</v>
      </c>
      <c r="F469" s="4233">
        <f t="shared" si="19"/>
        <v>7820.33</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v>56.57</v>
      </c>
      <c r="F472" s="4233">
        <f t="shared" si="19"/>
        <v>1906.97</v>
      </c>
    </row>
    <row r="473" spans="1:6" ht="14.25" customHeight="1">
      <c r="A473" s="4392">
        <v>5.2</v>
      </c>
      <c r="B473" s="4230" t="s">
        <v>2402</v>
      </c>
      <c r="C473" s="4231">
        <v>40.64</v>
      </c>
      <c r="D473" s="4249" t="s">
        <v>2432</v>
      </c>
      <c r="E473" s="4233">
        <v>336.35</v>
      </c>
      <c r="F473" s="4233">
        <f t="shared" si="19"/>
        <v>13669.26</v>
      </c>
    </row>
    <row r="474" spans="1:6" ht="14.25" customHeight="1">
      <c r="A474" s="4392">
        <v>5.3</v>
      </c>
      <c r="B474" s="4230" t="s">
        <v>2345</v>
      </c>
      <c r="C474" s="4191">
        <v>34.11</v>
      </c>
      <c r="D474" s="4249" t="s">
        <v>2432</v>
      </c>
      <c r="E474" s="4233">
        <v>382.2</v>
      </c>
      <c r="F474" s="4233">
        <f t="shared" si="19"/>
        <v>13036.84</v>
      </c>
    </row>
    <row r="475" spans="1:6" ht="14.25" customHeight="1">
      <c r="A475" s="4392">
        <v>5.4</v>
      </c>
      <c r="B475" s="4230" t="s">
        <v>2343</v>
      </c>
      <c r="C475" s="4231">
        <v>18.09</v>
      </c>
      <c r="D475" s="4249" t="s">
        <v>2432</v>
      </c>
      <c r="E475" s="4233">
        <v>565.92999999999995</v>
      </c>
      <c r="F475" s="4233">
        <f t="shared" si="19"/>
        <v>10237.67</v>
      </c>
    </row>
    <row r="476" spans="1:6" ht="14.25" customHeight="1">
      <c r="A476" s="4392">
        <v>5.5</v>
      </c>
      <c r="B476" s="3563" t="s">
        <v>3561</v>
      </c>
      <c r="C476" s="4191">
        <v>85.15</v>
      </c>
      <c r="D476" s="4249" t="s">
        <v>2432</v>
      </c>
      <c r="E476" s="4233">
        <v>224.18</v>
      </c>
      <c r="F476" s="4233">
        <f t="shared" si="19"/>
        <v>19088.93</v>
      </c>
    </row>
    <row r="477" spans="1:6" ht="14.25" customHeight="1">
      <c r="A477" s="4392">
        <v>5.6</v>
      </c>
      <c r="B477" s="4230" t="s">
        <v>2558</v>
      </c>
      <c r="C477" s="4231">
        <v>14.3</v>
      </c>
      <c r="D477" s="4249" t="s">
        <v>2432</v>
      </c>
      <c r="E477" s="4233">
        <v>847.32</v>
      </c>
      <c r="F477" s="4233">
        <f t="shared" si="19"/>
        <v>12116.68</v>
      </c>
    </row>
    <row r="478" spans="1:6" ht="14.25" customHeight="1">
      <c r="A478" s="4392">
        <v>5.7</v>
      </c>
      <c r="B478" s="3563" t="s">
        <v>3524</v>
      </c>
      <c r="C478" s="4231">
        <v>147.72</v>
      </c>
      <c r="D478" s="4249" t="s">
        <v>1</v>
      </c>
      <c r="E478" s="4233">
        <v>107.14</v>
      </c>
      <c r="F478" s="4233">
        <f t="shared" si="19"/>
        <v>15826.72</v>
      </c>
    </row>
    <row r="479" spans="1:6" ht="14.25" customHeight="1">
      <c r="A479" s="4392">
        <v>5.8</v>
      </c>
      <c r="B479" s="3563" t="s">
        <v>3527</v>
      </c>
      <c r="C479" s="4231">
        <v>15.14</v>
      </c>
      <c r="D479" s="4249" t="s">
        <v>1</v>
      </c>
      <c r="E479" s="4233">
        <v>134</v>
      </c>
      <c r="F479" s="4233">
        <f t="shared" si="19"/>
        <v>2028.76</v>
      </c>
    </row>
    <row r="480" spans="1:6" ht="14.25" customHeight="1">
      <c r="A480" s="4392">
        <v>5.9</v>
      </c>
      <c r="B480" s="4230" t="s">
        <v>2346</v>
      </c>
      <c r="C480" s="4191">
        <v>12.11</v>
      </c>
      <c r="D480" s="4249" t="s">
        <v>2432</v>
      </c>
      <c r="E480" s="4233">
        <v>941.58</v>
      </c>
      <c r="F480" s="4233">
        <f t="shared" si="19"/>
        <v>11402.53</v>
      </c>
    </row>
    <row r="481" spans="1:7" ht="14.25" customHeight="1">
      <c r="A481" s="4388">
        <v>5.0999999999999996</v>
      </c>
      <c r="B481" s="4212" t="s">
        <v>3864</v>
      </c>
      <c r="C481" s="4231">
        <v>1</v>
      </c>
      <c r="D481" s="4249" t="s">
        <v>2433</v>
      </c>
      <c r="E481" s="4233">
        <v>2471.14</v>
      </c>
      <c r="F481" s="4233">
        <f t="shared" si="19"/>
        <v>2471.14</v>
      </c>
    </row>
    <row r="482" spans="1:7" ht="14.25" customHeight="1">
      <c r="A482" s="4388"/>
      <c r="B482" s="4212"/>
      <c r="C482" s="4231"/>
      <c r="D482" s="4249"/>
      <c r="E482" s="4233"/>
      <c r="F482" s="4233" t="str">
        <f t="shared" si="19"/>
        <v xml:space="preserve"> </v>
      </c>
    </row>
    <row r="483" spans="1:7" ht="15" customHeight="1">
      <c r="A483" s="4389">
        <v>6</v>
      </c>
      <c r="B483" s="4343" t="s">
        <v>3531</v>
      </c>
      <c r="C483" s="4191"/>
      <c r="D483" s="4194"/>
      <c r="E483" s="4210"/>
      <c r="F483" s="4233" t="str">
        <f t="shared" si="19"/>
        <v xml:space="preserve"> </v>
      </c>
    </row>
    <row r="484" spans="1:7" ht="14.25" customHeight="1">
      <c r="A484" s="4392">
        <v>6.1</v>
      </c>
      <c r="B484" s="4212" t="s">
        <v>3532</v>
      </c>
      <c r="C484" s="4191">
        <v>1</v>
      </c>
      <c r="D484" s="4249" t="s">
        <v>2433</v>
      </c>
      <c r="E484" s="4210">
        <v>30000</v>
      </c>
      <c r="F484" s="4233">
        <f t="shared" si="19"/>
        <v>30000</v>
      </c>
    </row>
    <row r="485" spans="1:7" ht="14.25" customHeight="1">
      <c r="A485" s="4392">
        <v>6.2</v>
      </c>
      <c r="B485" s="4212" t="s">
        <v>2418</v>
      </c>
      <c r="C485" s="4191">
        <v>22.6</v>
      </c>
      <c r="D485" s="4249" t="s">
        <v>2601</v>
      </c>
      <c r="E485" s="4210">
        <v>543.33000000000004</v>
      </c>
      <c r="F485" s="4233">
        <f t="shared" si="19"/>
        <v>12279.26</v>
      </c>
    </row>
    <row r="486" spans="1:7" ht="14.25" customHeight="1">
      <c r="A486" s="4388"/>
      <c r="B486" s="4212"/>
      <c r="C486" s="4191"/>
      <c r="D486" s="4249"/>
      <c r="E486" s="4210"/>
      <c r="F486" s="4233"/>
    </row>
    <row r="487" spans="1:7" ht="15" customHeight="1">
      <c r="A487" s="4389">
        <v>7</v>
      </c>
      <c r="B487" s="4343" t="s">
        <v>904</v>
      </c>
      <c r="C487" s="4231"/>
      <c r="D487" s="4249"/>
      <c r="E487" s="4233"/>
      <c r="F487" s="4233" t="str">
        <f t="shared" ref="F487:F491" si="20">IF(C487&gt;0,(ROUND((E487*C487),2))," ")</f>
        <v xml:space="preserve"> </v>
      </c>
    </row>
    <row r="488" spans="1:7" s="4273" customFormat="1" ht="14.25" customHeight="1">
      <c r="A488" s="4392">
        <v>7.1</v>
      </c>
      <c r="B488" s="4230" t="s">
        <v>3533</v>
      </c>
      <c r="C488" s="4191">
        <v>1</v>
      </c>
      <c r="D488" s="4249" t="s">
        <v>2433</v>
      </c>
      <c r="E488" s="4233">
        <v>1746.95</v>
      </c>
      <c r="F488" s="4233">
        <f t="shared" si="20"/>
        <v>1746.95</v>
      </c>
      <c r="G488" s="3557"/>
    </row>
    <row r="489" spans="1:7" s="4273" customFormat="1" ht="14.25" customHeight="1">
      <c r="A489" s="4392">
        <v>7.2</v>
      </c>
      <c r="B489" s="4230" t="s">
        <v>3614</v>
      </c>
      <c r="C489" s="4191">
        <v>2</v>
      </c>
      <c r="D489" s="4249" t="s">
        <v>2433</v>
      </c>
      <c r="E489" s="4233">
        <v>1153.96</v>
      </c>
      <c r="F489" s="4233">
        <f t="shared" si="20"/>
        <v>2307.92</v>
      </c>
      <c r="G489" s="3557"/>
    </row>
    <row r="490" spans="1:7" s="4273" customFormat="1" ht="14.25" customHeight="1">
      <c r="A490" s="4392">
        <v>7.3</v>
      </c>
      <c r="B490" s="4230" t="s">
        <v>2521</v>
      </c>
      <c r="C490" s="4191">
        <v>1</v>
      </c>
      <c r="D490" s="4249" t="s">
        <v>2433</v>
      </c>
      <c r="E490" s="4233">
        <v>1824.53</v>
      </c>
      <c r="F490" s="4233">
        <f t="shared" si="20"/>
        <v>1824.53</v>
      </c>
      <c r="G490" s="3557"/>
    </row>
    <row r="491" spans="1:7" s="4273" customFormat="1" ht="14.25" customHeight="1">
      <c r="A491" s="4392">
        <v>7.4</v>
      </c>
      <c r="B491" s="4230" t="s">
        <v>3634</v>
      </c>
      <c r="C491" s="4191">
        <v>2</v>
      </c>
      <c r="D491" s="4249" t="s">
        <v>2433</v>
      </c>
      <c r="E491" s="4233">
        <v>1174.26</v>
      </c>
      <c r="F491" s="4233">
        <f t="shared" si="20"/>
        <v>2348.52</v>
      </c>
      <c r="G491" s="3557"/>
    </row>
    <row r="492" spans="1:7" s="4266" customFormat="1" ht="12.75" customHeight="1">
      <c r="A492" s="4305"/>
      <c r="B492" s="4304" t="s">
        <v>2121</v>
      </c>
      <c r="C492" s="4498"/>
      <c r="D492" s="4498"/>
      <c r="E492" s="4498"/>
      <c r="F492" s="4307">
        <f>SUM(F448:F491)</f>
        <v>352064.92</v>
      </c>
      <c r="G492" s="3557"/>
    </row>
    <row r="493" spans="1:7" ht="14.25" customHeight="1">
      <c r="A493" s="4388"/>
      <c r="B493" s="4230"/>
      <c r="C493" s="4231"/>
      <c r="D493" s="4249"/>
      <c r="E493" s="4233"/>
      <c r="F493" s="4233" t="str">
        <f>IF(C493&gt;0,(ROUND((E493*C493),2))," ")</f>
        <v xml:space="preserve"> </v>
      </c>
    </row>
    <row r="494" spans="1:7" s="4222" customFormat="1" ht="15">
      <c r="A494" s="4396" t="s">
        <v>912</v>
      </c>
      <c r="B494" s="3435" t="s">
        <v>1668</v>
      </c>
      <c r="C494" s="4308"/>
      <c r="D494" s="4309"/>
      <c r="E494" s="4310"/>
      <c r="F494" s="4310" t="str">
        <f t="shared" si="8"/>
        <v xml:space="preserve"> </v>
      </c>
      <c r="G494" s="3557"/>
    </row>
    <row r="495" spans="1:7" s="4222" customFormat="1" ht="15">
      <c r="A495" s="4396"/>
      <c r="B495" s="3435"/>
      <c r="C495" s="4308"/>
      <c r="D495" s="4309"/>
      <c r="E495" s="4310"/>
      <c r="F495" s="4310"/>
      <c r="G495" s="3557"/>
    </row>
    <row r="496" spans="1:7" ht="15">
      <c r="A496" s="4389">
        <v>1</v>
      </c>
      <c r="B496" s="4343" t="s">
        <v>2165</v>
      </c>
      <c r="C496" s="4231"/>
      <c r="D496" s="4249"/>
      <c r="E496" s="4233"/>
      <c r="F496" s="4233" t="str">
        <f t="shared" si="8"/>
        <v xml:space="preserve"> </v>
      </c>
    </row>
    <row r="497" spans="1:6" ht="14.25">
      <c r="A497" s="4392">
        <v>1.1000000000000001</v>
      </c>
      <c r="B497" s="4230" t="s">
        <v>4028</v>
      </c>
      <c r="C497" s="4231">
        <v>92.31</v>
      </c>
      <c r="D497" s="4249" t="s">
        <v>2432</v>
      </c>
      <c r="E497" s="4233">
        <v>79.19</v>
      </c>
      <c r="F497" s="4233">
        <f>IF(C497&gt;0,(ROUND((E497*C497),2))," ")</f>
        <v>7310.03</v>
      </c>
    </row>
    <row r="498" spans="1:6" ht="14.25">
      <c r="A498" s="4388"/>
      <c r="B498" s="4230"/>
      <c r="C498" s="4231"/>
      <c r="D498" s="4249"/>
      <c r="E498" s="4233"/>
      <c r="F498" s="4233" t="str">
        <f t="shared" si="8"/>
        <v xml:space="preserve"> </v>
      </c>
    </row>
    <row r="499" spans="1:6" ht="15">
      <c r="A499" s="4389">
        <v>2</v>
      </c>
      <c r="B499" s="4343" t="s">
        <v>38</v>
      </c>
      <c r="C499" s="4231"/>
      <c r="D499" s="4249"/>
      <c r="E499" s="4233"/>
      <c r="F499" s="4233" t="str">
        <f t="shared" si="8"/>
        <v xml:space="preserve"> </v>
      </c>
    </row>
    <row r="500" spans="1:6" ht="14.25">
      <c r="A500" s="4392">
        <v>2.1</v>
      </c>
      <c r="B500" s="4248" t="s">
        <v>2403</v>
      </c>
      <c r="C500" s="4231">
        <v>29.83</v>
      </c>
      <c r="D500" s="4249" t="s">
        <v>2430</v>
      </c>
      <c r="E500" s="4233">
        <v>330.24</v>
      </c>
      <c r="F500" s="4233">
        <f t="shared" si="8"/>
        <v>9851.06</v>
      </c>
    </row>
    <row r="501" spans="1:6" ht="15" customHeight="1">
      <c r="A501" s="4392">
        <v>2.2000000000000002</v>
      </c>
      <c r="B501" s="4248" t="s">
        <v>2399</v>
      </c>
      <c r="C501" s="4231">
        <v>28.25</v>
      </c>
      <c r="D501" s="4249" t="s">
        <v>2431</v>
      </c>
      <c r="E501" s="4233">
        <v>121.12</v>
      </c>
      <c r="F501" s="4233">
        <f t="shared" si="8"/>
        <v>3421.64</v>
      </c>
    </row>
    <row r="502" spans="1:6" ht="14.25">
      <c r="A502" s="4392">
        <v>2.2999999999999998</v>
      </c>
      <c r="B502" s="4248" t="s">
        <v>2400</v>
      </c>
      <c r="C502" s="4231">
        <v>11.12</v>
      </c>
      <c r="D502" s="4249" t="s">
        <v>2525</v>
      </c>
      <c r="E502" s="4233">
        <v>210</v>
      </c>
      <c r="F502" s="4233">
        <f t="shared" si="8"/>
        <v>2335.1999999999998</v>
      </c>
    </row>
    <row r="503" spans="1:6" ht="14.25">
      <c r="A503" s="4388"/>
      <c r="B503" s="4230"/>
      <c r="C503" s="4231"/>
      <c r="D503" s="4249"/>
      <c r="E503" s="4233"/>
      <c r="F503" s="4233" t="str">
        <f t="shared" si="8"/>
        <v xml:space="preserve"> </v>
      </c>
    </row>
    <row r="504" spans="1:6" ht="15">
      <c r="A504" s="4389">
        <v>3</v>
      </c>
      <c r="B504" s="4343" t="s">
        <v>3711</v>
      </c>
      <c r="C504" s="4231"/>
      <c r="D504" s="4249"/>
      <c r="E504" s="4233"/>
      <c r="F504" s="4233" t="str">
        <f t="shared" si="8"/>
        <v xml:space="preserve"> </v>
      </c>
    </row>
    <row r="505" spans="1:6" ht="14.25">
      <c r="A505" s="4392">
        <v>3.1</v>
      </c>
      <c r="B505" s="4230" t="s">
        <v>3870</v>
      </c>
      <c r="C505" s="4231">
        <v>8.24</v>
      </c>
      <c r="D505" s="4249" t="s">
        <v>2430</v>
      </c>
      <c r="E505" s="4233">
        <v>8575.61</v>
      </c>
      <c r="F505" s="4233">
        <f t="shared" si="8"/>
        <v>70663.03</v>
      </c>
    </row>
    <row r="506" spans="1:6" ht="14.25">
      <c r="A506" s="4392">
        <v>3.2</v>
      </c>
      <c r="B506" s="4230" t="s">
        <v>3871</v>
      </c>
      <c r="C506" s="4231">
        <v>0.93</v>
      </c>
      <c r="D506" s="4249" t="s">
        <v>2430</v>
      </c>
      <c r="E506" s="4233">
        <v>31262.59</v>
      </c>
      <c r="F506" s="4233">
        <f t="shared" si="8"/>
        <v>29074.21</v>
      </c>
    </row>
    <row r="507" spans="1:6" ht="14.25">
      <c r="A507" s="4392">
        <v>3.3</v>
      </c>
      <c r="B507" s="4230" t="s">
        <v>3869</v>
      </c>
      <c r="C507" s="4231">
        <v>8.83</v>
      </c>
      <c r="D507" s="4249" t="s">
        <v>2430</v>
      </c>
      <c r="E507" s="4233">
        <v>16775.34</v>
      </c>
      <c r="F507" s="4233">
        <f t="shared" si="8"/>
        <v>148126.25</v>
      </c>
    </row>
    <row r="508" spans="1:6" ht="14.25">
      <c r="A508" s="4449">
        <v>3.4</v>
      </c>
      <c r="B508" s="4450" t="s">
        <v>3868</v>
      </c>
      <c r="C508" s="4464">
        <v>2</v>
      </c>
      <c r="D508" s="4465" t="s">
        <v>2433</v>
      </c>
      <c r="E508" s="4466">
        <v>1285.76</v>
      </c>
      <c r="F508" s="4466">
        <f t="shared" si="8"/>
        <v>2571.52</v>
      </c>
    </row>
    <row r="509" spans="1:6" ht="14.25">
      <c r="A509" s="4388"/>
      <c r="B509" s="4230"/>
      <c r="C509" s="4231"/>
      <c r="D509" s="4249"/>
      <c r="E509" s="4233"/>
      <c r="F509" s="4233" t="str">
        <f t="shared" si="8"/>
        <v xml:space="preserve"> </v>
      </c>
    </row>
    <row r="510" spans="1:6" ht="15">
      <c r="A510" s="4389">
        <v>4</v>
      </c>
      <c r="B510" s="4343" t="s">
        <v>884</v>
      </c>
      <c r="C510" s="4231"/>
      <c r="D510" s="4249"/>
      <c r="E510" s="4233"/>
      <c r="F510" s="4233" t="str">
        <f t="shared" si="8"/>
        <v xml:space="preserve"> </v>
      </c>
    </row>
    <row r="511" spans="1:6" ht="14.25">
      <c r="A511" s="4392">
        <v>4.0999999999999996</v>
      </c>
      <c r="B511" s="4230" t="s">
        <v>3635</v>
      </c>
      <c r="C511" s="4231">
        <v>47.35</v>
      </c>
      <c r="D511" s="4249" t="s">
        <v>2432</v>
      </c>
      <c r="E511" s="4233">
        <v>1168.02</v>
      </c>
      <c r="F511" s="4233">
        <f t="shared" si="8"/>
        <v>55305.75</v>
      </c>
    </row>
    <row r="512" spans="1:6" ht="14.25">
      <c r="A512" s="4392">
        <v>4.2</v>
      </c>
      <c r="B512" s="4230" t="s">
        <v>3602</v>
      </c>
      <c r="C512" s="4231">
        <v>136.49</v>
      </c>
      <c r="D512" s="4249" t="s">
        <v>2432</v>
      </c>
      <c r="E512" s="4233">
        <v>1200.45</v>
      </c>
      <c r="F512" s="4233">
        <f t="shared" si="8"/>
        <v>163849.42000000001</v>
      </c>
    </row>
    <row r="513" spans="1:6" ht="14.25">
      <c r="A513" s="4392">
        <v>4.3</v>
      </c>
      <c r="B513" s="4230" t="s">
        <v>2404</v>
      </c>
      <c r="C513" s="4231">
        <v>4.29</v>
      </c>
      <c r="D513" s="4249" t="s">
        <v>2432</v>
      </c>
      <c r="E513" s="4233">
        <v>950</v>
      </c>
      <c r="F513" s="4233">
        <f t="shared" si="8"/>
        <v>4075.5</v>
      </c>
    </row>
    <row r="514" spans="1:6" ht="14.25">
      <c r="A514" s="4388"/>
      <c r="B514" s="4230"/>
      <c r="C514" s="4231"/>
      <c r="D514" s="4249"/>
      <c r="E514" s="4233"/>
      <c r="F514" s="4233" t="str">
        <f t="shared" si="8"/>
        <v xml:space="preserve"> </v>
      </c>
    </row>
    <row r="515" spans="1:6" ht="15">
      <c r="A515" s="4389">
        <v>5</v>
      </c>
      <c r="B515" s="4343" t="s">
        <v>886</v>
      </c>
      <c r="C515" s="4231"/>
      <c r="D515" s="4249"/>
      <c r="E515" s="4233"/>
      <c r="F515" s="4233" t="str">
        <f t="shared" si="8"/>
        <v xml:space="preserve"> </v>
      </c>
    </row>
    <row r="516" spans="1:6" ht="14.25">
      <c r="A516" s="4392">
        <v>5.0999999999999996</v>
      </c>
      <c r="B516" s="4230" t="s">
        <v>2567</v>
      </c>
      <c r="C516" s="4231">
        <v>88.34</v>
      </c>
      <c r="D516" s="4249" t="s">
        <v>2432</v>
      </c>
      <c r="E516" s="4233">
        <v>56.57</v>
      </c>
      <c r="F516" s="4233">
        <f t="shared" si="8"/>
        <v>4997.3900000000003</v>
      </c>
    </row>
    <row r="517" spans="1:6" ht="14.25">
      <c r="A517" s="4392">
        <v>5.2</v>
      </c>
      <c r="B517" s="4230" t="s">
        <v>2405</v>
      </c>
      <c r="C517" s="4231">
        <v>369.85</v>
      </c>
      <c r="D517" s="4249" t="s">
        <v>2432</v>
      </c>
      <c r="E517" s="4233">
        <v>336.35</v>
      </c>
      <c r="F517" s="4233">
        <f t="shared" si="8"/>
        <v>124399.05</v>
      </c>
    </row>
    <row r="518" spans="1:6" ht="14.25">
      <c r="A518" s="4392">
        <v>5.3</v>
      </c>
      <c r="B518" s="4230" t="s">
        <v>1548</v>
      </c>
      <c r="C518" s="4231">
        <v>201.45</v>
      </c>
      <c r="D518" s="4249" t="s">
        <v>1</v>
      </c>
      <c r="E518" s="4233">
        <v>107.14</v>
      </c>
      <c r="F518" s="4233">
        <f t="shared" si="8"/>
        <v>21583.35</v>
      </c>
    </row>
    <row r="519" spans="1:6" ht="14.25">
      <c r="A519" s="4392">
        <v>5.4</v>
      </c>
      <c r="B519" s="4230" t="s">
        <v>2562</v>
      </c>
      <c r="C519" s="4233">
        <v>61.58</v>
      </c>
      <c r="D519" s="4249" t="s">
        <v>2432</v>
      </c>
      <c r="E519" s="4233">
        <v>847.32</v>
      </c>
      <c r="F519" s="4233">
        <f t="shared" si="8"/>
        <v>52177.97</v>
      </c>
    </row>
    <row r="520" spans="1:6" ht="14.25">
      <c r="A520" s="4392">
        <v>5.5</v>
      </c>
      <c r="B520" s="4230" t="s">
        <v>3636</v>
      </c>
      <c r="C520" s="4231">
        <v>46.2</v>
      </c>
      <c r="D520" s="4249" t="s">
        <v>2432</v>
      </c>
      <c r="E520" s="4233">
        <v>1427.44</v>
      </c>
      <c r="F520" s="4233">
        <f t="shared" si="8"/>
        <v>65947.73</v>
      </c>
    </row>
    <row r="521" spans="1:6" ht="14.25">
      <c r="A521" s="4392">
        <v>5.6</v>
      </c>
      <c r="B521" s="4230" t="s">
        <v>2397</v>
      </c>
      <c r="C521" s="4231">
        <v>86.58</v>
      </c>
      <c r="D521" s="4249" t="s">
        <v>2432</v>
      </c>
      <c r="E521" s="4233">
        <v>565.92999999999995</v>
      </c>
      <c r="F521" s="4233">
        <f t="shared" si="8"/>
        <v>48998.22</v>
      </c>
    </row>
    <row r="522" spans="1:6" ht="14.25">
      <c r="A522" s="4392">
        <v>5.7</v>
      </c>
      <c r="B522" s="4230" t="s">
        <v>2406</v>
      </c>
      <c r="C522" s="4231">
        <v>54.95</v>
      </c>
      <c r="D522" s="4249" t="s">
        <v>1</v>
      </c>
      <c r="E522" s="4233">
        <v>234.41</v>
      </c>
      <c r="F522" s="4233">
        <f t="shared" si="8"/>
        <v>12880.83</v>
      </c>
    </row>
    <row r="523" spans="1:6" ht="14.25">
      <c r="A523" s="4392">
        <v>5.8</v>
      </c>
      <c r="B523" s="4230" t="s">
        <v>2407</v>
      </c>
      <c r="C523" s="4231">
        <v>38.1</v>
      </c>
      <c r="D523" s="4249" t="s">
        <v>2432</v>
      </c>
      <c r="E523" s="4233">
        <v>941.58</v>
      </c>
      <c r="F523" s="4233">
        <f t="shared" si="8"/>
        <v>35874.199999999997</v>
      </c>
    </row>
    <row r="524" spans="1:6" ht="14.25">
      <c r="A524" s="4392">
        <v>5.9</v>
      </c>
      <c r="B524" s="4230" t="s">
        <v>2408</v>
      </c>
      <c r="C524" s="4231">
        <v>334.81</v>
      </c>
      <c r="D524" s="4249" t="s">
        <v>2432</v>
      </c>
      <c r="E524" s="4233">
        <v>132.63999999999999</v>
      </c>
      <c r="F524" s="4233">
        <f t="shared" ref="F524:F532" si="21">IF(C524&gt;0,(ROUND((E524*C524),2))," ")</f>
        <v>44409.2</v>
      </c>
    </row>
    <row r="525" spans="1:6" ht="14.25">
      <c r="A525" s="4388">
        <v>5.0999999999999996</v>
      </c>
      <c r="B525" s="4184" t="s">
        <v>3526</v>
      </c>
      <c r="C525" s="4175">
        <v>20.100000000000001</v>
      </c>
      <c r="D525" s="4516" t="s">
        <v>1</v>
      </c>
      <c r="E525" s="4233">
        <v>134</v>
      </c>
      <c r="F525" s="4233">
        <f t="shared" si="21"/>
        <v>2693.4</v>
      </c>
    </row>
    <row r="526" spans="1:6" ht="14.25">
      <c r="A526" s="4388"/>
      <c r="B526" s="4230"/>
      <c r="C526" s="4231"/>
      <c r="D526" s="4249"/>
      <c r="E526" s="4233"/>
      <c r="F526" s="4233" t="str">
        <f t="shared" si="21"/>
        <v xml:space="preserve"> </v>
      </c>
    </row>
    <row r="527" spans="1:6" ht="15">
      <c r="A527" s="4389">
        <v>6</v>
      </c>
      <c r="B527" s="4343" t="s">
        <v>909</v>
      </c>
      <c r="C527" s="4231"/>
      <c r="D527" s="4249"/>
      <c r="E527" s="4233"/>
      <c r="F527" s="4233" t="str">
        <f t="shared" si="21"/>
        <v xml:space="preserve"> </v>
      </c>
    </row>
    <row r="528" spans="1:6" ht="14.25">
      <c r="A528" s="4392">
        <v>6.1</v>
      </c>
      <c r="B528" s="4230" t="s">
        <v>2935</v>
      </c>
      <c r="C528" s="4231">
        <v>6</v>
      </c>
      <c r="D528" s="4249" t="s">
        <v>2433</v>
      </c>
      <c r="E528" s="4233">
        <v>7500</v>
      </c>
      <c r="F528" s="4233">
        <f>IF(C528&gt;0,(ROUND((E528*C528),2))," ")</f>
        <v>45000</v>
      </c>
    </row>
    <row r="529" spans="1:7" ht="14.25">
      <c r="A529" s="4388"/>
      <c r="B529" s="4230"/>
      <c r="C529" s="4231"/>
      <c r="D529" s="4249"/>
      <c r="E529" s="4233"/>
      <c r="F529" s="4233" t="str">
        <f t="shared" si="21"/>
        <v xml:space="preserve"> </v>
      </c>
    </row>
    <row r="530" spans="1:7" ht="15">
      <c r="A530" s="4389">
        <v>7</v>
      </c>
      <c r="B530" s="4343" t="s">
        <v>910</v>
      </c>
      <c r="C530" s="4231"/>
      <c r="D530" s="4249"/>
      <c r="E530" s="4233"/>
      <c r="F530" s="4233" t="str">
        <f t="shared" si="21"/>
        <v xml:space="preserve"> </v>
      </c>
    </row>
    <row r="531" spans="1:7" ht="14.25">
      <c r="A531" s="4392">
        <v>7.1</v>
      </c>
      <c r="B531" s="4230" t="s">
        <v>2418</v>
      </c>
      <c r="C531" s="4231">
        <v>80.48</v>
      </c>
      <c r="D531" s="4249" t="s">
        <v>2601</v>
      </c>
      <c r="E531" s="4233">
        <v>493.93</v>
      </c>
      <c r="F531" s="4233">
        <f>IF(C531&gt;0,(ROUND((E531*C531),2))," ")</f>
        <v>39751.49</v>
      </c>
    </row>
    <row r="532" spans="1:7" ht="14.25">
      <c r="A532" s="4388"/>
      <c r="B532" s="4230"/>
      <c r="C532" s="4231"/>
      <c r="D532" s="4249"/>
      <c r="E532" s="4233"/>
      <c r="F532" s="4233" t="str">
        <f t="shared" si="21"/>
        <v xml:space="preserve"> </v>
      </c>
    </row>
    <row r="533" spans="1:7" ht="15">
      <c r="A533" s="4389">
        <v>8</v>
      </c>
      <c r="B533" s="4343" t="s">
        <v>904</v>
      </c>
      <c r="C533" s="4231"/>
      <c r="D533" s="4249"/>
      <c r="E533" s="4233"/>
      <c r="F533" s="4233" t="str">
        <f>IF(C533&gt;0,(ROUND((E533*C533),2))," ")</f>
        <v xml:space="preserve"> </v>
      </c>
    </row>
    <row r="534" spans="1:7" ht="14.25">
      <c r="A534" s="4392">
        <v>8.1</v>
      </c>
      <c r="B534" s="4230" t="s">
        <v>2417</v>
      </c>
      <c r="C534" s="4231">
        <v>8</v>
      </c>
      <c r="D534" s="4249" t="s">
        <v>2433</v>
      </c>
      <c r="E534" s="4233">
        <v>1153.96</v>
      </c>
      <c r="F534" s="4233">
        <f>IF(C534&gt;0,(ROUND((E534*C534),2))," ")</f>
        <v>9231.68</v>
      </c>
    </row>
    <row r="535" spans="1:7" ht="14.25">
      <c r="A535" s="4392">
        <v>8.1999999999999993</v>
      </c>
      <c r="B535" s="4230" t="s">
        <v>2520</v>
      </c>
      <c r="C535" s="4231">
        <v>10</v>
      </c>
      <c r="D535" s="4249" t="s">
        <v>2433</v>
      </c>
      <c r="E535" s="4233">
        <v>1400.82</v>
      </c>
      <c r="F535" s="4233">
        <f>IF(C535&gt;0,(ROUND((E535*C535),2))," ")</f>
        <v>14008.2</v>
      </c>
    </row>
    <row r="536" spans="1:7" ht="14.25">
      <c r="A536" s="4392">
        <v>8.3000000000000007</v>
      </c>
      <c r="B536" s="4230" t="s">
        <v>2521</v>
      </c>
      <c r="C536" s="4231">
        <v>8</v>
      </c>
      <c r="D536" s="4249" t="s">
        <v>2433</v>
      </c>
      <c r="E536" s="4233">
        <v>1189.7</v>
      </c>
      <c r="F536" s="4233">
        <f>IF(C536&gt;0,(ROUND((E536*C536),2))," ")</f>
        <v>9517.6</v>
      </c>
    </row>
    <row r="537" spans="1:7" ht="14.25">
      <c r="A537" s="4392">
        <v>8.4</v>
      </c>
      <c r="B537" s="4230" t="s">
        <v>2522</v>
      </c>
      <c r="C537" s="4231">
        <v>1</v>
      </c>
      <c r="D537" s="4249" t="s">
        <v>2433</v>
      </c>
      <c r="E537" s="4233">
        <v>6078.74</v>
      </c>
      <c r="F537" s="4233">
        <f>IF(C537&gt;0,(ROUND((E537*C537),2))," ")</f>
        <v>6078.74</v>
      </c>
    </row>
    <row r="538" spans="1:7" ht="14.25">
      <c r="A538" s="4392"/>
      <c r="B538" s="4230"/>
      <c r="C538" s="4231"/>
      <c r="D538" s="4249"/>
      <c r="E538" s="4233"/>
      <c r="F538" s="4233"/>
    </row>
    <row r="539" spans="1:7" ht="15">
      <c r="A539" s="4389">
        <v>9</v>
      </c>
      <c r="B539" s="4343" t="s">
        <v>892</v>
      </c>
      <c r="C539" s="4231"/>
      <c r="D539" s="4249"/>
      <c r="E539" s="4233"/>
      <c r="F539" s="4233" t="str">
        <f t="shared" ref="F539:F550" si="22">IF(C539&gt;0,(ROUND((E539*C539),2))," ")</f>
        <v xml:space="preserve"> </v>
      </c>
    </row>
    <row r="540" spans="1:7" s="4234" customFormat="1" ht="14.25">
      <c r="A540" s="4392">
        <v>9.1</v>
      </c>
      <c r="B540" s="4230" t="s">
        <v>2409</v>
      </c>
      <c r="C540" s="4231">
        <v>1</v>
      </c>
      <c r="D540" s="4249" t="s">
        <v>2433</v>
      </c>
      <c r="E540" s="4233">
        <v>4147.5</v>
      </c>
      <c r="F540" s="4233">
        <f t="shared" si="22"/>
        <v>4147.5</v>
      </c>
      <c r="G540" s="3557"/>
    </row>
    <row r="541" spans="1:7" s="4234" customFormat="1" ht="14.25">
      <c r="A541" s="4392">
        <v>9.1999999999999993</v>
      </c>
      <c r="B541" s="4230" t="s">
        <v>2410</v>
      </c>
      <c r="C541" s="4231">
        <v>1</v>
      </c>
      <c r="D541" s="4249" t="s">
        <v>2433</v>
      </c>
      <c r="E541" s="4233">
        <v>10007.26</v>
      </c>
      <c r="F541" s="4233">
        <f t="shared" si="22"/>
        <v>10007.26</v>
      </c>
      <c r="G541" s="3557"/>
    </row>
    <row r="542" spans="1:7" s="4234" customFormat="1" ht="14.25">
      <c r="A542" s="4392">
        <v>9.3000000000000007</v>
      </c>
      <c r="B542" s="4230" t="s">
        <v>2411</v>
      </c>
      <c r="C542" s="4231">
        <v>1</v>
      </c>
      <c r="D542" s="4249" t="s">
        <v>2433</v>
      </c>
      <c r="E542" s="4233">
        <v>8465.98</v>
      </c>
      <c r="F542" s="4233">
        <f t="shared" si="22"/>
        <v>8465.98</v>
      </c>
      <c r="G542" s="3557"/>
    </row>
    <row r="543" spans="1:7" s="4234" customFormat="1" ht="14.25">
      <c r="A543" s="4392">
        <v>9.4</v>
      </c>
      <c r="B543" s="4230" t="s">
        <v>2412</v>
      </c>
      <c r="C543" s="4231">
        <v>1</v>
      </c>
      <c r="D543" s="4249" t="s">
        <v>2433</v>
      </c>
      <c r="E543" s="4233">
        <v>372.35</v>
      </c>
      <c r="F543" s="4233">
        <f t="shared" si="22"/>
        <v>372.35</v>
      </c>
      <c r="G543" s="3557"/>
    </row>
    <row r="544" spans="1:7" s="4234" customFormat="1" ht="14.25">
      <c r="A544" s="4392">
        <v>9.5</v>
      </c>
      <c r="B544" s="4230" t="s">
        <v>2413</v>
      </c>
      <c r="C544" s="4231">
        <v>1</v>
      </c>
      <c r="D544" s="4249" t="s">
        <v>2433</v>
      </c>
      <c r="E544" s="4233">
        <v>501.51</v>
      </c>
      <c r="F544" s="4233">
        <f t="shared" si="22"/>
        <v>501.51</v>
      </c>
      <c r="G544" s="3557"/>
    </row>
    <row r="545" spans="1:7" s="4234" customFormat="1" ht="14.25">
      <c r="A545" s="4392">
        <v>9.6</v>
      </c>
      <c r="B545" s="4230" t="s">
        <v>2414</v>
      </c>
      <c r="C545" s="4231">
        <v>1</v>
      </c>
      <c r="D545" s="4249" t="s">
        <v>2433</v>
      </c>
      <c r="E545" s="4233">
        <v>2212.15</v>
      </c>
      <c r="F545" s="4233">
        <f t="shared" si="22"/>
        <v>2212.15</v>
      </c>
      <c r="G545" s="3557"/>
    </row>
    <row r="546" spans="1:7" ht="14.25">
      <c r="A546" s="4392">
        <v>9.6999999999999993</v>
      </c>
      <c r="B546" s="4212" t="s">
        <v>3530</v>
      </c>
      <c r="C546" s="4231">
        <v>3</v>
      </c>
      <c r="D546" s="4249" t="s">
        <v>2433</v>
      </c>
      <c r="E546" s="4233">
        <v>2471.14</v>
      </c>
      <c r="F546" s="4233">
        <f t="shared" si="22"/>
        <v>7413.42</v>
      </c>
    </row>
    <row r="547" spans="1:7" s="4234" customFormat="1" ht="14.25">
      <c r="A547" s="4392">
        <v>9.8000000000000007</v>
      </c>
      <c r="B547" s="4230" t="s">
        <v>3028</v>
      </c>
      <c r="C547" s="4231">
        <v>1</v>
      </c>
      <c r="D547" s="4249" t="s">
        <v>2433</v>
      </c>
      <c r="E547" s="4233">
        <v>6630.19</v>
      </c>
      <c r="F547" s="4233">
        <f t="shared" si="22"/>
        <v>6630.19</v>
      </c>
      <c r="G547" s="3557"/>
    </row>
    <row r="548" spans="1:7" s="4236" customFormat="1" ht="14.25">
      <c r="A548" s="4392">
        <v>9.9</v>
      </c>
      <c r="B548" s="4230" t="s">
        <v>2376</v>
      </c>
      <c r="C548" s="4231">
        <v>3</v>
      </c>
      <c r="D548" s="4249" t="s">
        <v>2433</v>
      </c>
      <c r="E548" s="4233">
        <v>3748.47</v>
      </c>
      <c r="F548" s="4233">
        <f t="shared" si="22"/>
        <v>11245.41</v>
      </c>
      <c r="G548" s="3557"/>
    </row>
    <row r="549" spans="1:7" s="4236" customFormat="1" ht="14.25">
      <c r="A549" s="4388">
        <v>9.1</v>
      </c>
      <c r="B549" s="4230" t="s">
        <v>2415</v>
      </c>
      <c r="C549" s="4231">
        <v>1</v>
      </c>
      <c r="D549" s="4249" t="s">
        <v>2433</v>
      </c>
      <c r="E549" s="4233">
        <v>14230.08</v>
      </c>
      <c r="F549" s="4233">
        <f t="shared" si="22"/>
        <v>14230.08</v>
      </c>
      <c r="G549" s="3557"/>
    </row>
    <row r="550" spans="1:7" s="4234" customFormat="1" ht="14.25">
      <c r="A550" s="4388">
        <v>9.11</v>
      </c>
      <c r="B550" s="4230" t="s">
        <v>2416</v>
      </c>
      <c r="C550" s="4231">
        <v>1</v>
      </c>
      <c r="D550" s="4249" t="s">
        <v>42</v>
      </c>
      <c r="E550" s="4233">
        <v>8400</v>
      </c>
      <c r="F550" s="4233">
        <f t="shared" si="22"/>
        <v>8400</v>
      </c>
      <c r="G550" s="3557"/>
    </row>
    <row r="551" spans="1:7" s="4325" customFormat="1" ht="14.25">
      <c r="A551" s="4324">
        <v>9.1199999999999992</v>
      </c>
      <c r="B551" s="4212" t="s">
        <v>3637</v>
      </c>
      <c r="C551" s="4191">
        <v>1</v>
      </c>
      <c r="D551" s="4194" t="s">
        <v>2433</v>
      </c>
      <c r="E551" s="4210">
        <v>5936.44</v>
      </c>
      <c r="F551" s="4226">
        <f t="shared" ref="F551" si="23">ROUND(C551*E551,2)</f>
        <v>5936.44</v>
      </c>
      <c r="G551" s="3557"/>
    </row>
    <row r="552" spans="1:7" s="4325" customFormat="1" ht="14.25">
      <c r="A552" s="4324"/>
      <c r="B552" s="4212"/>
      <c r="C552" s="4191"/>
      <c r="D552" s="4194"/>
      <c r="E552" s="4210"/>
      <c r="F552" s="4226"/>
      <c r="G552" s="3557"/>
    </row>
    <row r="553" spans="1:7" s="4260" customFormat="1" ht="15">
      <c r="A553" s="4389">
        <v>14</v>
      </c>
      <c r="B553" s="4343" t="s">
        <v>3873</v>
      </c>
      <c r="C553" s="4257"/>
      <c r="D553" s="4270"/>
      <c r="E553" s="4258"/>
      <c r="F553" s="4258" t="str">
        <f t="shared" ref="F553:F592" si="24">IF(C553&gt;0,(ROUND((E553*C553),2))," ")</f>
        <v xml:space="preserve"> </v>
      </c>
      <c r="G553" s="3557"/>
    </row>
    <row r="554" spans="1:7" s="4260" customFormat="1" ht="14.25">
      <c r="A554" s="4392">
        <v>14.1</v>
      </c>
      <c r="B554" s="4230" t="s">
        <v>3510</v>
      </c>
      <c r="C554" s="4231">
        <v>1</v>
      </c>
      <c r="D554" s="4249" t="s">
        <v>42</v>
      </c>
      <c r="E554" s="4233">
        <v>1000</v>
      </c>
      <c r="F554" s="4233">
        <f t="shared" si="24"/>
        <v>1000</v>
      </c>
      <c r="G554" s="3557"/>
    </row>
    <row r="555" spans="1:7" s="4260" customFormat="1" ht="15">
      <c r="A555" s="4393"/>
      <c r="B555" s="4398"/>
      <c r="C555" s="4257"/>
      <c r="D555" s="4270"/>
      <c r="E555" s="4258"/>
      <c r="F555" s="4258" t="str">
        <f t="shared" si="24"/>
        <v xml:space="preserve"> </v>
      </c>
      <c r="G555" s="3557"/>
    </row>
    <row r="556" spans="1:7" s="4236" customFormat="1" ht="25.5">
      <c r="A556" s="4390">
        <v>14.2</v>
      </c>
      <c r="B556" s="4342" t="s">
        <v>3835</v>
      </c>
      <c r="C556" s="4231">
        <v>1</v>
      </c>
      <c r="D556" s="4249" t="s">
        <v>42</v>
      </c>
      <c r="E556" s="4233">
        <v>3500</v>
      </c>
      <c r="F556" s="4233">
        <f t="shared" si="24"/>
        <v>3500</v>
      </c>
      <c r="G556" s="3557"/>
    </row>
    <row r="557" spans="1:7" s="4236" customFormat="1" ht="15">
      <c r="A557" s="4393"/>
      <c r="B557" s="4398"/>
      <c r="C557" s="4231"/>
      <c r="D557" s="4249"/>
      <c r="E557" s="4233"/>
      <c r="F557" s="4233" t="str">
        <f t="shared" si="24"/>
        <v xml:space="preserve"> </v>
      </c>
      <c r="G557" s="3557"/>
    </row>
    <row r="558" spans="1:7" s="4236" customFormat="1" ht="15">
      <c r="A558" s="4390">
        <v>14.3</v>
      </c>
      <c r="B558" s="4343" t="s">
        <v>3511</v>
      </c>
      <c r="C558" s="4231"/>
      <c r="D558" s="4249"/>
      <c r="E558" s="4233"/>
      <c r="F558" s="4233" t="str">
        <f t="shared" si="24"/>
        <v xml:space="preserve"> </v>
      </c>
      <c r="G558" s="3557"/>
    </row>
    <row r="559" spans="1:7" s="4236" customFormat="1" ht="14.25">
      <c r="A559" s="4388" t="s">
        <v>3874</v>
      </c>
      <c r="B559" s="4230" t="s">
        <v>3608</v>
      </c>
      <c r="C559" s="4231">
        <v>43.34</v>
      </c>
      <c r="D559" s="4249" t="s">
        <v>1</v>
      </c>
      <c r="E559" s="4233">
        <v>70.06</v>
      </c>
      <c r="F559" s="4233">
        <f t="shared" si="24"/>
        <v>3036.4</v>
      </c>
      <c r="G559" s="3557"/>
    </row>
    <row r="560" spans="1:7" s="4236" customFormat="1" ht="15">
      <c r="A560" s="4467"/>
      <c r="B560" s="4478"/>
      <c r="C560" s="4464"/>
      <c r="D560" s="4465"/>
      <c r="E560" s="4466"/>
      <c r="F560" s="4466" t="str">
        <f t="shared" si="24"/>
        <v xml:space="preserve"> </v>
      </c>
      <c r="G560" s="3557"/>
    </row>
    <row r="561" spans="1:7" s="4236" customFormat="1" ht="15">
      <c r="A561" s="4390">
        <v>14.4</v>
      </c>
      <c r="B561" s="4343" t="s">
        <v>3512</v>
      </c>
      <c r="C561" s="4231"/>
      <c r="D561" s="4249"/>
      <c r="E561" s="4233"/>
      <c r="F561" s="4233" t="str">
        <f t="shared" si="24"/>
        <v xml:space="preserve"> </v>
      </c>
      <c r="G561" s="3557"/>
    </row>
    <row r="562" spans="1:7" s="4236" customFormat="1" ht="14.25">
      <c r="A562" s="4388" t="s">
        <v>3875</v>
      </c>
      <c r="B562" s="4230" t="s">
        <v>3638</v>
      </c>
      <c r="C562" s="4231">
        <v>42.08</v>
      </c>
      <c r="D562" s="4249" t="s">
        <v>1</v>
      </c>
      <c r="E562" s="4233">
        <v>15.71</v>
      </c>
      <c r="F562" s="4233">
        <f t="shared" si="24"/>
        <v>661.08</v>
      </c>
      <c r="G562" s="3557"/>
    </row>
    <row r="563" spans="1:7" s="4236" customFormat="1" ht="15">
      <c r="A563" s="4393"/>
      <c r="B563" s="4343"/>
      <c r="C563" s="4231"/>
      <c r="D563" s="4249"/>
      <c r="E563" s="4233"/>
      <c r="F563" s="4233" t="str">
        <f t="shared" si="24"/>
        <v xml:space="preserve"> </v>
      </c>
      <c r="G563" s="3557"/>
    </row>
    <row r="564" spans="1:7" s="4236" customFormat="1" ht="15">
      <c r="A564" s="4390">
        <v>14.5</v>
      </c>
      <c r="B564" s="4343" t="s">
        <v>3513</v>
      </c>
      <c r="C564" s="4231"/>
      <c r="D564" s="4249"/>
      <c r="E564" s="4233"/>
      <c r="F564" s="4233" t="str">
        <f t="shared" si="24"/>
        <v xml:space="preserve"> </v>
      </c>
      <c r="G564" s="3557"/>
    </row>
    <row r="565" spans="1:7" s="4236" customFormat="1" ht="14.25">
      <c r="A565" s="4388" t="s">
        <v>3876</v>
      </c>
      <c r="B565" s="4230" t="s">
        <v>3639</v>
      </c>
      <c r="C565" s="4231">
        <v>8</v>
      </c>
      <c r="D565" s="4249" t="s">
        <v>2433</v>
      </c>
      <c r="E565" s="4233">
        <v>27.23</v>
      </c>
      <c r="F565" s="4233">
        <f t="shared" si="24"/>
        <v>217.84</v>
      </c>
      <c r="G565" s="3557"/>
    </row>
    <row r="566" spans="1:7" s="4236" customFormat="1" ht="14.25">
      <c r="A566" s="4388" t="s">
        <v>3877</v>
      </c>
      <c r="B566" s="4230" t="s">
        <v>3640</v>
      </c>
      <c r="C566" s="4231">
        <v>2</v>
      </c>
      <c r="D566" s="4249" t="s">
        <v>2433</v>
      </c>
      <c r="E566" s="4233">
        <v>33</v>
      </c>
      <c r="F566" s="4233">
        <f t="shared" si="24"/>
        <v>66</v>
      </c>
      <c r="G566" s="3557"/>
    </row>
    <row r="567" spans="1:7" s="4236" customFormat="1" ht="14.25">
      <c r="A567" s="4388" t="s">
        <v>3878</v>
      </c>
      <c r="B567" s="4230" t="s">
        <v>3641</v>
      </c>
      <c r="C567" s="4231">
        <v>3</v>
      </c>
      <c r="D567" s="4249" t="s">
        <v>2433</v>
      </c>
      <c r="E567" s="4233">
        <v>38.840000000000003</v>
      </c>
      <c r="F567" s="4233">
        <f t="shared" si="24"/>
        <v>116.52</v>
      </c>
      <c r="G567" s="3557"/>
    </row>
    <row r="568" spans="1:7" s="4236" customFormat="1" ht="14.25">
      <c r="A568" s="4388" t="s">
        <v>3879</v>
      </c>
      <c r="B568" s="4230" t="s">
        <v>3514</v>
      </c>
      <c r="C568" s="4231">
        <v>1</v>
      </c>
      <c r="D568" s="4249" t="s">
        <v>42</v>
      </c>
      <c r="E568" s="4233">
        <v>700</v>
      </c>
      <c r="F568" s="4233">
        <f t="shared" si="24"/>
        <v>700</v>
      </c>
      <c r="G568" s="3557"/>
    </row>
    <row r="569" spans="1:7" s="4260" customFormat="1" ht="15">
      <c r="A569" s="4401"/>
      <c r="B569" s="4250"/>
      <c r="C569" s="4257"/>
      <c r="D569" s="4270"/>
      <c r="E569" s="4258"/>
      <c r="F569" s="4233" t="str">
        <f t="shared" si="24"/>
        <v xml:space="preserve"> </v>
      </c>
      <c r="G569" s="3557"/>
    </row>
    <row r="570" spans="1:7" s="4236" customFormat="1" ht="15">
      <c r="A570" s="4390">
        <v>14.6</v>
      </c>
      <c r="B570" s="4343" t="s">
        <v>3537</v>
      </c>
      <c r="C570" s="4231"/>
      <c r="D570" s="4249"/>
      <c r="E570" s="4233"/>
      <c r="F570" s="4233" t="str">
        <f t="shared" si="24"/>
        <v xml:space="preserve"> </v>
      </c>
      <c r="G570" s="3557"/>
    </row>
    <row r="571" spans="1:7" s="4236" customFormat="1" ht="14.25">
      <c r="A571" s="4388" t="s">
        <v>3880</v>
      </c>
      <c r="B571" s="4402" t="s">
        <v>3510</v>
      </c>
      <c r="C571" s="4231">
        <v>22.68</v>
      </c>
      <c r="D571" s="4249" t="s">
        <v>1</v>
      </c>
      <c r="E571" s="4233">
        <v>75</v>
      </c>
      <c r="F571" s="4233">
        <f t="shared" si="24"/>
        <v>1701</v>
      </c>
      <c r="G571" s="3557"/>
    </row>
    <row r="572" spans="1:7" s="4259" customFormat="1" ht="15">
      <c r="A572" s="4401"/>
      <c r="B572" s="4250"/>
      <c r="C572" s="4231"/>
      <c r="D572" s="4249"/>
      <c r="E572" s="4233"/>
      <c r="F572" s="4233" t="str">
        <f t="shared" si="24"/>
        <v xml:space="preserve"> </v>
      </c>
      <c r="G572" s="3557"/>
    </row>
    <row r="573" spans="1:7" s="4234" customFormat="1" ht="25.5">
      <c r="A573" s="4393" t="s">
        <v>3881</v>
      </c>
      <c r="B573" s="4342" t="s">
        <v>3835</v>
      </c>
      <c r="C573" s="4231">
        <v>1</v>
      </c>
      <c r="D573" s="4249" t="s">
        <v>42</v>
      </c>
      <c r="E573" s="4233">
        <v>3000</v>
      </c>
      <c r="F573" s="4233">
        <f t="shared" si="24"/>
        <v>3000</v>
      </c>
      <c r="G573" s="3557"/>
    </row>
    <row r="574" spans="1:7" s="4234" customFormat="1" ht="15">
      <c r="A574" s="4393"/>
      <c r="B574" s="4398"/>
      <c r="C574" s="4231"/>
      <c r="D574" s="4249"/>
      <c r="E574" s="4233"/>
      <c r="F574" s="4233" t="str">
        <f t="shared" si="24"/>
        <v xml:space="preserve"> </v>
      </c>
      <c r="G574" s="3557"/>
    </row>
    <row r="575" spans="1:7" s="4234" customFormat="1" ht="15">
      <c r="A575" s="4393" t="s">
        <v>3882</v>
      </c>
      <c r="B575" s="4343" t="s">
        <v>3511</v>
      </c>
      <c r="C575" s="4231"/>
      <c r="D575" s="4249"/>
      <c r="E575" s="4233"/>
      <c r="F575" s="4233" t="str">
        <f t="shared" si="24"/>
        <v xml:space="preserve"> </v>
      </c>
      <c r="G575" s="3557"/>
    </row>
    <row r="576" spans="1:7" s="4234" customFormat="1" ht="14.25">
      <c r="A576" s="4388" t="s">
        <v>3883</v>
      </c>
      <c r="B576" s="4402" t="s">
        <v>3642</v>
      </c>
      <c r="C576" s="4231">
        <v>7.62</v>
      </c>
      <c r="D576" s="4249" t="s">
        <v>1</v>
      </c>
      <c r="E576" s="4223">
        <v>124.11</v>
      </c>
      <c r="F576" s="4233">
        <f t="shared" si="24"/>
        <v>945.72</v>
      </c>
      <c r="G576" s="3557"/>
    </row>
    <row r="577" spans="1:7" s="4234" customFormat="1" ht="14.25">
      <c r="A577" s="4388" t="s">
        <v>3884</v>
      </c>
      <c r="B577" s="4402" t="s">
        <v>3611</v>
      </c>
      <c r="C577" s="4231">
        <v>1.8</v>
      </c>
      <c r="D577" s="4249" t="s">
        <v>1</v>
      </c>
      <c r="E577" s="4223">
        <v>197.75</v>
      </c>
      <c r="F577" s="4233">
        <f t="shared" si="24"/>
        <v>355.95</v>
      </c>
      <c r="G577" s="3557"/>
    </row>
    <row r="578" spans="1:7" s="4234" customFormat="1" ht="14.25">
      <c r="A578" s="4388" t="s">
        <v>3885</v>
      </c>
      <c r="B578" s="4402" t="s">
        <v>3610</v>
      </c>
      <c r="C578" s="4231">
        <v>14.07</v>
      </c>
      <c r="D578" s="4249" t="s">
        <v>1</v>
      </c>
      <c r="E578" s="4223">
        <v>692.39</v>
      </c>
      <c r="F578" s="4233">
        <f t="shared" si="24"/>
        <v>9741.93</v>
      </c>
      <c r="G578" s="3557"/>
    </row>
    <row r="579" spans="1:7" s="4234" customFormat="1" ht="15">
      <c r="A579" s="4393"/>
      <c r="B579" s="4398"/>
      <c r="C579" s="4231"/>
      <c r="D579" s="4249"/>
      <c r="E579" s="4223"/>
      <c r="F579" s="4233" t="str">
        <f t="shared" si="24"/>
        <v xml:space="preserve"> </v>
      </c>
      <c r="G579" s="3557"/>
    </row>
    <row r="580" spans="1:7" s="4234" customFormat="1" ht="15">
      <c r="A580" s="4393" t="s">
        <v>3886</v>
      </c>
      <c r="B580" s="4343" t="s">
        <v>3512</v>
      </c>
      <c r="C580" s="4231"/>
      <c r="D580" s="4249"/>
      <c r="E580" s="4223"/>
      <c r="F580" s="4233" t="str">
        <f t="shared" si="24"/>
        <v xml:space="preserve"> </v>
      </c>
      <c r="G580" s="3557"/>
    </row>
    <row r="581" spans="1:7" s="4234" customFormat="1" ht="14.25">
      <c r="A581" s="4388" t="s">
        <v>3887</v>
      </c>
      <c r="B581" s="4402" t="s">
        <v>3643</v>
      </c>
      <c r="C581" s="4231">
        <v>7.4</v>
      </c>
      <c r="D581" s="4249" t="s">
        <v>1</v>
      </c>
      <c r="E581" s="4223">
        <v>19.64</v>
      </c>
      <c r="F581" s="4233">
        <f t="shared" si="24"/>
        <v>145.34</v>
      </c>
      <c r="G581" s="3557"/>
    </row>
    <row r="582" spans="1:7" s="4234" customFormat="1" ht="14.25">
      <c r="A582" s="4388" t="s">
        <v>3888</v>
      </c>
      <c r="B582" s="4402" t="s">
        <v>3612</v>
      </c>
      <c r="C582" s="4231">
        <v>1.75</v>
      </c>
      <c r="D582" s="4249" t="s">
        <v>1</v>
      </c>
      <c r="E582" s="4223">
        <v>19.64</v>
      </c>
      <c r="F582" s="4233">
        <f t="shared" si="24"/>
        <v>34.369999999999997</v>
      </c>
      <c r="G582" s="3557"/>
    </row>
    <row r="583" spans="1:7" s="4234" customFormat="1" ht="14.25">
      <c r="A583" s="4388" t="s">
        <v>3889</v>
      </c>
      <c r="B583" s="4402" t="s">
        <v>3613</v>
      </c>
      <c r="C583" s="4231">
        <v>13.53</v>
      </c>
      <c r="D583" s="4249" t="s">
        <v>1</v>
      </c>
      <c r="E583" s="4223">
        <v>32.270000000000003</v>
      </c>
      <c r="F583" s="4233">
        <f t="shared" si="24"/>
        <v>436.61</v>
      </c>
      <c r="G583" s="3557"/>
    </row>
    <row r="584" spans="1:7" s="4234" customFormat="1" ht="15">
      <c r="A584" s="4393"/>
      <c r="B584" s="4398"/>
      <c r="C584" s="4231"/>
      <c r="D584" s="4249"/>
      <c r="E584" s="4223"/>
      <c r="F584" s="4233" t="str">
        <f t="shared" si="24"/>
        <v xml:space="preserve"> </v>
      </c>
      <c r="G584" s="3557"/>
    </row>
    <row r="585" spans="1:7" s="4234" customFormat="1" ht="15">
      <c r="A585" s="4393" t="s">
        <v>3890</v>
      </c>
      <c r="B585" s="4343" t="s">
        <v>3534</v>
      </c>
      <c r="C585" s="4231"/>
      <c r="D585" s="4249"/>
      <c r="E585" s="4223"/>
      <c r="F585" s="4233" t="str">
        <f t="shared" si="24"/>
        <v xml:space="preserve"> </v>
      </c>
      <c r="G585" s="3557"/>
    </row>
    <row r="586" spans="1:7" s="4234" customFormat="1" ht="14.25">
      <c r="A586" s="4388" t="s">
        <v>3891</v>
      </c>
      <c r="B586" s="4402" t="s">
        <v>3893</v>
      </c>
      <c r="C586" s="4231">
        <v>1</v>
      </c>
      <c r="D586" s="4249" t="s">
        <v>2433</v>
      </c>
      <c r="E586" s="4403">
        <v>32.39</v>
      </c>
      <c r="F586" s="4233">
        <f t="shared" si="24"/>
        <v>32.39</v>
      </c>
      <c r="G586" s="3557"/>
    </row>
    <row r="587" spans="1:7" s="4234" customFormat="1" ht="14.25">
      <c r="A587" s="4388" t="s">
        <v>3892</v>
      </c>
      <c r="B587" s="4402" t="s">
        <v>3894</v>
      </c>
      <c r="C587" s="4231">
        <v>2</v>
      </c>
      <c r="D587" s="4249" t="s">
        <v>2433</v>
      </c>
      <c r="E587" s="4403">
        <v>49.63</v>
      </c>
      <c r="F587" s="4233">
        <f t="shared" si="24"/>
        <v>99.26</v>
      </c>
      <c r="G587" s="3557"/>
    </row>
    <row r="588" spans="1:7" s="4234" customFormat="1" ht="14.25">
      <c r="A588" s="4388" t="s">
        <v>3898</v>
      </c>
      <c r="B588" s="4402" t="s">
        <v>3895</v>
      </c>
      <c r="C588" s="4231">
        <v>1</v>
      </c>
      <c r="D588" s="4249" t="s">
        <v>2433</v>
      </c>
      <c r="E588" s="4403">
        <v>232.26</v>
      </c>
      <c r="F588" s="4233">
        <f t="shared" si="24"/>
        <v>232.26</v>
      </c>
      <c r="G588" s="3557"/>
    </row>
    <row r="589" spans="1:7" s="4234" customFormat="1" ht="14.25">
      <c r="A589" s="4388" t="s">
        <v>3899</v>
      </c>
      <c r="B589" s="4402" t="s">
        <v>3896</v>
      </c>
      <c r="C589" s="4231">
        <v>2</v>
      </c>
      <c r="D589" s="4249" t="s">
        <v>2433</v>
      </c>
      <c r="E589" s="4403">
        <v>205.32</v>
      </c>
      <c r="F589" s="4233">
        <f t="shared" si="24"/>
        <v>410.64</v>
      </c>
      <c r="G589" s="3557"/>
    </row>
    <row r="590" spans="1:7" s="4234" customFormat="1" ht="14.25">
      <c r="A590" s="4388" t="s">
        <v>3900</v>
      </c>
      <c r="B590" s="4402" t="s">
        <v>3897</v>
      </c>
      <c r="C590" s="4231">
        <v>1</v>
      </c>
      <c r="D590" s="4249" t="s">
        <v>42</v>
      </c>
      <c r="E590" s="4403">
        <v>500</v>
      </c>
      <c r="F590" s="4233">
        <f t="shared" si="24"/>
        <v>500</v>
      </c>
      <c r="G590" s="3557"/>
    </row>
    <row r="591" spans="1:7" s="4234" customFormat="1" ht="14.25">
      <c r="A591" s="4388"/>
      <c r="B591" s="4402"/>
      <c r="C591" s="4231"/>
      <c r="D591" s="4249"/>
      <c r="E591" s="4403"/>
      <c r="F591" s="4233"/>
      <c r="G591" s="3557"/>
    </row>
    <row r="592" spans="1:7" s="4234" customFormat="1" ht="15">
      <c r="A592" s="4393">
        <v>14.7</v>
      </c>
      <c r="B592" s="4212" t="s">
        <v>3760</v>
      </c>
      <c r="C592" s="4231">
        <v>3</v>
      </c>
      <c r="D592" s="4249" t="s">
        <v>2433</v>
      </c>
      <c r="E592" s="4403">
        <v>4500</v>
      </c>
      <c r="F592" s="4233">
        <f t="shared" si="24"/>
        <v>13500</v>
      </c>
      <c r="G592" s="3557"/>
    </row>
    <row r="593" spans="1:7" s="4240" customFormat="1" ht="15">
      <c r="A593" s="4393"/>
      <c r="B593" s="3435"/>
      <c r="C593" s="4264"/>
      <c r="D593" s="4271"/>
      <c r="E593" s="4264"/>
      <c r="F593" s="4264"/>
      <c r="G593" s="3557"/>
    </row>
    <row r="594" spans="1:7" s="4222" customFormat="1" ht="15">
      <c r="A594" s="4404">
        <v>15</v>
      </c>
      <c r="B594" s="4343" t="s">
        <v>3120</v>
      </c>
      <c r="C594" s="4221"/>
      <c r="D594" s="4311"/>
      <c r="E594" s="4216"/>
      <c r="F594" s="4216" t="str">
        <f t="shared" ref="F594:F623" si="25">IF(C594&gt;0,(ROUND((E594*C594),2))," ")</f>
        <v xml:space="preserve"> </v>
      </c>
      <c r="G594" s="3557"/>
    </row>
    <row r="595" spans="1:7" ht="14.25" customHeight="1">
      <c r="A595" s="4392">
        <v>15.1</v>
      </c>
      <c r="B595" s="4230" t="s">
        <v>4028</v>
      </c>
      <c r="C595" s="4231">
        <v>12.24</v>
      </c>
      <c r="D595" s="4249" t="s">
        <v>2432</v>
      </c>
      <c r="E595" s="4233">
        <v>79.19</v>
      </c>
      <c r="F595" s="4233">
        <f>IF(C595&gt;0,(ROUND((E595*C595),2))," ")</f>
        <v>969.29</v>
      </c>
    </row>
    <row r="596" spans="1:7" ht="14.25" customHeight="1">
      <c r="A596" s="4388"/>
      <c r="B596" s="4230"/>
      <c r="C596" s="4231"/>
      <c r="D596" s="4249"/>
      <c r="E596" s="4233"/>
      <c r="F596" s="4233" t="str">
        <f t="shared" si="25"/>
        <v xml:space="preserve"> </v>
      </c>
    </row>
    <row r="597" spans="1:7" ht="15" customHeight="1">
      <c r="A597" s="4390">
        <v>15.2</v>
      </c>
      <c r="B597" s="4343" t="s">
        <v>38</v>
      </c>
      <c r="C597" s="4231"/>
      <c r="D597" s="4249"/>
      <c r="E597" s="4233"/>
      <c r="F597" s="4233" t="str">
        <f t="shared" si="25"/>
        <v xml:space="preserve"> </v>
      </c>
    </row>
    <row r="598" spans="1:7" ht="14.25" customHeight="1">
      <c r="A598" s="4388" t="s">
        <v>725</v>
      </c>
      <c r="B598" s="4248" t="s">
        <v>2403</v>
      </c>
      <c r="C598" s="4231">
        <v>27.3</v>
      </c>
      <c r="D598" s="4249" t="s">
        <v>2430</v>
      </c>
      <c r="E598" s="4233">
        <v>330.24</v>
      </c>
      <c r="F598" s="4233">
        <f t="shared" si="25"/>
        <v>9015.5499999999993</v>
      </c>
    </row>
    <row r="599" spans="1:7" ht="14.25" customHeight="1">
      <c r="A599" s="4388" t="s">
        <v>726</v>
      </c>
      <c r="B599" s="4248" t="s">
        <v>2399</v>
      </c>
      <c r="C599" s="4231">
        <v>7.96</v>
      </c>
      <c r="D599" s="4249" t="s">
        <v>2431</v>
      </c>
      <c r="E599" s="4233">
        <v>121.12</v>
      </c>
      <c r="F599" s="4233">
        <f t="shared" si="25"/>
        <v>964.12</v>
      </c>
    </row>
    <row r="600" spans="1:7" ht="31.5" customHeight="1">
      <c r="A600" s="4388" t="s">
        <v>727</v>
      </c>
      <c r="B600" s="4248" t="s">
        <v>3833</v>
      </c>
      <c r="C600" s="4231">
        <v>19.34</v>
      </c>
      <c r="D600" s="4249" t="s">
        <v>2525</v>
      </c>
      <c r="E600" s="4233">
        <v>210</v>
      </c>
      <c r="F600" s="4233">
        <f t="shared" si="25"/>
        <v>4061.4</v>
      </c>
    </row>
    <row r="601" spans="1:7" ht="13.5" customHeight="1">
      <c r="A601" s="4388"/>
      <c r="B601" s="4248"/>
      <c r="C601" s="4231"/>
      <c r="D601" s="4249"/>
      <c r="E601" s="4233"/>
      <c r="F601" s="4233" t="str">
        <f t="shared" si="25"/>
        <v xml:space="preserve"> </v>
      </c>
    </row>
    <row r="602" spans="1:7" ht="15" customHeight="1">
      <c r="A602" s="4390">
        <v>15.3</v>
      </c>
      <c r="B602" s="4343" t="s">
        <v>880</v>
      </c>
      <c r="C602" s="4231"/>
      <c r="D602" s="4249"/>
      <c r="E602" s="4233"/>
      <c r="F602" s="4233" t="str">
        <f t="shared" si="25"/>
        <v xml:space="preserve"> </v>
      </c>
    </row>
    <row r="603" spans="1:7" ht="14.25" customHeight="1">
      <c r="A603" s="4388" t="s">
        <v>3841</v>
      </c>
      <c r="B603" s="4212" t="s">
        <v>3753</v>
      </c>
      <c r="C603" s="4231">
        <v>1.1499999999999999</v>
      </c>
      <c r="D603" s="4249" t="s">
        <v>2430</v>
      </c>
      <c r="E603" s="4233">
        <v>9462.32</v>
      </c>
      <c r="F603" s="4233">
        <f t="shared" si="25"/>
        <v>10881.67</v>
      </c>
    </row>
    <row r="604" spans="1:7" ht="14.25" customHeight="1">
      <c r="A604" s="4388" t="s">
        <v>3901</v>
      </c>
      <c r="B604" s="4353" t="s">
        <v>3754</v>
      </c>
      <c r="C604" s="4231">
        <v>0.51</v>
      </c>
      <c r="D604" s="4249" t="s">
        <v>2430</v>
      </c>
      <c r="E604" s="4233">
        <v>12962.32</v>
      </c>
      <c r="F604" s="4233">
        <f t="shared" si="25"/>
        <v>6610.78</v>
      </c>
    </row>
    <row r="605" spans="1:7" ht="14.25" customHeight="1">
      <c r="A605" s="4388" t="s">
        <v>3902</v>
      </c>
      <c r="B605" s="4212" t="s">
        <v>3755</v>
      </c>
      <c r="C605" s="4231">
        <v>0.41</v>
      </c>
      <c r="D605" s="4249" t="s">
        <v>2430</v>
      </c>
      <c r="E605" s="4233">
        <v>18210.46</v>
      </c>
      <c r="F605" s="4233">
        <f t="shared" si="25"/>
        <v>7466.29</v>
      </c>
    </row>
    <row r="606" spans="1:7" ht="14.25" customHeight="1">
      <c r="A606" s="4388"/>
      <c r="B606" s="4248"/>
      <c r="C606" s="4231"/>
      <c r="D606" s="4249"/>
      <c r="E606" s="4233"/>
      <c r="F606" s="4233" t="str">
        <f t="shared" si="25"/>
        <v xml:space="preserve"> </v>
      </c>
    </row>
    <row r="607" spans="1:7" ht="15" customHeight="1">
      <c r="A607" s="4390">
        <v>15.4</v>
      </c>
      <c r="B607" s="4343" t="s">
        <v>3121</v>
      </c>
      <c r="C607" s="4231"/>
      <c r="D607" s="4249"/>
      <c r="E607" s="4233"/>
      <c r="F607" s="4233" t="str">
        <f t="shared" si="25"/>
        <v xml:space="preserve"> </v>
      </c>
    </row>
    <row r="608" spans="1:7" ht="14.25" customHeight="1">
      <c r="A608" s="4388" t="s">
        <v>3903</v>
      </c>
      <c r="B608" s="4248" t="s">
        <v>3124</v>
      </c>
      <c r="C608" s="4231">
        <v>43.75</v>
      </c>
      <c r="D608" s="4249" t="s">
        <v>2432</v>
      </c>
      <c r="E608" s="4233">
        <v>2925.25</v>
      </c>
      <c r="F608" s="4233">
        <f>IF(C608&gt;0,(ROUND((E608*C608),2))," ")</f>
        <v>127979.69</v>
      </c>
    </row>
    <row r="609" spans="1:8" ht="14.25" customHeight="1">
      <c r="A609" s="4454"/>
      <c r="B609" s="4479"/>
      <c r="C609" s="4464"/>
      <c r="D609" s="4465"/>
      <c r="E609" s="4466"/>
      <c r="F609" s="4466" t="str">
        <f t="shared" si="25"/>
        <v xml:space="preserve"> </v>
      </c>
    </row>
    <row r="610" spans="1:8" ht="15" customHeight="1">
      <c r="A610" s="4390">
        <v>15.5</v>
      </c>
      <c r="B610" s="4343" t="s">
        <v>3706</v>
      </c>
      <c r="C610" s="4231"/>
      <c r="D610" s="4249"/>
      <c r="E610" s="4233"/>
      <c r="F610" s="4233" t="str">
        <f t="shared" si="25"/>
        <v xml:space="preserve"> </v>
      </c>
    </row>
    <row r="611" spans="1:8" s="4222" customFormat="1" ht="14.25" customHeight="1">
      <c r="A611" s="4388" t="s">
        <v>3842</v>
      </c>
      <c r="B611" s="3563" t="s">
        <v>3122</v>
      </c>
      <c r="C611" s="4221">
        <v>18.899999999999999</v>
      </c>
      <c r="D611" s="4311" t="s">
        <v>2432</v>
      </c>
      <c r="E611" s="4216">
        <v>336.35</v>
      </c>
      <c r="F611" s="4216">
        <f t="shared" si="25"/>
        <v>6357.02</v>
      </c>
      <c r="G611" s="3557"/>
    </row>
    <row r="612" spans="1:8" s="4222" customFormat="1" ht="14.25" customHeight="1">
      <c r="A612" s="4388" t="s">
        <v>3843</v>
      </c>
      <c r="B612" s="3563" t="s">
        <v>2435</v>
      </c>
      <c r="C612" s="4221">
        <v>3.3</v>
      </c>
      <c r="D612" s="4311" t="s">
        <v>2432</v>
      </c>
      <c r="E612" s="4216">
        <v>611.6</v>
      </c>
      <c r="F612" s="4216">
        <f t="shared" si="25"/>
        <v>2018.28</v>
      </c>
      <c r="G612" s="3557"/>
    </row>
    <row r="613" spans="1:8" s="4222" customFormat="1" ht="14.25" customHeight="1">
      <c r="A613" s="4388" t="s">
        <v>3844</v>
      </c>
      <c r="B613" s="3563" t="s">
        <v>3644</v>
      </c>
      <c r="C613" s="4221">
        <v>8.8000000000000007</v>
      </c>
      <c r="D613" s="4311" t="s">
        <v>1</v>
      </c>
      <c r="E613" s="4216">
        <v>134</v>
      </c>
      <c r="F613" s="4216">
        <f t="shared" si="25"/>
        <v>1179.2</v>
      </c>
      <c r="G613" s="3557"/>
    </row>
    <row r="614" spans="1:8" s="4356" customFormat="1" ht="13.5" customHeight="1">
      <c r="A614" s="4388" t="s">
        <v>3845</v>
      </c>
      <c r="B614" s="4212" t="s">
        <v>1548</v>
      </c>
      <c r="C614" s="4191">
        <v>19.88</v>
      </c>
      <c r="D614" s="4194" t="s">
        <v>1</v>
      </c>
      <c r="E614" s="4210">
        <v>107.14</v>
      </c>
      <c r="F614" s="4210">
        <f t="shared" ref="F614:F615" si="26">ROUND(C614*E614,2)</f>
        <v>2129.94</v>
      </c>
      <c r="G614" s="3557"/>
      <c r="H614" s="4355"/>
    </row>
    <row r="615" spans="1:8" s="4356" customFormat="1" ht="13.5" customHeight="1">
      <c r="A615" s="4388" t="s">
        <v>3846</v>
      </c>
      <c r="B615" s="4212" t="s">
        <v>3756</v>
      </c>
      <c r="C615" s="4191">
        <v>4.2699999999999996</v>
      </c>
      <c r="D615" s="4194" t="s">
        <v>3741</v>
      </c>
      <c r="E615" s="4210">
        <v>565.92999999999995</v>
      </c>
      <c r="F615" s="4210">
        <f t="shared" si="26"/>
        <v>2416.52</v>
      </c>
      <c r="G615" s="3557"/>
      <c r="H615" s="4355"/>
    </row>
    <row r="616" spans="1:8" ht="14.25" customHeight="1">
      <c r="A616" s="4388"/>
      <c r="B616" s="4230"/>
      <c r="C616" s="4231"/>
      <c r="D616" s="4249"/>
      <c r="E616" s="4233"/>
      <c r="F616" s="4233" t="str">
        <f t="shared" si="25"/>
        <v xml:space="preserve"> </v>
      </c>
    </row>
    <row r="617" spans="1:8" s="4356" customFormat="1">
      <c r="A617" s="4334">
        <v>15.6</v>
      </c>
      <c r="B617" s="4207" t="s">
        <v>3757</v>
      </c>
      <c r="C617" s="4191"/>
      <c r="D617" s="4194"/>
      <c r="E617" s="4210"/>
      <c r="F617" s="4226"/>
      <c r="G617" s="3557"/>
      <c r="H617" s="4355"/>
    </row>
    <row r="618" spans="1:8" s="4356" customFormat="1">
      <c r="A618" s="4354" t="s">
        <v>3847</v>
      </c>
      <c r="B618" s="4272" t="s">
        <v>3758</v>
      </c>
      <c r="C618" s="4191">
        <v>0.36</v>
      </c>
      <c r="D618" s="4194" t="s">
        <v>3747</v>
      </c>
      <c r="E618" s="4210">
        <v>2300</v>
      </c>
      <c r="F618" s="4210">
        <f>+C618*E618</f>
        <v>828</v>
      </c>
      <c r="G618" s="3557"/>
      <c r="H618" s="4355"/>
    </row>
    <row r="619" spans="1:8" s="4356" customFormat="1">
      <c r="A619" s="4354" t="s">
        <v>3848</v>
      </c>
      <c r="B619" s="4272" t="s">
        <v>3759</v>
      </c>
      <c r="C619" s="4191">
        <v>0.27</v>
      </c>
      <c r="D619" s="4194" t="s">
        <v>3747</v>
      </c>
      <c r="E619" s="4210">
        <v>2300</v>
      </c>
      <c r="F619" s="4210">
        <f>+C619*E619</f>
        <v>621</v>
      </c>
      <c r="G619" s="3557"/>
      <c r="H619" s="4355"/>
    </row>
    <row r="620" spans="1:8" s="4356" customFormat="1">
      <c r="A620" s="4354"/>
      <c r="B620" s="4272"/>
      <c r="C620" s="4191"/>
      <c r="D620" s="4194"/>
      <c r="E620" s="4210"/>
      <c r="F620" s="4210"/>
      <c r="G620" s="3557"/>
      <c r="H620" s="4355"/>
    </row>
    <row r="621" spans="1:8" ht="14.25" customHeight="1">
      <c r="A621" s="4390">
        <v>15.7</v>
      </c>
      <c r="B621" s="4248" t="s">
        <v>3944</v>
      </c>
      <c r="C621" s="4231">
        <v>3</v>
      </c>
      <c r="D621" s="4249" t="s">
        <v>2433</v>
      </c>
      <c r="E621" s="4233">
        <v>1500</v>
      </c>
      <c r="F621" s="4233">
        <f>IF(C621&gt;0,(ROUND((E621*C621),2))," ")</f>
        <v>4500</v>
      </c>
    </row>
    <row r="622" spans="1:8" ht="14.25" customHeight="1">
      <c r="A622" s="4390"/>
      <c r="B622" s="4248"/>
      <c r="C622" s="4231"/>
      <c r="D622" s="4249"/>
      <c r="E622" s="4233"/>
      <c r="F622" s="4233"/>
    </row>
    <row r="623" spans="1:8" s="4266" customFormat="1" ht="14.25" customHeight="1">
      <c r="A623" s="4395">
        <v>15.8</v>
      </c>
      <c r="B623" s="4212" t="s">
        <v>3761</v>
      </c>
      <c r="C623" s="4221">
        <v>1</v>
      </c>
      <c r="D623" s="4311" t="s">
        <v>2433</v>
      </c>
      <c r="E623" s="4210">
        <v>158609.43</v>
      </c>
      <c r="F623" s="4216">
        <f t="shared" si="25"/>
        <v>158609.43</v>
      </c>
      <c r="G623" s="3557"/>
    </row>
    <row r="624" spans="1:8" s="4266" customFormat="1" ht="12.75" customHeight="1">
      <c r="A624" s="4305"/>
      <c r="B624" s="4304" t="s">
        <v>2122</v>
      </c>
      <c r="C624" s="4498"/>
      <c r="D624" s="4498"/>
      <c r="E624" s="4498"/>
      <c r="F624" s="4307">
        <f>SUM(F494:F623)</f>
        <v>1500736.44</v>
      </c>
      <c r="G624" s="3557"/>
    </row>
    <row r="625" spans="1:7" ht="14.25" customHeight="1">
      <c r="A625" s="4388"/>
      <c r="B625" s="4230"/>
      <c r="C625" s="4231"/>
      <c r="D625" s="4249"/>
      <c r="E625" s="4233"/>
      <c r="F625" s="4233" t="str">
        <f t="shared" ref="F625:F693" si="27">IF(C625&gt;0,(ROUND((E625*C625),2))," ")</f>
        <v xml:space="preserve"> </v>
      </c>
    </row>
    <row r="626" spans="1:7" s="4222" customFormat="1" ht="15">
      <c r="A626" s="4396" t="s">
        <v>2120</v>
      </c>
      <c r="B626" s="3435" t="s">
        <v>3473</v>
      </c>
      <c r="C626" s="4221"/>
      <c r="D626" s="4311"/>
      <c r="E626" s="4216"/>
      <c r="F626" s="4216" t="str">
        <f t="shared" si="27"/>
        <v xml:space="preserve"> </v>
      </c>
      <c r="G626" s="3557"/>
    </row>
    <row r="627" spans="1:7" ht="14.25" customHeight="1">
      <c r="A627" s="4388"/>
      <c r="B627" s="3434"/>
      <c r="C627" s="4231"/>
      <c r="D627" s="4249"/>
      <c r="E627" s="4233"/>
      <c r="F627" s="4233" t="str">
        <f t="shared" si="27"/>
        <v xml:space="preserve"> </v>
      </c>
    </row>
    <row r="628" spans="1:7" ht="14.25" customHeight="1">
      <c r="A628" s="4182">
        <v>1</v>
      </c>
      <c r="B628" s="4343" t="s">
        <v>2165</v>
      </c>
      <c r="C628" s="4173"/>
      <c r="D628" s="4516"/>
      <c r="E628" s="4233"/>
      <c r="F628" s="4233" t="str">
        <f t="shared" si="27"/>
        <v xml:space="preserve"> </v>
      </c>
    </row>
    <row r="629" spans="1:7" ht="14.25" customHeight="1">
      <c r="A629" s="4179">
        <v>1.1000000000000001</v>
      </c>
      <c r="B629" s="3540" t="s">
        <v>4029</v>
      </c>
      <c r="C629" s="4172">
        <v>22.36</v>
      </c>
      <c r="D629" s="4249" t="s">
        <v>2432</v>
      </c>
      <c r="E629" s="4233">
        <v>79.19</v>
      </c>
      <c r="F629" s="4233">
        <f t="shared" si="27"/>
        <v>1770.69</v>
      </c>
    </row>
    <row r="630" spans="1:7" ht="14.25" customHeight="1">
      <c r="A630" s="4180"/>
      <c r="B630" s="4181"/>
      <c r="C630" s="4173"/>
      <c r="D630" s="4516"/>
      <c r="E630" s="4233"/>
      <c r="F630" s="4233" t="str">
        <f t="shared" si="27"/>
        <v xml:space="preserve"> </v>
      </c>
    </row>
    <row r="631" spans="1:7" ht="14.25" customHeight="1">
      <c r="A631" s="4182">
        <v>2</v>
      </c>
      <c r="B631" s="4183" t="s">
        <v>38</v>
      </c>
      <c r="C631" s="4173"/>
      <c r="D631" s="4516"/>
      <c r="E631" s="4233"/>
      <c r="F631" s="4233" t="str">
        <f t="shared" si="27"/>
        <v xml:space="preserve"> </v>
      </c>
    </row>
    <row r="632" spans="1:7" ht="14.25" customHeight="1">
      <c r="A632" s="4180">
        <v>2.1</v>
      </c>
      <c r="B632" s="3540" t="s">
        <v>3447</v>
      </c>
      <c r="C632" s="4173">
        <v>11.48</v>
      </c>
      <c r="D632" s="4516" t="s">
        <v>2430</v>
      </c>
      <c r="E632" s="4233">
        <v>330.24</v>
      </c>
      <c r="F632" s="4233">
        <f t="shared" si="27"/>
        <v>3791.16</v>
      </c>
    </row>
    <row r="633" spans="1:7" ht="14.25" customHeight="1">
      <c r="A633" s="4180">
        <v>2.2000000000000002</v>
      </c>
      <c r="B633" s="4230" t="s">
        <v>2981</v>
      </c>
      <c r="C633" s="4173">
        <v>6.02</v>
      </c>
      <c r="D633" s="4516" t="s">
        <v>2430</v>
      </c>
      <c r="E633" s="4233">
        <v>121.12</v>
      </c>
      <c r="F633" s="4233">
        <f t="shared" si="27"/>
        <v>729.14</v>
      </c>
    </row>
    <row r="634" spans="1:7" ht="14.25" customHeight="1">
      <c r="A634" s="4180">
        <v>2.2999999999999998</v>
      </c>
      <c r="B634" s="4206" t="s">
        <v>3766</v>
      </c>
      <c r="C634" s="4173">
        <v>7.09</v>
      </c>
      <c r="D634" s="4516" t="s">
        <v>2430</v>
      </c>
      <c r="E634" s="4233">
        <v>210</v>
      </c>
      <c r="F634" s="4233">
        <f t="shared" si="27"/>
        <v>1488.9</v>
      </c>
    </row>
    <row r="635" spans="1:7" ht="14.25" customHeight="1">
      <c r="A635" s="4180"/>
      <c r="B635" s="4181"/>
      <c r="C635" s="4174"/>
      <c r="D635" s="4517"/>
      <c r="E635" s="4233"/>
      <c r="F635" s="4233" t="str">
        <f t="shared" si="27"/>
        <v xml:space="preserve"> </v>
      </c>
    </row>
    <row r="636" spans="1:7" ht="14.25" customHeight="1">
      <c r="A636" s="4182">
        <v>3</v>
      </c>
      <c r="B636" s="4183" t="s">
        <v>3712</v>
      </c>
      <c r="C636" s="4173"/>
      <c r="D636" s="4518"/>
      <c r="E636" s="4233"/>
      <c r="F636" s="4233" t="str">
        <f t="shared" si="27"/>
        <v xml:space="preserve"> </v>
      </c>
    </row>
    <row r="637" spans="1:7" ht="16.5" customHeight="1">
      <c r="A637" s="4180">
        <v>3.1</v>
      </c>
      <c r="B637" s="3540" t="s">
        <v>3448</v>
      </c>
      <c r="C637" s="4175">
        <v>1.94</v>
      </c>
      <c r="D637" s="4516" t="s">
        <v>2430</v>
      </c>
      <c r="E637" s="4233">
        <v>9737.5</v>
      </c>
      <c r="F637" s="4233">
        <f t="shared" si="27"/>
        <v>18890.75</v>
      </c>
    </row>
    <row r="638" spans="1:7" ht="16.5" customHeight="1">
      <c r="A638" s="4180">
        <v>3.2</v>
      </c>
      <c r="B638" s="3540" t="s">
        <v>3449</v>
      </c>
      <c r="C638" s="4175">
        <v>1.73</v>
      </c>
      <c r="D638" s="4516" t="s">
        <v>2430</v>
      </c>
      <c r="E638" s="4233">
        <v>14103.35</v>
      </c>
      <c r="F638" s="4233">
        <f t="shared" si="27"/>
        <v>24398.799999999999</v>
      </c>
    </row>
    <row r="639" spans="1:7" ht="16.5" customHeight="1">
      <c r="A639" s="4180">
        <v>3.3</v>
      </c>
      <c r="B639" s="3540" t="s">
        <v>3450</v>
      </c>
      <c r="C639" s="4175">
        <v>0.66</v>
      </c>
      <c r="D639" s="4516" t="s">
        <v>2430</v>
      </c>
      <c r="E639" s="4233">
        <v>21005.65</v>
      </c>
      <c r="F639" s="4233">
        <f t="shared" si="27"/>
        <v>13863.73</v>
      </c>
    </row>
    <row r="640" spans="1:7" ht="16.5" customHeight="1">
      <c r="A640" s="4180">
        <v>3.4</v>
      </c>
      <c r="B640" s="3540" t="s">
        <v>3451</v>
      </c>
      <c r="C640" s="4175">
        <v>1.35</v>
      </c>
      <c r="D640" s="4519" t="s">
        <v>2430</v>
      </c>
      <c r="E640" s="4233">
        <v>23156.68</v>
      </c>
      <c r="F640" s="4443">
        <f t="shared" si="27"/>
        <v>31261.52</v>
      </c>
    </row>
    <row r="641" spans="1:7" ht="16.5" customHeight="1">
      <c r="A641" s="4180">
        <v>3.5</v>
      </c>
      <c r="B641" s="3540" t="s">
        <v>3452</v>
      </c>
      <c r="C641" s="4175">
        <v>1.59</v>
      </c>
      <c r="D641" s="4516" t="s">
        <v>2430</v>
      </c>
      <c r="E641" s="4233">
        <v>21469.16</v>
      </c>
      <c r="F641" s="4233">
        <f t="shared" si="27"/>
        <v>34135.96</v>
      </c>
    </row>
    <row r="642" spans="1:7" s="4222" customFormat="1" ht="16.5" customHeight="1">
      <c r="A642" s="4357">
        <v>3.6</v>
      </c>
      <c r="B642" s="4212" t="s">
        <v>3453</v>
      </c>
      <c r="C642" s="4328">
        <v>4.22</v>
      </c>
      <c r="D642" s="4520" t="s">
        <v>2430</v>
      </c>
      <c r="E642" s="4233">
        <v>13856.2</v>
      </c>
      <c r="F642" s="4216">
        <f t="shared" si="27"/>
        <v>58473.16</v>
      </c>
      <c r="G642" s="3557"/>
    </row>
    <row r="643" spans="1:7" ht="14.25" customHeight="1">
      <c r="A643" s="4180">
        <v>3.7</v>
      </c>
      <c r="B643" s="3540" t="s">
        <v>3454</v>
      </c>
      <c r="C643" s="4175">
        <v>4</v>
      </c>
      <c r="D643" s="4249" t="s">
        <v>2433</v>
      </c>
      <c r="E643" s="4233">
        <v>1000</v>
      </c>
      <c r="F643" s="4233">
        <f t="shared" si="27"/>
        <v>4000</v>
      </c>
    </row>
    <row r="644" spans="1:7" ht="14.25" customHeight="1">
      <c r="A644" s="4357">
        <v>3.8</v>
      </c>
      <c r="B644" s="4184" t="s">
        <v>3556</v>
      </c>
      <c r="C644" s="4175">
        <v>18.07</v>
      </c>
      <c r="D644" s="4249" t="s">
        <v>2432</v>
      </c>
      <c r="E644" s="4233">
        <v>986.65</v>
      </c>
      <c r="F644" s="4233">
        <f t="shared" si="27"/>
        <v>17828.77</v>
      </c>
    </row>
    <row r="645" spans="1:7" ht="14.25" customHeight="1">
      <c r="A645" s="4179"/>
      <c r="B645" s="4183"/>
      <c r="C645" s="4176"/>
      <c r="D645" s="4518"/>
      <c r="E645" s="4233"/>
      <c r="F645" s="4233" t="str">
        <f t="shared" si="27"/>
        <v xml:space="preserve"> </v>
      </c>
    </row>
    <row r="646" spans="1:7" ht="14.25" customHeight="1">
      <c r="A646" s="4185">
        <v>4</v>
      </c>
      <c r="B646" s="4183" t="s">
        <v>3455</v>
      </c>
      <c r="C646" s="4176"/>
      <c r="D646" s="4518"/>
      <c r="E646" s="4233"/>
      <c r="F646" s="4233" t="str">
        <f t="shared" si="27"/>
        <v xml:space="preserve"> </v>
      </c>
    </row>
    <row r="647" spans="1:7" s="4222" customFormat="1" ht="14.25" customHeight="1">
      <c r="A647" s="4167">
        <v>4.0999999999999996</v>
      </c>
      <c r="B647" s="4331" t="s">
        <v>3646</v>
      </c>
      <c r="C647" s="4332">
        <v>6.6</v>
      </c>
      <c r="D647" s="4311" t="s">
        <v>2432</v>
      </c>
      <c r="E647" s="4233">
        <v>1495.87</v>
      </c>
      <c r="F647" s="4216">
        <f t="shared" si="27"/>
        <v>9872.74</v>
      </c>
      <c r="G647" s="3557"/>
    </row>
    <row r="648" spans="1:7" s="4222" customFormat="1" ht="14.25" customHeight="1">
      <c r="A648" s="4167">
        <v>4.2</v>
      </c>
      <c r="B648" s="4331" t="s">
        <v>3645</v>
      </c>
      <c r="C648" s="4332">
        <v>44.55</v>
      </c>
      <c r="D648" s="4311" t="s">
        <v>2432</v>
      </c>
      <c r="E648" s="4233">
        <v>1528.3</v>
      </c>
      <c r="F648" s="4216">
        <f t="shared" si="27"/>
        <v>68085.77</v>
      </c>
      <c r="G648" s="3557"/>
    </row>
    <row r="649" spans="1:7" ht="14.25" customHeight="1">
      <c r="A649" s="4179"/>
      <c r="B649" s="4183"/>
      <c r="C649" s="4176"/>
      <c r="D649" s="4518"/>
      <c r="E649" s="4233"/>
      <c r="F649" s="4233" t="str">
        <f t="shared" si="27"/>
        <v xml:space="preserve"> </v>
      </c>
    </row>
    <row r="650" spans="1:7" ht="14.25" customHeight="1">
      <c r="A650" s="4182">
        <v>5</v>
      </c>
      <c r="B650" s="4183" t="s">
        <v>859</v>
      </c>
      <c r="C650" s="4177"/>
      <c r="D650" s="4518"/>
      <c r="E650" s="4233"/>
      <c r="F650" s="4233" t="str">
        <f t="shared" si="27"/>
        <v xml:space="preserve"> </v>
      </c>
    </row>
    <row r="651" spans="1:7" ht="14.25" customHeight="1">
      <c r="A651" s="4180">
        <v>5.0999999999999996</v>
      </c>
      <c r="B651" s="4184" t="s">
        <v>2567</v>
      </c>
      <c r="C651" s="4175">
        <v>26.08</v>
      </c>
      <c r="D651" s="4249" t="s">
        <v>2432</v>
      </c>
      <c r="E651" s="4233">
        <v>56.57</v>
      </c>
      <c r="F651" s="4233">
        <f t="shared" si="27"/>
        <v>1475.35</v>
      </c>
    </row>
    <row r="652" spans="1:7" ht="14.25" customHeight="1">
      <c r="A652" s="4180">
        <v>5.2</v>
      </c>
      <c r="B652" s="4184" t="s">
        <v>2395</v>
      </c>
      <c r="C652" s="4175">
        <v>56.3</v>
      </c>
      <c r="D652" s="4249" t="s">
        <v>2432</v>
      </c>
      <c r="E652" s="4233">
        <v>382.2</v>
      </c>
      <c r="F652" s="4233">
        <f t="shared" si="27"/>
        <v>21517.86</v>
      </c>
    </row>
    <row r="653" spans="1:7" ht="14.25" customHeight="1">
      <c r="A653" s="4180">
        <v>5.3</v>
      </c>
      <c r="B653" s="4184" t="s">
        <v>2396</v>
      </c>
      <c r="C653" s="4175">
        <v>44.1</v>
      </c>
      <c r="D653" s="4249" t="s">
        <v>2432</v>
      </c>
      <c r="E653" s="4233">
        <v>336.35</v>
      </c>
      <c r="F653" s="4233">
        <f t="shared" si="27"/>
        <v>14833.04</v>
      </c>
    </row>
    <row r="654" spans="1:7" ht="14.25" customHeight="1">
      <c r="A654" s="4180">
        <v>5.4</v>
      </c>
      <c r="B654" s="4184" t="s">
        <v>3456</v>
      </c>
      <c r="C654" s="4175">
        <v>27.12</v>
      </c>
      <c r="D654" s="4249" t="s">
        <v>2432</v>
      </c>
      <c r="E654" s="4233">
        <v>382.2</v>
      </c>
      <c r="F654" s="4233">
        <f t="shared" si="27"/>
        <v>10365.26</v>
      </c>
    </row>
    <row r="655" spans="1:7" ht="14.25" customHeight="1">
      <c r="A655" s="4180">
        <v>5.5</v>
      </c>
      <c r="B655" s="4184" t="s">
        <v>3457</v>
      </c>
      <c r="C655" s="4175">
        <v>25.11</v>
      </c>
      <c r="D655" s="4249" t="s">
        <v>2432</v>
      </c>
      <c r="E655" s="4233">
        <v>565.92999999999995</v>
      </c>
      <c r="F655" s="4233">
        <f t="shared" si="27"/>
        <v>14210.5</v>
      </c>
    </row>
    <row r="656" spans="1:7" ht="14.25" customHeight="1">
      <c r="A656" s="4180">
        <v>5.6</v>
      </c>
      <c r="B656" s="4184" t="s">
        <v>2362</v>
      </c>
      <c r="C656" s="4178">
        <v>20.9</v>
      </c>
      <c r="D656" s="4516" t="s">
        <v>1</v>
      </c>
      <c r="E656" s="4233">
        <v>753.08</v>
      </c>
      <c r="F656" s="4233">
        <f t="shared" si="27"/>
        <v>15739.37</v>
      </c>
    </row>
    <row r="657" spans="1:7" ht="14.25" customHeight="1">
      <c r="A657" s="4180">
        <v>5.7</v>
      </c>
      <c r="B657" s="4184" t="s">
        <v>3458</v>
      </c>
      <c r="C657" s="4175">
        <v>62.6</v>
      </c>
      <c r="D657" s="4516" t="s">
        <v>1</v>
      </c>
      <c r="E657" s="4233">
        <v>107.14</v>
      </c>
      <c r="F657" s="4233">
        <f t="shared" si="27"/>
        <v>6706.96</v>
      </c>
    </row>
    <row r="658" spans="1:7" ht="14.25" customHeight="1">
      <c r="A658" s="4180">
        <v>5.8</v>
      </c>
      <c r="B658" s="4184" t="s">
        <v>3526</v>
      </c>
      <c r="C658" s="4175">
        <v>20.100000000000001</v>
      </c>
      <c r="D658" s="4516" t="s">
        <v>1</v>
      </c>
      <c r="E658" s="4233">
        <v>134</v>
      </c>
      <c r="F658" s="4233">
        <f t="shared" si="27"/>
        <v>2693.4</v>
      </c>
    </row>
    <row r="659" spans="1:7" s="4236" customFormat="1" ht="14.25" customHeight="1">
      <c r="A659" s="4180">
        <v>5.9</v>
      </c>
      <c r="B659" s="4184" t="s">
        <v>3459</v>
      </c>
      <c r="C659" s="4175">
        <v>127.52</v>
      </c>
      <c r="D659" s="4249" t="s">
        <v>2432</v>
      </c>
      <c r="E659" s="4233">
        <v>227.56</v>
      </c>
      <c r="F659" s="4233">
        <f t="shared" si="27"/>
        <v>29018.45</v>
      </c>
      <c r="G659" s="3557"/>
    </row>
    <row r="660" spans="1:7" ht="14.25" customHeight="1">
      <c r="A660" s="4180"/>
      <c r="B660" s="4184"/>
      <c r="C660" s="4175"/>
      <c r="D660" s="4516"/>
      <c r="E660" s="4233"/>
      <c r="F660" s="4233" t="str">
        <f t="shared" si="27"/>
        <v xml:space="preserve"> </v>
      </c>
    </row>
    <row r="661" spans="1:7" ht="14.25" customHeight="1">
      <c r="A661" s="4182">
        <v>6</v>
      </c>
      <c r="B661" s="4184" t="s">
        <v>3460</v>
      </c>
      <c r="C661" s="4175">
        <v>15.12</v>
      </c>
      <c r="D661" s="4249" t="s">
        <v>2432</v>
      </c>
      <c r="E661" s="4103">
        <v>977.29</v>
      </c>
      <c r="F661" s="4233">
        <f t="shared" si="27"/>
        <v>14776.62</v>
      </c>
    </row>
    <row r="662" spans="1:7" ht="14.25" customHeight="1">
      <c r="A662" s="4480"/>
      <c r="B662" s="4481"/>
      <c r="C662" s="4482"/>
      <c r="D662" s="4521"/>
      <c r="E662" s="4466"/>
      <c r="F662" s="4466" t="str">
        <f t="shared" si="27"/>
        <v xml:space="preserve"> </v>
      </c>
    </row>
    <row r="663" spans="1:7" ht="14.25" customHeight="1">
      <c r="A663" s="4182">
        <v>7</v>
      </c>
      <c r="B663" s="4183" t="s">
        <v>3461</v>
      </c>
      <c r="C663" s="4175"/>
      <c r="D663" s="4516"/>
      <c r="E663" s="4233"/>
      <c r="F663" s="4233" t="str">
        <f t="shared" si="27"/>
        <v xml:space="preserve"> </v>
      </c>
    </row>
    <row r="664" spans="1:7" ht="14.25" customHeight="1">
      <c r="A664" s="4180">
        <v>7.1</v>
      </c>
      <c r="B664" s="4184" t="s">
        <v>4034</v>
      </c>
      <c r="C664" s="4175">
        <v>1</v>
      </c>
      <c r="D664" s="4249" t="s">
        <v>2433</v>
      </c>
      <c r="E664" s="4233">
        <v>73505</v>
      </c>
      <c r="F664" s="4233">
        <f t="shared" si="27"/>
        <v>73505</v>
      </c>
    </row>
    <row r="665" spans="1:7" ht="14.25" customHeight="1">
      <c r="A665" s="4180">
        <v>7.2</v>
      </c>
      <c r="B665" s="4230" t="s">
        <v>3463</v>
      </c>
      <c r="C665" s="4175">
        <v>15.06</v>
      </c>
      <c r="D665" s="4249" t="s">
        <v>2601</v>
      </c>
      <c r="E665" s="4233">
        <v>493.93</v>
      </c>
      <c r="F665" s="4233">
        <f t="shared" si="27"/>
        <v>7438.59</v>
      </c>
    </row>
    <row r="666" spans="1:7" ht="14.25" customHeight="1">
      <c r="A666" s="4179">
        <v>7.3</v>
      </c>
      <c r="B666" s="4212" t="s">
        <v>3904</v>
      </c>
      <c r="C666" s="4175">
        <v>1</v>
      </c>
      <c r="D666" s="4249" t="s">
        <v>2433</v>
      </c>
      <c r="E666" s="4233">
        <v>2471.14</v>
      </c>
      <c r="F666" s="4233">
        <f t="shared" si="27"/>
        <v>2471.14</v>
      </c>
    </row>
    <row r="667" spans="1:7" ht="14.25" customHeight="1">
      <c r="A667" s="4180"/>
      <c r="B667" s="4184"/>
      <c r="C667" s="4231"/>
      <c r="D667" s="4249"/>
      <c r="E667" s="4233"/>
      <c r="F667" s="4233" t="str">
        <f t="shared" si="27"/>
        <v xml:space="preserve"> </v>
      </c>
    </row>
    <row r="668" spans="1:7" ht="14.25" customHeight="1">
      <c r="A668" s="4185">
        <v>8</v>
      </c>
      <c r="B668" s="4183" t="s">
        <v>3464</v>
      </c>
      <c r="C668" s="4231"/>
      <c r="D668" s="4249"/>
      <c r="E668" s="4233"/>
      <c r="F668" s="4233" t="str">
        <f t="shared" si="27"/>
        <v xml:space="preserve"> </v>
      </c>
    </row>
    <row r="669" spans="1:7" ht="14.25" customHeight="1">
      <c r="A669" s="4180">
        <v>8.1</v>
      </c>
      <c r="B669" s="4230" t="s">
        <v>3465</v>
      </c>
      <c r="C669" s="4175">
        <v>4</v>
      </c>
      <c r="D669" s="4249" t="s">
        <v>2433</v>
      </c>
      <c r="E669" s="4233">
        <v>1153.96</v>
      </c>
      <c r="F669" s="4233">
        <f t="shared" si="27"/>
        <v>4615.84</v>
      </c>
    </row>
    <row r="670" spans="1:7" ht="14.25" customHeight="1">
      <c r="A670" s="4180">
        <v>8.1999999999999993</v>
      </c>
      <c r="B670" s="4230" t="s">
        <v>3466</v>
      </c>
      <c r="C670" s="4175">
        <v>1</v>
      </c>
      <c r="D670" s="4249" t="s">
        <v>2433</v>
      </c>
      <c r="E670" s="4233">
        <v>1189.7</v>
      </c>
      <c r="F670" s="4233">
        <f t="shared" si="27"/>
        <v>1189.7</v>
      </c>
    </row>
    <row r="671" spans="1:7" ht="14.25" customHeight="1">
      <c r="A671" s="4180">
        <v>8.3000000000000007</v>
      </c>
      <c r="B671" s="4230" t="s">
        <v>3467</v>
      </c>
      <c r="C671" s="4175">
        <v>2</v>
      </c>
      <c r="D671" s="4249" t="s">
        <v>2433</v>
      </c>
      <c r="E671" s="4233">
        <v>1400.82</v>
      </c>
      <c r="F671" s="4233">
        <f t="shared" si="27"/>
        <v>2801.64</v>
      </c>
    </row>
    <row r="672" spans="1:7" ht="14.25" customHeight="1">
      <c r="A672" s="4167"/>
      <c r="B672" s="4169"/>
      <c r="C672" s="4231"/>
      <c r="D672" s="4249"/>
      <c r="E672" s="4233"/>
      <c r="F672" s="4233" t="str">
        <f t="shared" si="27"/>
        <v xml:space="preserve"> </v>
      </c>
    </row>
    <row r="673" spans="1:8" ht="14.25" customHeight="1">
      <c r="A673" s="4168">
        <v>9</v>
      </c>
      <c r="B673" s="4170" t="s">
        <v>3468</v>
      </c>
      <c r="C673" s="4231"/>
      <c r="D673" s="4249"/>
      <c r="E673" s="4233"/>
      <c r="F673" s="4233" t="str">
        <f t="shared" si="27"/>
        <v xml:space="preserve"> </v>
      </c>
    </row>
    <row r="674" spans="1:8" ht="14.25" customHeight="1">
      <c r="A674" s="4167">
        <v>9.1</v>
      </c>
      <c r="B674" s="4171" t="s">
        <v>3647</v>
      </c>
      <c r="C674" s="4186">
        <v>2</v>
      </c>
      <c r="D674" s="4520" t="s">
        <v>2433</v>
      </c>
      <c r="E674" s="4210">
        <v>47000</v>
      </c>
      <c r="F674" s="4233">
        <f t="shared" si="27"/>
        <v>94000</v>
      </c>
    </row>
    <row r="675" spans="1:8" ht="14.25" customHeight="1">
      <c r="A675" s="4167">
        <v>9.1999999999999993</v>
      </c>
      <c r="B675" s="4171" t="s">
        <v>3469</v>
      </c>
      <c r="C675" s="4186">
        <v>2</v>
      </c>
      <c r="D675" s="4520" t="s">
        <v>2433</v>
      </c>
      <c r="E675" s="4210">
        <v>28000</v>
      </c>
      <c r="F675" s="4233">
        <f t="shared" si="27"/>
        <v>56000</v>
      </c>
    </row>
    <row r="676" spans="1:8" ht="14.25" customHeight="1">
      <c r="A676" s="4167">
        <v>9.3000000000000007</v>
      </c>
      <c r="B676" s="4171" t="s">
        <v>3648</v>
      </c>
      <c r="C676" s="4187">
        <v>1</v>
      </c>
      <c r="D676" s="4520" t="s">
        <v>2433</v>
      </c>
      <c r="E676" s="4210">
        <v>9309.6299999999992</v>
      </c>
      <c r="F676" s="4233">
        <f t="shared" si="27"/>
        <v>9309.6299999999992</v>
      </c>
    </row>
    <row r="677" spans="1:8" ht="14.25" customHeight="1">
      <c r="A677" s="4167">
        <v>9.4</v>
      </c>
      <c r="B677" s="4171" t="s">
        <v>3470</v>
      </c>
      <c r="C677" s="4187">
        <v>95</v>
      </c>
      <c r="D677" s="4522" t="s">
        <v>1</v>
      </c>
      <c r="E677" s="4210">
        <v>197.75</v>
      </c>
      <c r="F677" s="4233">
        <f t="shared" si="27"/>
        <v>18786.25</v>
      </c>
    </row>
    <row r="678" spans="1:8" ht="14.25" customHeight="1">
      <c r="A678" s="4167">
        <v>9.5</v>
      </c>
      <c r="B678" s="4171" t="s">
        <v>3649</v>
      </c>
      <c r="C678" s="4186">
        <v>33</v>
      </c>
      <c r="D678" s="4520" t="s">
        <v>2433</v>
      </c>
      <c r="E678" s="4210">
        <v>42.57</v>
      </c>
      <c r="F678" s="4233">
        <f t="shared" si="27"/>
        <v>1404.81</v>
      </c>
    </row>
    <row r="679" spans="1:8" ht="14.25" customHeight="1">
      <c r="A679" s="4167">
        <v>9.6</v>
      </c>
      <c r="B679" s="4171" t="s">
        <v>3650</v>
      </c>
      <c r="C679" s="4186">
        <v>4</v>
      </c>
      <c r="D679" s="4520" t="s">
        <v>2433</v>
      </c>
      <c r="E679" s="4210">
        <v>35.89</v>
      </c>
      <c r="F679" s="4233">
        <f t="shared" si="27"/>
        <v>143.56</v>
      </c>
    </row>
    <row r="680" spans="1:8" ht="14.25" customHeight="1">
      <c r="A680" s="4167">
        <v>9.6999999999999993</v>
      </c>
      <c r="B680" s="4171" t="s">
        <v>3651</v>
      </c>
      <c r="C680" s="4186">
        <v>9</v>
      </c>
      <c r="D680" s="4520" t="s">
        <v>2433</v>
      </c>
      <c r="E680" s="4210">
        <v>93.59</v>
      </c>
      <c r="F680" s="4233">
        <f t="shared" si="27"/>
        <v>842.31</v>
      </c>
    </row>
    <row r="681" spans="1:8" ht="14.25" customHeight="1">
      <c r="A681" s="4167">
        <v>9.8000000000000007</v>
      </c>
      <c r="B681" s="4171" t="s">
        <v>3652</v>
      </c>
      <c r="C681" s="4186">
        <v>4</v>
      </c>
      <c r="D681" s="4520" t="s">
        <v>2433</v>
      </c>
      <c r="E681" s="4210">
        <v>93.59</v>
      </c>
      <c r="F681" s="4233">
        <f t="shared" si="27"/>
        <v>374.36</v>
      </c>
    </row>
    <row r="682" spans="1:8" ht="14.25" customHeight="1">
      <c r="A682" s="4167">
        <v>9.9</v>
      </c>
      <c r="B682" s="4171" t="s">
        <v>4026</v>
      </c>
      <c r="C682" s="4186">
        <v>7</v>
      </c>
      <c r="D682" s="4520" t="s">
        <v>2433</v>
      </c>
      <c r="E682" s="4210">
        <v>1687.49</v>
      </c>
      <c r="F682" s="4233">
        <f t="shared" si="27"/>
        <v>11812.43</v>
      </c>
    </row>
    <row r="683" spans="1:8" ht="15" customHeight="1">
      <c r="A683" s="4179">
        <v>9.1</v>
      </c>
      <c r="B683" s="4171" t="s">
        <v>3653</v>
      </c>
      <c r="C683" s="4186">
        <v>16</v>
      </c>
      <c r="D683" s="4520" t="s">
        <v>2433</v>
      </c>
      <c r="E683" s="4210">
        <v>47.61</v>
      </c>
      <c r="F683" s="4233">
        <f t="shared" si="27"/>
        <v>761.76</v>
      </c>
    </row>
    <row r="684" spans="1:8" ht="14.25" customHeight="1">
      <c r="A684" s="4179">
        <v>9.11</v>
      </c>
      <c r="B684" s="4171" t="s">
        <v>3654</v>
      </c>
      <c r="C684" s="4186">
        <v>1</v>
      </c>
      <c r="D684" s="4520" t="s">
        <v>2433</v>
      </c>
      <c r="E684" s="4210">
        <v>1500</v>
      </c>
      <c r="F684" s="4233">
        <f t="shared" si="27"/>
        <v>1500</v>
      </c>
    </row>
    <row r="685" spans="1:8" ht="14.25" customHeight="1">
      <c r="A685" s="4192">
        <v>9.1199999999999992</v>
      </c>
      <c r="B685" s="4171" t="s">
        <v>3471</v>
      </c>
      <c r="C685" s="4186">
        <v>1</v>
      </c>
      <c r="D685" s="4311" t="s">
        <v>42</v>
      </c>
      <c r="E685" s="4210">
        <v>22000</v>
      </c>
      <c r="F685" s="4233">
        <f t="shared" si="27"/>
        <v>22000</v>
      </c>
    </row>
    <row r="686" spans="1:8" ht="14.25" customHeight="1">
      <c r="A686" s="4179">
        <v>9.1300000000000008</v>
      </c>
      <c r="B686" s="4171" t="s">
        <v>3655</v>
      </c>
      <c r="C686" s="4186">
        <v>1</v>
      </c>
      <c r="D686" s="4311" t="s">
        <v>42</v>
      </c>
      <c r="E686" s="4210">
        <v>20000</v>
      </c>
      <c r="F686" s="4233">
        <f t="shared" si="27"/>
        <v>20000</v>
      </c>
    </row>
    <row r="687" spans="1:8" ht="14.25" customHeight="1">
      <c r="A687" s="4179"/>
      <c r="B687" s="4171"/>
      <c r="C687" s="4186"/>
      <c r="D687" s="4311" t="s">
        <v>42</v>
      </c>
      <c r="E687" s="4210"/>
      <c r="F687" s="4233" t="str">
        <f t="shared" si="27"/>
        <v xml:space="preserve"> </v>
      </c>
    </row>
    <row r="688" spans="1:8" s="4330" customFormat="1" ht="15" customHeight="1">
      <c r="A688" s="4167">
        <v>10</v>
      </c>
      <c r="B688" s="4213" t="s">
        <v>3472</v>
      </c>
      <c r="C688" s="4328">
        <v>1</v>
      </c>
      <c r="D688" s="4311" t="s">
        <v>42</v>
      </c>
      <c r="E688" s="4210">
        <v>7500</v>
      </c>
      <c r="F688" s="4226">
        <f t="shared" ref="F688" si="28">ROUND(C688*E688,2)</f>
        <v>7500</v>
      </c>
      <c r="G688" s="3557"/>
      <c r="H688" s="4329"/>
    </row>
    <row r="689" spans="1:7" s="4266" customFormat="1" ht="12.75" customHeight="1">
      <c r="A689" s="4304"/>
      <c r="B689" s="4304" t="s">
        <v>2123</v>
      </c>
      <c r="C689" s="4498"/>
      <c r="D689" s="4498"/>
      <c r="E689" s="4498"/>
      <c r="F689" s="4307">
        <f>SUM(F626:F688)</f>
        <v>756384.92</v>
      </c>
      <c r="G689" s="3557"/>
    </row>
    <row r="690" spans="1:7" s="4266" customFormat="1" ht="12.75" customHeight="1">
      <c r="A690" s="4333"/>
      <c r="B690" s="4333"/>
      <c r="C690" s="4504"/>
      <c r="D690" s="4504"/>
      <c r="E690" s="4504"/>
      <c r="F690" s="4405"/>
      <c r="G690" s="3557"/>
    </row>
    <row r="691" spans="1:7" s="4222" customFormat="1" ht="15">
      <c r="A691" s="4396" t="s">
        <v>2323</v>
      </c>
      <c r="B691" s="3435" t="s">
        <v>2164</v>
      </c>
      <c r="C691" s="4310"/>
      <c r="D691" s="4309"/>
      <c r="E691" s="4310"/>
      <c r="F691" s="4310" t="str">
        <f t="shared" si="27"/>
        <v xml:space="preserve"> </v>
      </c>
      <c r="G691" s="3557"/>
    </row>
    <row r="692" spans="1:7" ht="14.25" customHeight="1">
      <c r="A692" s="4388"/>
      <c r="B692" s="4230"/>
      <c r="C692" s="4231"/>
      <c r="D692" s="4249"/>
      <c r="E692" s="4233"/>
      <c r="F692" s="4233" t="str">
        <f t="shared" si="27"/>
        <v xml:space="preserve"> </v>
      </c>
    </row>
    <row r="693" spans="1:7" ht="15" customHeight="1">
      <c r="A693" s="4389">
        <v>1</v>
      </c>
      <c r="B693" s="4211" t="s">
        <v>2261</v>
      </c>
      <c r="C693" s="4231"/>
      <c r="D693" s="4249"/>
      <c r="E693" s="4233"/>
      <c r="F693" s="4233" t="str">
        <f t="shared" si="27"/>
        <v xml:space="preserve"> </v>
      </c>
    </row>
    <row r="694" spans="1:7" ht="15" customHeight="1">
      <c r="A694" s="4390">
        <v>1.1000000000000001</v>
      </c>
      <c r="B694" s="4211" t="s">
        <v>38</v>
      </c>
      <c r="C694" s="4231"/>
      <c r="D694" s="4249"/>
      <c r="E694" s="4233"/>
      <c r="F694" s="4233"/>
    </row>
    <row r="695" spans="1:7" ht="14.25" customHeight="1">
      <c r="A695" s="4388" t="s">
        <v>3914</v>
      </c>
      <c r="B695" s="4230" t="s">
        <v>3004</v>
      </c>
      <c r="C695" s="4233">
        <v>218.92</v>
      </c>
      <c r="D695" s="4249" t="s">
        <v>2430</v>
      </c>
      <c r="E695" s="4233">
        <v>154.51</v>
      </c>
      <c r="F695" s="4233">
        <f t="shared" ref="F695:F697" si="29">IF(C695&gt;0,(ROUND((E695*C695),2))," ")</f>
        <v>33825.33</v>
      </c>
    </row>
    <row r="696" spans="1:7" ht="14.25" customHeight="1">
      <c r="A696" s="4388" t="s">
        <v>3915</v>
      </c>
      <c r="B696" s="4230" t="s">
        <v>3913</v>
      </c>
      <c r="C696" s="4231">
        <v>80.69</v>
      </c>
      <c r="D696" s="4249" t="s">
        <v>2430</v>
      </c>
      <c r="E696" s="4233">
        <v>121.12</v>
      </c>
      <c r="F696" s="4233">
        <f t="shared" si="29"/>
        <v>9773.17</v>
      </c>
    </row>
    <row r="697" spans="1:7" ht="27" customHeight="1">
      <c r="A697" s="4388" t="s">
        <v>3916</v>
      </c>
      <c r="B697" s="4206" t="s">
        <v>3766</v>
      </c>
      <c r="C697" s="4231">
        <v>186.61</v>
      </c>
      <c r="D697" s="4249" t="s">
        <v>2525</v>
      </c>
      <c r="E697" s="4233">
        <v>210.08</v>
      </c>
      <c r="F697" s="4233">
        <f t="shared" si="29"/>
        <v>39203.03</v>
      </c>
    </row>
    <row r="698" spans="1:7" ht="14.25" customHeight="1">
      <c r="A698" s="4388"/>
      <c r="B698" s="4230"/>
      <c r="C698" s="4231"/>
      <c r="D698" s="4249"/>
      <c r="E698" s="4233"/>
      <c r="F698" s="4233"/>
    </row>
    <row r="699" spans="1:7" ht="15" customHeight="1">
      <c r="A699" s="4390">
        <v>1.2</v>
      </c>
      <c r="B699" s="4211" t="s">
        <v>3713</v>
      </c>
      <c r="C699" s="4231"/>
      <c r="D699" s="4249"/>
      <c r="E699" s="4233"/>
      <c r="F699" s="4233"/>
    </row>
    <row r="700" spans="1:7" ht="14.25" customHeight="1">
      <c r="A700" s="4388" t="s">
        <v>3905</v>
      </c>
      <c r="B700" s="4230" t="s">
        <v>3017</v>
      </c>
      <c r="C700" s="4231">
        <v>0.77</v>
      </c>
      <c r="D700" s="4249" t="s">
        <v>2430</v>
      </c>
      <c r="E700" s="4233">
        <v>18391.099999999999</v>
      </c>
      <c r="F700" s="4233">
        <f t="shared" ref="F700:F703" si="30">IF(C700&gt;0,(ROUND((E700*C700),2))," ")</f>
        <v>14161.15</v>
      </c>
    </row>
    <row r="701" spans="1:7" ht="14.25" customHeight="1">
      <c r="A701" s="4388" t="s">
        <v>3906</v>
      </c>
      <c r="B701" s="4230" t="s">
        <v>2420</v>
      </c>
      <c r="C701" s="4231">
        <v>32.58</v>
      </c>
      <c r="D701" s="4249" t="s">
        <v>2430</v>
      </c>
      <c r="E701" s="4233">
        <v>20809.66</v>
      </c>
      <c r="F701" s="4233">
        <f t="shared" si="30"/>
        <v>677978.72</v>
      </c>
    </row>
    <row r="702" spans="1:7" ht="14.25" customHeight="1">
      <c r="A702" s="4388" t="s">
        <v>3907</v>
      </c>
      <c r="B702" s="4230" t="s">
        <v>2421</v>
      </c>
      <c r="C702" s="4231">
        <v>22.07</v>
      </c>
      <c r="D702" s="4249" t="s">
        <v>2430</v>
      </c>
      <c r="E702" s="4233">
        <v>13096.66</v>
      </c>
      <c r="F702" s="4233">
        <f t="shared" si="30"/>
        <v>289043.28999999998</v>
      </c>
    </row>
    <row r="703" spans="1:7" ht="14.25" customHeight="1">
      <c r="A703" s="4388" t="s">
        <v>3917</v>
      </c>
      <c r="B703" s="4230" t="s">
        <v>2422</v>
      </c>
      <c r="C703" s="4231">
        <v>0.81</v>
      </c>
      <c r="D703" s="4249" t="s">
        <v>2430</v>
      </c>
      <c r="E703" s="4233">
        <v>16190.08</v>
      </c>
      <c r="F703" s="4233">
        <f t="shared" si="30"/>
        <v>13113.96</v>
      </c>
    </row>
    <row r="704" spans="1:7" ht="14.25" customHeight="1">
      <c r="A704" s="4388"/>
      <c r="B704" s="4230"/>
      <c r="C704" s="4231"/>
      <c r="D704" s="4249"/>
      <c r="E704" s="4233"/>
      <c r="F704" s="4233"/>
    </row>
    <row r="705" spans="1:7" ht="15" customHeight="1">
      <c r="A705" s="4390">
        <v>1.3</v>
      </c>
      <c r="B705" s="4211" t="s">
        <v>787</v>
      </c>
      <c r="C705" s="4231"/>
      <c r="D705" s="4249"/>
      <c r="E705" s="4233"/>
      <c r="F705" s="4233"/>
    </row>
    <row r="706" spans="1:7" ht="14.25" customHeight="1">
      <c r="A706" s="4388" t="s">
        <v>3908</v>
      </c>
      <c r="B706" s="4230" t="s">
        <v>2402</v>
      </c>
      <c r="C706" s="4231">
        <v>171.69</v>
      </c>
      <c r="D706" s="4249" t="s">
        <v>2432</v>
      </c>
      <c r="E706" s="4233">
        <v>336.35</v>
      </c>
      <c r="F706" s="4233">
        <f t="shared" ref="F706:F709" si="31">IF(C706&gt;0,(ROUND((E706*C706),2))," ")</f>
        <v>57747.93</v>
      </c>
    </row>
    <row r="707" spans="1:7" ht="14.25" customHeight="1">
      <c r="A707" s="4388" t="s">
        <v>3909</v>
      </c>
      <c r="B707" s="4230" t="s">
        <v>2395</v>
      </c>
      <c r="C707" s="4231">
        <v>38.770000000000003</v>
      </c>
      <c r="D707" s="4249" t="s">
        <v>2432</v>
      </c>
      <c r="E707" s="4233">
        <v>382.2</v>
      </c>
      <c r="F707" s="4233">
        <f t="shared" si="31"/>
        <v>14817.89</v>
      </c>
    </row>
    <row r="708" spans="1:7" ht="14.25" customHeight="1">
      <c r="A708" s="4388" t="s">
        <v>3910</v>
      </c>
      <c r="B708" s="4230" t="s">
        <v>2423</v>
      </c>
      <c r="C708" s="4231">
        <v>73.569999999999993</v>
      </c>
      <c r="D708" s="4249" t="s">
        <v>2432</v>
      </c>
      <c r="E708" s="4233">
        <v>611.6</v>
      </c>
      <c r="F708" s="4233">
        <f t="shared" si="31"/>
        <v>44995.41</v>
      </c>
    </row>
    <row r="709" spans="1:7" s="4166" customFormat="1" ht="14.25" customHeight="1">
      <c r="A709" s="4388" t="s">
        <v>3911</v>
      </c>
      <c r="B709" s="4230" t="s">
        <v>1548</v>
      </c>
      <c r="C709" s="4231">
        <v>114.22</v>
      </c>
      <c r="D709" s="4249" t="s">
        <v>1</v>
      </c>
      <c r="E709" s="4233">
        <v>107.14</v>
      </c>
      <c r="F709" s="4233">
        <f t="shared" si="31"/>
        <v>12237.53</v>
      </c>
      <c r="G709" s="3557"/>
    </row>
    <row r="710" spans="1:7" ht="14.25" customHeight="1">
      <c r="A710" s="4454"/>
      <c r="B710" s="4450"/>
      <c r="C710" s="4464"/>
      <c r="D710" s="4465"/>
      <c r="E710" s="4466"/>
      <c r="F710" s="4466"/>
    </row>
    <row r="711" spans="1:7" ht="15" customHeight="1">
      <c r="A711" s="4389">
        <v>2</v>
      </c>
      <c r="B711" s="4211" t="s">
        <v>2278</v>
      </c>
      <c r="C711" s="4231"/>
      <c r="D711" s="4249"/>
      <c r="E711" s="4233"/>
      <c r="F711" s="4233"/>
    </row>
    <row r="712" spans="1:7" ht="15" customHeight="1">
      <c r="A712" s="4390">
        <v>2.1</v>
      </c>
      <c r="B712" s="4211" t="s">
        <v>38</v>
      </c>
      <c r="C712" s="4231"/>
      <c r="D712" s="4249"/>
      <c r="E712" s="4233"/>
      <c r="F712" s="4233"/>
    </row>
    <row r="713" spans="1:7" ht="14.25" customHeight="1">
      <c r="A713" s="4388" t="s">
        <v>1182</v>
      </c>
      <c r="B713" s="4230" t="s">
        <v>3004</v>
      </c>
      <c r="C713" s="4231">
        <v>262.64</v>
      </c>
      <c r="D713" s="4249" t="s">
        <v>2430</v>
      </c>
      <c r="E713" s="4233">
        <v>154.51</v>
      </c>
      <c r="F713" s="4233">
        <f t="shared" ref="F713:F715" si="32">IF(C713&gt;0,(ROUND((E713*C713),2))," ")</f>
        <v>40580.51</v>
      </c>
    </row>
    <row r="714" spans="1:7" ht="14.25" customHeight="1">
      <c r="A714" s="4388" t="s">
        <v>1183</v>
      </c>
      <c r="B714" s="4230" t="s">
        <v>2419</v>
      </c>
      <c r="C714" s="4231">
        <v>70.58</v>
      </c>
      <c r="D714" s="4249" t="s">
        <v>2430</v>
      </c>
      <c r="E714" s="4233">
        <v>121.12</v>
      </c>
      <c r="F714" s="4233">
        <f t="shared" si="32"/>
        <v>8548.65</v>
      </c>
    </row>
    <row r="715" spans="1:7" ht="14.25" customHeight="1">
      <c r="A715" s="4388" t="s">
        <v>1958</v>
      </c>
      <c r="B715" s="4206" t="s">
        <v>3766</v>
      </c>
      <c r="C715" s="4231">
        <v>259.27999999999997</v>
      </c>
      <c r="D715" s="4249" t="s">
        <v>2525</v>
      </c>
      <c r="E715" s="4233">
        <v>210</v>
      </c>
      <c r="F715" s="4233">
        <f t="shared" si="32"/>
        <v>54448.800000000003</v>
      </c>
    </row>
    <row r="716" spans="1:7" ht="14.25" customHeight="1">
      <c r="A716" s="4388"/>
      <c r="B716" s="4230"/>
      <c r="C716" s="4231"/>
      <c r="D716" s="4249"/>
      <c r="E716" s="4233"/>
      <c r="F716" s="4233"/>
    </row>
    <row r="717" spans="1:7" ht="15" customHeight="1">
      <c r="A717" s="4390">
        <v>2.2000000000000002</v>
      </c>
      <c r="B717" s="4211" t="s">
        <v>3714</v>
      </c>
      <c r="C717" s="4231"/>
      <c r="D717" s="4249"/>
      <c r="E717" s="4233"/>
      <c r="F717" s="4233"/>
    </row>
    <row r="718" spans="1:7" ht="14.25" customHeight="1">
      <c r="A718" s="4388" t="s">
        <v>3918</v>
      </c>
      <c r="B718" s="4230" t="s">
        <v>3019</v>
      </c>
      <c r="C718" s="4231">
        <v>19.190000000000001</v>
      </c>
      <c r="D718" s="4249" t="s">
        <v>2430</v>
      </c>
      <c r="E718" s="4233">
        <v>8435.86</v>
      </c>
      <c r="F718" s="4233">
        <f t="shared" ref="F718:F722" si="33">IF(C718&gt;0,(ROUND((E718*C718),2))," ")</f>
        <v>161884.15</v>
      </c>
    </row>
    <row r="719" spans="1:7" ht="14.25" customHeight="1">
      <c r="A719" s="4388" t="s">
        <v>3919</v>
      </c>
      <c r="B719" s="4230" t="s">
        <v>3024</v>
      </c>
      <c r="C719" s="4231">
        <v>1.31</v>
      </c>
      <c r="D719" s="4249" t="s">
        <v>2430</v>
      </c>
      <c r="E719" s="4233">
        <v>20439.71</v>
      </c>
      <c r="F719" s="4233">
        <f t="shared" si="33"/>
        <v>26776.02</v>
      </c>
    </row>
    <row r="720" spans="1:7" ht="14.25" customHeight="1">
      <c r="A720" s="4388" t="s">
        <v>3920</v>
      </c>
      <c r="B720" s="4230" t="s">
        <v>3018</v>
      </c>
      <c r="C720" s="4231">
        <v>30.2</v>
      </c>
      <c r="D720" s="4249" t="s">
        <v>2430</v>
      </c>
      <c r="E720" s="4233">
        <v>20256.25</v>
      </c>
      <c r="F720" s="4233">
        <f t="shared" si="33"/>
        <v>611738.75</v>
      </c>
    </row>
    <row r="721" spans="1:7" ht="14.25" customHeight="1">
      <c r="A721" s="4388" t="s">
        <v>3921</v>
      </c>
      <c r="B721" s="4230" t="s">
        <v>2424</v>
      </c>
      <c r="C721" s="4231">
        <v>11.27</v>
      </c>
      <c r="D721" s="4249" t="s">
        <v>2430</v>
      </c>
      <c r="E721" s="4233">
        <v>13096.66</v>
      </c>
      <c r="F721" s="4233">
        <f t="shared" si="33"/>
        <v>147599.35999999999</v>
      </c>
    </row>
    <row r="722" spans="1:7" ht="14.25" customHeight="1">
      <c r="A722" s="4388" t="s">
        <v>3922</v>
      </c>
      <c r="B722" s="4230" t="s">
        <v>2422</v>
      </c>
      <c r="C722" s="4231">
        <v>1.32</v>
      </c>
      <c r="D722" s="4249" t="s">
        <v>2430</v>
      </c>
      <c r="E722" s="4233">
        <v>16190.08</v>
      </c>
      <c r="F722" s="4233">
        <f t="shared" si="33"/>
        <v>21370.91</v>
      </c>
    </row>
    <row r="723" spans="1:7" ht="14.25" customHeight="1">
      <c r="A723" s="4388"/>
      <c r="B723" s="4230"/>
      <c r="C723" s="4231"/>
      <c r="D723" s="4249"/>
      <c r="E723" s="4233"/>
      <c r="F723" s="4233"/>
    </row>
    <row r="724" spans="1:7" ht="15" customHeight="1">
      <c r="A724" s="4390">
        <v>2.2999999999999998</v>
      </c>
      <c r="B724" s="4211" t="s">
        <v>859</v>
      </c>
      <c r="C724" s="4231"/>
      <c r="D724" s="4249"/>
      <c r="E724" s="4233"/>
      <c r="F724" s="4233"/>
    </row>
    <row r="725" spans="1:7" ht="14.25" customHeight="1">
      <c r="A725" s="4388" t="s">
        <v>3923</v>
      </c>
      <c r="B725" s="4230" t="s">
        <v>2402</v>
      </c>
      <c r="C725" s="4231">
        <v>158.15</v>
      </c>
      <c r="D725" s="4249" t="s">
        <v>2432</v>
      </c>
      <c r="E725" s="4233">
        <v>336.35</v>
      </c>
      <c r="F725" s="4233">
        <f t="shared" ref="F725:F728" si="34">IF(C725&gt;0,(ROUND((E725*C725),2))," ")</f>
        <v>53193.75</v>
      </c>
    </row>
    <row r="726" spans="1:7" ht="14.25" customHeight="1">
      <c r="A726" s="4388" t="s">
        <v>3924</v>
      </c>
      <c r="B726" s="4230" t="s">
        <v>2395</v>
      </c>
      <c r="C726" s="4231">
        <v>39.5</v>
      </c>
      <c r="D726" s="4249" t="s">
        <v>2432</v>
      </c>
      <c r="E726" s="4233">
        <v>382.2</v>
      </c>
      <c r="F726" s="4233">
        <f t="shared" si="34"/>
        <v>15096.9</v>
      </c>
    </row>
    <row r="727" spans="1:7" ht="14.25" customHeight="1">
      <c r="A727" s="4388" t="s">
        <v>3925</v>
      </c>
      <c r="B727" s="4230" t="s">
        <v>2423</v>
      </c>
      <c r="C727" s="4231">
        <v>93.25</v>
      </c>
      <c r="D727" s="4249" t="s">
        <v>2432</v>
      </c>
      <c r="E727" s="4233">
        <v>611.6</v>
      </c>
      <c r="F727" s="4233">
        <f t="shared" si="34"/>
        <v>57031.7</v>
      </c>
    </row>
    <row r="728" spans="1:7" s="4166" customFormat="1" ht="14.25" customHeight="1">
      <c r="A728" s="4388" t="s">
        <v>3926</v>
      </c>
      <c r="B728" s="4230" t="s">
        <v>1548</v>
      </c>
      <c r="C728" s="4231">
        <v>119.75</v>
      </c>
      <c r="D728" s="4249" t="s">
        <v>1</v>
      </c>
      <c r="E728" s="4233">
        <v>107.14</v>
      </c>
      <c r="F728" s="4233">
        <f t="shared" si="34"/>
        <v>12830.02</v>
      </c>
      <c r="G728" s="3557"/>
    </row>
    <row r="729" spans="1:7" s="4266" customFormat="1" ht="12.75" customHeight="1">
      <c r="A729" s="4304"/>
      <c r="B729" s="4304" t="s">
        <v>2324</v>
      </c>
      <c r="C729" s="4498"/>
      <c r="D729" s="4498"/>
      <c r="E729" s="4498"/>
      <c r="F729" s="4307">
        <f>SUM(F691:F728)</f>
        <v>2417996.9300000002</v>
      </c>
      <c r="G729" s="3557"/>
    </row>
    <row r="730" spans="1:7" ht="15" customHeight="1">
      <c r="A730" s="4393"/>
      <c r="B730" s="3435"/>
      <c r="C730" s="4264"/>
      <c r="D730" s="4271"/>
      <c r="E730" s="4264"/>
      <c r="F730" s="4264"/>
    </row>
    <row r="731" spans="1:7" s="4222" customFormat="1" ht="30">
      <c r="A731" s="4396" t="s">
        <v>2545</v>
      </c>
      <c r="B731" s="3435" t="s">
        <v>3947</v>
      </c>
      <c r="C731" s="4310"/>
      <c r="D731" s="4309"/>
      <c r="E731" s="4310"/>
      <c r="F731" s="4310" t="str">
        <f t="shared" ref="F731:F794" si="35">IF(C731&gt;0,(ROUND((E731*C731),2))," ")</f>
        <v xml:space="preserve"> </v>
      </c>
      <c r="G731" s="3557"/>
    </row>
    <row r="732" spans="1:7" ht="14.25" customHeight="1">
      <c r="A732" s="4388"/>
      <c r="B732" s="3432"/>
      <c r="C732" s="4231"/>
      <c r="D732" s="4249"/>
      <c r="E732" s="4233"/>
      <c r="F732" s="4233" t="str">
        <f t="shared" si="35"/>
        <v xml:space="preserve"> </v>
      </c>
    </row>
    <row r="733" spans="1:7" ht="14.25" customHeight="1">
      <c r="A733" s="4389">
        <v>1</v>
      </c>
      <c r="B733" s="3432" t="s">
        <v>2353</v>
      </c>
      <c r="C733" s="4231">
        <v>460.4</v>
      </c>
      <c r="D733" s="4249" t="s">
        <v>1</v>
      </c>
      <c r="E733" s="4233">
        <v>16.11</v>
      </c>
      <c r="F733" s="4233">
        <f>+E733*C733</f>
        <v>7417.04</v>
      </c>
    </row>
    <row r="734" spans="1:7" ht="14.25" customHeight="1">
      <c r="A734" s="4388"/>
      <c r="B734" s="3432"/>
      <c r="C734" s="4231"/>
      <c r="D734" s="4249"/>
      <c r="E734" s="4233"/>
      <c r="F734" s="4233"/>
    </row>
    <row r="735" spans="1:7" ht="18" customHeight="1">
      <c r="A735" s="4389">
        <v>2</v>
      </c>
      <c r="B735" s="4342" t="s">
        <v>14</v>
      </c>
      <c r="C735" s="4231"/>
      <c r="D735" s="4249"/>
      <c r="E735" s="4233"/>
      <c r="F735" s="4233" t="str">
        <f t="shared" si="35"/>
        <v xml:space="preserve"> </v>
      </c>
    </row>
    <row r="736" spans="1:7" ht="15" customHeight="1">
      <c r="A736" s="4392">
        <v>2.1</v>
      </c>
      <c r="B736" s="4230" t="s">
        <v>3726</v>
      </c>
      <c r="C736" s="4231">
        <v>824.2</v>
      </c>
      <c r="D736" s="4249" t="s">
        <v>2527</v>
      </c>
      <c r="E736" s="4233">
        <v>330.24</v>
      </c>
      <c r="F736" s="4233">
        <f t="shared" si="35"/>
        <v>272183.81</v>
      </c>
    </row>
    <row r="737" spans="1:6" ht="15" customHeight="1">
      <c r="A737" s="4392">
        <v>2.2000000000000002</v>
      </c>
      <c r="B737" s="4230" t="s">
        <v>3479</v>
      </c>
      <c r="C737" s="4231">
        <v>759.11</v>
      </c>
      <c r="D737" s="4249" t="s">
        <v>2526</v>
      </c>
      <c r="E737" s="4233">
        <v>121.12</v>
      </c>
      <c r="F737" s="4233">
        <f t="shared" si="35"/>
        <v>91943.4</v>
      </c>
    </row>
    <row r="738" spans="1:6" ht="15" customHeight="1">
      <c r="A738" s="4392">
        <v>2.2999999999999998</v>
      </c>
      <c r="B738" s="4230" t="s">
        <v>3765</v>
      </c>
      <c r="C738" s="4231">
        <v>31.6</v>
      </c>
      <c r="D738" s="4249" t="s">
        <v>2430</v>
      </c>
      <c r="E738" s="4233">
        <v>1313.13</v>
      </c>
      <c r="F738" s="4233">
        <f t="shared" si="35"/>
        <v>41494.910000000003</v>
      </c>
    </row>
    <row r="739" spans="1:6" ht="30" customHeight="1">
      <c r="A739" s="4392">
        <v>2.4</v>
      </c>
      <c r="B739" s="4206" t="s">
        <v>3766</v>
      </c>
      <c r="C739" s="4231">
        <v>78.099999999999994</v>
      </c>
      <c r="D739" s="4249" t="s">
        <v>2525</v>
      </c>
      <c r="E739" s="4233">
        <v>210</v>
      </c>
      <c r="F739" s="4233">
        <f t="shared" si="35"/>
        <v>16401</v>
      </c>
    </row>
    <row r="740" spans="1:6" ht="15" customHeight="1">
      <c r="A740" s="4393"/>
      <c r="B740" s="3435"/>
      <c r="C740" s="4231"/>
      <c r="D740" s="4249"/>
      <c r="E740" s="4233"/>
      <c r="F740" s="4233" t="str">
        <f t="shared" si="35"/>
        <v xml:space="preserve"> </v>
      </c>
    </row>
    <row r="741" spans="1:6" ht="15" customHeight="1">
      <c r="A741" s="4389">
        <v>3</v>
      </c>
      <c r="B741" s="4342" t="s">
        <v>3727</v>
      </c>
      <c r="C741" s="4231"/>
      <c r="D741" s="4249"/>
      <c r="E741" s="4233"/>
      <c r="F741" s="4233" t="str">
        <f t="shared" si="35"/>
        <v xml:space="preserve"> </v>
      </c>
    </row>
    <row r="742" spans="1:6" ht="15" customHeight="1">
      <c r="A742" s="4392">
        <v>3.1</v>
      </c>
      <c r="B742" s="4230" t="s">
        <v>3730</v>
      </c>
      <c r="C742" s="4231">
        <v>46</v>
      </c>
      <c r="D742" s="4249" t="s">
        <v>1</v>
      </c>
      <c r="E742" s="4233">
        <v>6908.66</v>
      </c>
      <c r="F742" s="4233">
        <f t="shared" si="35"/>
        <v>317798.36</v>
      </c>
    </row>
    <row r="743" spans="1:6" ht="15" customHeight="1">
      <c r="A743" s="4392">
        <v>3.2</v>
      </c>
      <c r="B743" s="4230" t="s">
        <v>3729</v>
      </c>
      <c r="C743" s="4231">
        <v>2</v>
      </c>
      <c r="D743" s="4249" t="s">
        <v>1</v>
      </c>
      <c r="E743" s="4233">
        <v>3681.97</v>
      </c>
      <c r="F743" s="4233">
        <f t="shared" si="35"/>
        <v>7363.94</v>
      </c>
    </row>
    <row r="744" spans="1:6" ht="15" customHeight="1">
      <c r="A744" s="4392">
        <v>3.3</v>
      </c>
      <c r="B744" s="4230" t="s">
        <v>3728</v>
      </c>
      <c r="C744" s="4505">
        <v>399.78</v>
      </c>
      <c r="D744" s="4249" t="s">
        <v>1</v>
      </c>
      <c r="E744" s="4233">
        <v>7090.87</v>
      </c>
      <c r="F744" s="4233">
        <f>IF(C744&gt;0,(ROUND((E744*C744),2))," ")</f>
        <v>2834788.01</v>
      </c>
    </row>
    <row r="745" spans="1:6" ht="15" customHeight="1">
      <c r="A745" s="4392">
        <v>3.4</v>
      </c>
      <c r="B745" s="4230" t="s">
        <v>3927</v>
      </c>
      <c r="C745" s="4231">
        <v>49.92</v>
      </c>
      <c r="D745" s="4249" t="s">
        <v>1</v>
      </c>
      <c r="E745" s="4233">
        <v>3544.84</v>
      </c>
      <c r="F745" s="4233">
        <f>IF(C745&gt;0,(ROUND((E745*C745),2))," ")</f>
        <v>176958.41</v>
      </c>
    </row>
    <row r="746" spans="1:6" ht="15" customHeight="1">
      <c r="A746" s="4393"/>
      <c r="B746" s="3435"/>
      <c r="C746" s="4231"/>
      <c r="D746" s="4249"/>
      <c r="E746" s="4233"/>
      <c r="F746" s="4233" t="str">
        <f t="shared" si="35"/>
        <v xml:space="preserve"> </v>
      </c>
    </row>
    <row r="747" spans="1:6" ht="15" customHeight="1">
      <c r="A747" s="4389">
        <v>4</v>
      </c>
      <c r="B747" s="4342" t="s">
        <v>3732</v>
      </c>
      <c r="C747" s="4231"/>
      <c r="D747" s="4249"/>
      <c r="E747" s="4233"/>
      <c r="F747" s="4233" t="str">
        <f t="shared" si="35"/>
        <v xml:space="preserve"> </v>
      </c>
    </row>
    <row r="748" spans="1:6" ht="15" customHeight="1">
      <c r="A748" s="4392">
        <v>4.0999999999999996</v>
      </c>
      <c r="B748" s="4230" t="s">
        <v>3481</v>
      </c>
      <c r="C748" s="4231">
        <v>46</v>
      </c>
      <c r="D748" s="4249" t="s">
        <v>1</v>
      </c>
      <c r="E748" s="4403">
        <v>213.05</v>
      </c>
      <c r="F748" s="4233">
        <f t="shared" si="35"/>
        <v>9800.2999999999993</v>
      </c>
    </row>
    <row r="749" spans="1:6" ht="15" customHeight="1">
      <c r="A749" s="4392">
        <v>4.2</v>
      </c>
      <c r="B749" s="4230" t="s">
        <v>3482</v>
      </c>
      <c r="C749" s="4231">
        <v>2</v>
      </c>
      <c r="D749" s="4249" t="s">
        <v>1</v>
      </c>
      <c r="E749" s="4403">
        <v>101.14</v>
      </c>
      <c r="F749" s="4233">
        <f t="shared" si="35"/>
        <v>202.28</v>
      </c>
    </row>
    <row r="750" spans="1:6" ht="15" customHeight="1">
      <c r="A750" s="4392">
        <v>4.3</v>
      </c>
      <c r="B750" s="4230" t="s">
        <v>3731</v>
      </c>
      <c r="C750" s="4231">
        <v>364.4</v>
      </c>
      <c r="D750" s="4249" t="s">
        <v>1</v>
      </c>
      <c r="E750" s="4403">
        <v>55.95</v>
      </c>
      <c r="F750" s="4233">
        <f>IF(C750&gt;0,(ROUND((E750*C750),2))," ")</f>
        <v>20388.18</v>
      </c>
    </row>
    <row r="751" spans="1:6" ht="15" customHeight="1">
      <c r="A751" s="4392">
        <v>4.4000000000000004</v>
      </c>
      <c r="B751" s="4230" t="s">
        <v>3725</v>
      </c>
      <c r="C751" s="4231">
        <v>48</v>
      </c>
      <c r="D751" s="4249" t="s">
        <v>1</v>
      </c>
      <c r="E751" s="4403">
        <v>43.04</v>
      </c>
      <c r="F751" s="4233">
        <f>IF(C751&gt;0,(ROUND((E751*C751),2))," ")</f>
        <v>2065.92</v>
      </c>
    </row>
    <row r="752" spans="1:6" ht="15" customHeight="1">
      <c r="A752" s="4393"/>
      <c r="B752" s="4230"/>
      <c r="C752" s="4231"/>
      <c r="D752" s="4249"/>
      <c r="E752" s="4233"/>
      <c r="F752" s="4233" t="str">
        <f t="shared" si="35"/>
        <v xml:space="preserve"> </v>
      </c>
    </row>
    <row r="753" spans="1:6" ht="14.25" customHeight="1">
      <c r="A753" s="4389">
        <v>5</v>
      </c>
      <c r="B753" s="4342" t="s">
        <v>3767</v>
      </c>
      <c r="C753" s="4231"/>
      <c r="D753" s="4249"/>
      <c r="E753" s="4233"/>
      <c r="F753" s="4233" t="str">
        <f t="shared" si="35"/>
        <v xml:space="preserve"> </v>
      </c>
    </row>
    <row r="754" spans="1:6" ht="15" customHeight="1">
      <c r="A754" s="4392">
        <v>5.0999999999999996</v>
      </c>
      <c r="B754" s="4230" t="s">
        <v>3733</v>
      </c>
      <c r="C754" s="4231">
        <v>6</v>
      </c>
      <c r="D754" s="4249" t="s">
        <v>2433</v>
      </c>
      <c r="E754" s="4233">
        <v>140043.67000000001</v>
      </c>
      <c r="F754" s="4233">
        <f>IF(C754&gt;0,(ROUND((E754*C754),2))," ")</f>
        <v>840262.02</v>
      </c>
    </row>
    <row r="755" spans="1:6" ht="15" customHeight="1">
      <c r="A755" s="4392">
        <v>5.2</v>
      </c>
      <c r="B755" s="4230" t="s">
        <v>3734</v>
      </c>
      <c r="C755" s="4231">
        <v>4</v>
      </c>
      <c r="D755" s="4249" t="s">
        <v>2433</v>
      </c>
      <c r="E755" s="4233">
        <v>70116.44</v>
      </c>
      <c r="F755" s="4233">
        <f>IF(C755&gt;0,(ROUND((E755*C755),2))," ")</f>
        <v>280465.76</v>
      </c>
    </row>
    <row r="756" spans="1:6" ht="15" customHeight="1">
      <c r="A756" s="4392">
        <v>5.3</v>
      </c>
      <c r="B756" s="4230" t="s">
        <v>3768</v>
      </c>
      <c r="C756" s="4231">
        <v>2</v>
      </c>
      <c r="D756" s="4249" t="s">
        <v>2433</v>
      </c>
      <c r="E756" s="4233">
        <v>14160.67</v>
      </c>
      <c r="F756" s="4233">
        <f t="shared" si="35"/>
        <v>28321.34</v>
      </c>
    </row>
    <row r="757" spans="1:6" ht="15" customHeight="1">
      <c r="A757" s="4392">
        <v>5.4</v>
      </c>
      <c r="B757" s="4230" t="s">
        <v>3768</v>
      </c>
      <c r="C757" s="4231">
        <v>1</v>
      </c>
      <c r="D757" s="4249" t="s">
        <v>2433</v>
      </c>
      <c r="E757" s="4233">
        <v>14160.67</v>
      </c>
      <c r="F757" s="4233">
        <f t="shared" si="35"/>
        <v>14160.67</v>
      </c>
    </row>
    <row r="758" spans="1:6" ht="15" customHeight="1">
      <c r="A758" s="4392">
        <v>5.5</v>
      </c>
      <c r="B758" s="4230" t="s">
        <v>3771</v>
      </c>
      <c r="C758" s="4231">
        <v>6</v>
      </c>
      <c r="D758" s="4249" t="s">
        <v>2433</v>
      </c>
      <c r="E758" s="4233">
        <v>11305.07</v>
      </c>
      <c r="F758" s="4233">
        <f t="shared" si="35"/>
        <v>67830.42</v>
      </c>
    </row>
    <row r="759" spans="1:6" ht="15" customHeight="1">
      <c r="A759" s="4449">
        <v>5.6</v>
      </c>
      <c r="B759" s="4450" t="s">
        <v>3769</v>
      </c>
      <c r="C759" s="4464">
        <v>2</v>
      </c>
      <c r="D759" s="4465" t="s">
        <v>2433</v>
      </c>
      <c r="E759" s="4466">
        <v>11564.67</v>
      </c>
      <c r="F759" s="4466">
        <f t="shared" si="35"/>
        <v>23129.34</v>
      </c>
    </row>
    <row r="760" spans="1:6" ht="15" customHeight="1">
      <c r="A760" s="4392">
        <v>5.7</v>
      </c>
      <c r="B760" s="4230" t="s">
        <v>3770</v>
      </c>
      <c r="C760" s="4231">
        <v>3</v>
      </c>
      <c r="D760" s="4249" t="s">
        <v>2433</v>
      </c>
      <c r="E760" s="4233">
        <v>23843.53</v>
      </c>
      <c r="F760" s="4233">
        <f t="shared" si="35"/>
        <v>71530.59</v>
      </c>
    </row>
    <row r="761" spans="1:6" ht="15" customHeight="1">
      <c r="A761" s="4392">
        <v>5.8</v>
      </c>
      <c r="B761" s="4230" t="s">
        <v>3770</v>
      </c>
      <c r="C761" s="4231">
        <v>3</v>
      </c>
      <c r="D761" s="4249" t="s">
        <v>2433</v>
      </c>
      <c r="E761" s="4233">
        <v>23843.53</v>
      </c>
      <c r="F761" s="4233">
        <f t="shared" si="35"/>
        <v>71530.59</v>
      </c>
    </row>
    <row r="762" spans="1:6" ht="15" customHeight="1">
      <c r="A762" s="4392">
        <v>5.9</v>
      </c>
      <c r="B762" s="4230" t="s">
        <v>3773</v>
      </c>
      <c r="C762" s="4231">
        <v>3</v>
      </c>
      <c r="D762" s="4249" t="s">
        <v>2433</v>
      </c>
      <c r="E762" s="4233">
        <v>4516.01</v>
      </c>
      <c r="F762" s="4233">
        <f t="shared" si="35"/>
        <v>13548.03</v>
      </c>
    </row>
    <row r="763" spans="1:6" ht="15" customHeight="1">
      <c r="A763" s="4388">
        <v>5.0999999999999996</v>
      </c>
      <c r="B763" s="4230" t="s">
        <v>3774</v>
      </c>
      <c r="C763" s="4231">
        <v>3</v>
      </c>
      <c r="D763" s="4249" t="s">
        <v>2433</v>
      </c>
      <c r="E763" s="4233">
        <v>4516.01</v>
      </c>
      <c r="F763" s="4233">
        <f t="shared" si="35"/>
        <v>13548.03</v>
      </c>
    </row>
    <row r="764" spans="1:6" ht="15" customHeight="1">
      <c r="A764" s="4388">
        <v>5.1100000000000003</v>
      </c>
      <c r="B764" s="4230" t="s">
        <v>3497</v>
      </c>
      <c r="C764" s="4231">
        <v>2</v>
      </c>
      <c r="D764" s="4249" t="s">
        <v>2433</v>
      </c>
      <c r="E764" s="4403">
        <v>10030</v>
      </c>
      <c r="F764" s="4233">
        <f>IF(C764&gt;0,(ROUND((E764*C764),2))," ")</f>
        <v>20060</v>
      </c>
    </row>
    <row r="765" spans="1:6" ht="15" customHeight="1">
      <c r="A765" s="4388">
        <v>5.12</v>
      </c>
      <c r="B765" s="4230" t="s">
        <v>3515</v>
      </c>
      <c r="C765" s="4231">
        <v>2</v>
      </c>
      <c r="D765" s="4249" t="s">
        <v>2433</v>
      </c>
      <c r="E765" s="4403">
        <v>10030</v>
      </c>
      <c r="F765" s="4233">
        <f>IF(C765&gt;0,(ROUND((E765*C765),2))," ")</f>
        <v>20060</v>
      </c>
    </row>
    <row r="766" spans="1:6" ht="15" customHeight="1">
      <c r="A766" s="4388">
        <v>5.13</v>
      </c>
      <c r="B766" s="4230" t="s">
        <v>3498</v>
      </c>
      <c r="C766" s="4231">
        <v>4</v>
      </c>
      <c r="D766" s="4249" t="s">
        <v>2433</v>
      </c>
      <c r="E766" s="4403">
        <v>2950</v>
      </c>
      <c r="F766" s="4233">
        <f>IF(C766&gt;0,(ROUND((E766*C766),2))," ")</f>
        <v>11800</v>
      </c>
    </row>
    <row r="767" spans="1:6" ht="15" customHeight="1">
      <c r="A767" s="4388">
        <v>5.14</v>
      </c>
      <c r="B767" s="4230" t="s">
        <v>3499</v>
      </c>
      <c r="C767" s="4231">
        <v>4</v>
      </c>
      <c r="D767" s="4249" t="s">
        <v>2433</v>
      </c>
      <c r="E767" s="4403">
        <v>18600</v>
      </c>
      <c r="F767" s="4233">
        <f>IF(C767&gt;0,(ROUND((E767*C767),2))," ")</f>
        <v>74400</v>
      </c>
    </row>
    <row r="768" spans="1:6" ht="15" customHeight="1">
      <c r="A768" s="4388">
        <v>5.15</v>
      </c>
      <c r="B768" s="4230" t="s">
        <v>3500</v>
      </c>
      <c r="C768" s="4231">
        <v>1</v>
      </c>
      <c r="D768" s="4249" t="s">
        <v>2433</v>
      </c>
      <c r="E768" s="4403">
        <v>4720</v>
      </c>
      <c r="F768" s="4233">
        <f>IF(C768&gt;0,(ROUND((E768*C768),2))," ")</f>
        <v>4720</v>
      </c>
    </row>
    <row r="769" spans="1:7" ht="15" customHeight="1">
      <c r="A769" s="4388">
        <v>5.16</v>
      </c>
      <c r="B769" s="4230" t="s">
        <v>3772</v>
      </c>
      <c r="C769" s="4231">
        <v>1</v>
      </c>
      <c r="D769" s="4249" t="s">
        <v>2433</v>
      </c>
      <c r="E769" s="4233">
        <v>6473.67</v>
      </c>
      <c r="F769" s="4233">
        <f t="shared" si="35"/>
        <v>6473.67</v>
      </c>
    </row>
    <row r="770" spans="1:7" ht="15.75" customHeight="1">
      <c r="A770" s="4388">
        <v>5.17</v>
      </c>
      <c r="B770" s="4230" t="s">
        <v>3764</v>
      </c>
      <c r="C770" s="4231">
        <v>1</v>
      </c>
      <c r="D770" s="4249" t="s">
        <v>2433</v>
      </c>
      <c r="E770" s="4403">
        <v>29826.62</v>
      </c>
      <c r="F770" s="4233">
        <f t="shared" si="35"/>
        <v>29826.62</v>
      </c>
    </row>
    <row r="771" spans="1:7" ht="15" customHeight="1">
      <c r="A771" s="4388">
        <v>5.18</v>
      </c>
      <c r="B771" s="4230" t="s">
        <v>3762</v>
      </c>
      <c r="C771" s="4231">
        <v>2</v>
      </c>
      <c r="D771" s="4249" t="s">
        <v>2433</v>
      </c>
      <c r="E771" s="4403">
        <v>19676.25</v>
      </c>
      <c r="F771" s="4233">
        <f t="shared" si="35"/>
        <v>39352.5</v>
      </c>
    </row>
    <row r="772" spans="1:7" ht="15" customHeight="1">
      <c r="A772" s="4388">
        <v>5.19</v>
      </c>
      <c r="B772" s="4230" t="s">
        <v>3763</v>
      </c>
      <c r="C772" s="4231">
        <v>2</v>
      </c>
      <c r="D772" s="4249" t="s">
        <v>2433</v>
      </c>
      <c r="E772" s="4403">
        <v>15263.03</v>
      </c>
      <c r="F772" s="4233">
        <f t="shared" si="35"/>
        <v>30526.06</v>
      </c>
    </row>
    <row r="773" spans="1:7" ht="15" customHeight="1">
      <c r="A773" s="4388">
        <v>5.2</v>
      </c>
      <c r="B773" s="4230" t="s">
        <v>3775</v>
      </c>
      <c r="C773" s="4231">
        <v>1</v>
      </c>
      <c r="D773" s="4249" t="s">
        <v>42</v>
      </c>
      <c r="E773" s="4403">
        <v>1500</v>
      </c>
      <c r="F773" s="4233">
        <f t="shared" si="35"/>
        <v>1500</v>
      </c>
    </row>
    <row r="774" spans="1:7" ht="15" customHeight="1">
      <c r="A774" s="4393"/>
      <c r="B774" s="4230"/>
      <c r="C774" s="4231"/>
      <c r="D774" s="4249"/>
      <c r="E774" s="4233"/>
      <c r="F774" s="4233" t="str">
        <f t="shared" si="35"/>
        <v xml:space="preserve"> </v>
      </c>
    </row>
    <row r="775" spans="1:7" ht="15.75" customHeight="1">
      <c r="A775" s="4389">
        <v>6</v>
      </c>
      <c r="B775" s="4342" t="s">
        <v>3719</v>
      </c>
      <c r="C775" s="4231"/>
      <c r="D775" s="4249"/>
      <c r="E775" s="4233"/>
      <c r="F775" s="4233" t="str">
        <f t="shared" si="35"/>
        <v xml:space="preserve"> </v>
      </c>
    </row>
    <row r="776" spans="1:7" s="4225" customFormat="1" ht="14.25" customHeight="1">
      <c r="A776" s="4392">
        <v>6.1</v>
      </c>
      <c r="B776" s="4230" t="s">
        <v>3720</v>
      </c>
      <c r="C776" s="4231">
        <v>1</v>
      </c>
      <c r="D776" s="4249" t="s">
        <v>2433</v>
      </c>
      <c r="E776" s="4233">
        <v>39657.29</v>
      </c>
      <c r="F776" s="4233">
        <f t="shared" si="35"/>
        <v>39657.29</v>
      </c>
      <c r="G776" s="3557"/>
    </row>
    <row r="777" spans="1:7" s="4225" customFormat="1" ht="14.25" customHeight="1">
      <c r="A777" s="4392">
        <v>6.2</v>
      </c>
      <c r="B777" s="4230" t="s">
        <v>3715</v>
      </c>
      <c r="C777" s="4231">
        <v>2</v>
      </c>
      <c r="D777" s="4249" t="s">
        <v>2433</v>
      </c>
      <c r="E777" s="4233">
        <v>56736.46</v>
      </c>
      <c r="F777" s="4233">
        <f t="shared" si="35"/>
        <v>113472.92</v>
      </c>
      <c r="G777" s="3557"/>
    </row>
    <row r="778" spans="1:7" s="4225" customFormat="1" ht="14.25" customHeight="1">
      <c r="A778" s="4392">
        <v>6.3</v>
      </c>
      <c r="B778" s="4230" t="s">
        <v>3716</v>
      </c>
      <c r="C778" s="4231">
        <v>5</v>
      </c>
      <c r="D778" s="4249" t="s">
        <v>2433</v>
      </c>
      <c r="E778" s="4233">
        <v>64645.67</v>
      </c>
      <c r="F778" s="4233">
        <f t="shared" si="35"/>
        <v>323228.34999999998</v>
      </c>
      <c r="G778" s="3557"/>
    </row>
    <row r="779" spans="1:7" s="4225" customFormat="1" ht="14.25" customHeight="1">
      <c r="A779" s="4392">
        <v>6.4</v>
      </c>
      <c r="B779" s="4230" t="s">
        <v>3717</v>
      </c>
      <c r="C779" s="4231">
        <v>1</v>
      </c>
      <c r="D779" s="4249" t="s">
        <v>2433</v>
      </c>
      <c r="E779" s="4233">
        <v>72085.03</v>
      </c>
      <c r="F779" s="4233">
        <f t="shared" si="35"/>
        <v>72085.03</v>
      </c>
      <c r="G779" s="3557"/>
    </row>
    <row r="780" spans="1:7" s="4225" customFormat="1" ht="14.25" customHeight="1">
      <c r="A780" s="4392">
        <v>6.5</v>
      </c>
      <c r="B780" s="4230" t="s">
        <v>3776</v>
      </c>
      <c r="C780" s="4231">
        <v>2</v>
      </c>
      <c r="D780" s="4249" t="s">
        <v>2433</v>
      </c>
      <c r="E780" s="4233">
        <v>100848.9</v>
      </c>
      <c r="F780" s="4233">
        <f t="shared" si="35"/>
        <v>201697.8</v>
      </c>
      <c r="G780" s="3557"/>
    </row>
    <row r="781" spans="1:7" s="4225" customFormat="1" ht="14.25" customHeight="1">
      <c r="A781" s="4392">
        <v>6.6</v>
      </c>
      <c r="B781" s="4230" t="s">
        <v>3718</v>
      </c>
      <c r="C781" s="4231">
        <v>1</v>
      </c>
      <c r="D781" s="4249" t="s">
        <v>2433</v>
      </c>
      <c r="E781" s="4233">
        <v>110254.02</v>
      </c>
      <c r="F781" s="4233">
        <f t="shared" si="35"/>
        <v>110254.02</v>
      </c>
      <c r="G781" s="3557"/>
    </row>
    <row r="782" spans="1:7" s="4225" customFormat="1" ht="14.25" customHeight="1">
      <c r="A782" s="4388"/>
      <c r="B782" s="4230"/>
      <c r="C782" s="4231"/>
      <c r="D782" s="4249"/>
      <c r="E782" s="4233"/>
      <c r="F782" s="4233" t="str">
        <f t="shared" si="35"/>
        <v xml:space="preserve"> </v>
      </c>
      <c r="G782" s="3557"/>
    </row>
    <row r="783" spans="1:7" s="4260" customFormat="1" ht="15" customHeight="1">
      <c r="A783" s="4389">
        <v>7</v>
      </c>
      <c r="B783" s="4342" t="s">
        <v>3507</v>
      </c>
      <c r="C783" s="4257"/>
      <c r="D783" s="4270"/>
      <c r="E783" s="4258"/>
      <c r="F783" s="4258" t="str">
        <f t="shared" si="35"/>
        <v xml:space="preserve"> </v>
      </c>
      <c r="G783" s="3557"/>
    </row>
    <row r="784" spans="1:7" ht="14.25" customHeight="1">
      <c r="A784" s="4392">
        <v>7.1</v>
      </c>
      <c r="B784" s="4230" t="s">
        <v>3508</v>
      </c>
      <c r="C784" s="4231">
        <v>2</v>
      </c>
      <c r="D784" s="4249" t="s">
        <v>2433</v>
      </c>
      <c r="E784" s="4233">
        <v>56839.77</v>
      </c>
      <c r="F784" s="4233">
        <f t="shared" si="35"/>
        <v>113679.54</v>
      </c>
    </row>
    <row r="785" spans="1:7" s="4266" customFormat="1" ht="12.75" customHeight="1">
      <c r="A785" s="4304"/>
      <c r="B785" s="4304" t="s">
        <v>3656</v>
      </c>
      <c r="C785" s="4498"/>
      <c r="D785" s="4498"/>
      <c r="E785" s="4498"/>
      <c r="F785" s="4307">
        <f>SUM(F731:F784)</f>
        <v>6435926.1500000004</v>
      </c>
      <c r="G785" s="3557"/>
    </row>
    <row r="786" spans="1:7" s="4266" customFormat="1" ht="12.75" customHeight="1">
      <c r="A786" s="4333"/>
      <c r="B786" s="4333"/>
      <c r="C786" s="4504"/>
      <c r="D786" s="4504"/>
      <c r="E786" s="4504"/>
      <c r="F786" s="4405"/>
      <c r="G786" s="3557"/>
    </row>
    <row r="787" spans="1:7" s="4266" customFormat="1" ht="12.75" customHeight="1">
      <c r="A787" s="4333" t="s">
        <v>2596</v>
      </c>
      <c r="B787" s="3435" t="s">
        <v>3928</v>
      </c>
      <c r="C787" s="4504"/>
      <c r="D787" s="4504"/>
      <c r="E787" s="4504"/>
      <c r="F787" s="4405"/>
      <c r="G787" s="3557"/>
    </row>
    <row r="788" spans="1:7" s="4225" customFormat="1" ht="15" customHeight="1">
      <c r="A788" s="4389">
        <v>1</v>
      </c>
      <c r="B788" s="4342" t="s">
        <v>3779</v>
      </c>
      <c r="C788" s="4264"/>
      <c r="D788" s="4271"/>
      <c r="E788" s="4233"/>
      <c r="F788" s="4233" t="str">
        <f t="shared" si="35"/>
        <v xml:space="preserve"> </v>
      </c>
      <c r="G788" s="3557"/>
    </row>
    <row r="789" spans="1:7" ht="14.25" customHeight="1">
      <c r="A789" s="4392">
        <v>1.1000000000000001</v>
      </c>
      <c r="B789" s="4230" t="s">
        <v>3777</v>
      </c>
      <c r="C789" s="4231">
        <v>196.08</v>
      </c>
      <c r="D789" s="4249" t="s">
        <v>2430</v>
      </c>
      <c r="E789" s="4233">
        <v>575</v>
      </c>
      <c r="F789" s="4233">
        <f t="shared" si="35"/>
        <v>112746</v>
      </c>
    </row>
    <row r="790" spans="1:7" ht="14.25" customHeight="1">
      <c r="A790" s="4392">
        <v>1.2</v>
      </c>
      <c r="B790" s="4230" t="s">
        <v>3119</v>
      </c>
      <c r="C790" s="4231">
        <v>163.4</v>
      </c>
      <c r="D790" s="4249" t="s">
        <v>2430</v>
      </c>
      <c r="E790" s="4233">
        <v>61.14</v>
      </c>
      <c r="F790" s="4233">
        <f t="shared" si="35"/>
        <v>9990.2800000000007</v>
      </c>
    </row>
    <row r="791" spans="1:7" ht="14.25" customHeight="1">
      <c r="A791" s="4392">
        <v>1.3</v>
      </c>
      <c r="B791" s="4230" t="s">
        <v>3188</v>
      </c>
      <c r="C791" s="4231">
        <v>163.4</v>
      </c>
      <c r="D791" s="4249" t="s">
        <v>2431</v>
      </c>
      <c r="E791" s="4233">
        <v>74.91</v>
      </c>
      <c r="F791" s="4233">
        <f t="shared" si="35"/>
        <v>12240.29</v>
      </c>
    </row>
    <row r="792" spans="1:7" ht="14.25" customHeight="1">
      <c r="A792" s="4392">
        <v>1.4</v>
      </c>
      <c r="B792" s="4230" t="s">
        <v>3778</v>
      </c>
      <c r="C792" s="4231">
        <v>817</v>
      </c>
      <c r="D792" s="4249" t="s">
        <v>2432</v>
      </c>
      <c r="E792" s="4233">
        <v>116.38</v>
      </c>
      <c r="F792" s="4233">
        <f t="shared" si="35"/>
        <v>95082.46</v>
      </c>
    </row>
    <row r="793" spans="1:7" s="4236" customFormat="1" ht="14.25" customHeight="1">
      <c r="A793" s="4392">
        <v>1.5</v>
      </c>
      <c r="B793" s="4230" t="s">
        <v>4012</v>
      </c>
      <c r="C793" s="4231">
        <v>817</v>
      </c>
      <c r="D793" s="4249" t="s">
        <v>2432</v>
      </c>
      <c r="E793" s="4233">
        <v>666.64</v>
      </c>
      <c r="F793" s="4233">
        <f t="shared" si="35"/>
        <v>544644.88</v>
      </c>
      <c r="G793" s="3557"/>
    </row>
    <row r="794" spans="1:7" ht="14.25" customHeight="1">
      <c r="A794" s="4392">
        <v>1.6</v>
      </c>
      <c r="B794" s="4230" t="s">
        <v>3962</v>
      </c>
      <c r="C794" s="4231">
        <v>3890.96</v>
      </c>
      <c r="D794" s="4249" t="s">
        <v>3960</v>
      </c>
      <c r="E794" s="4233">
        <v>23.46</v>
      </c>
      <c r="F794" s="4233">
        <f t="shared" si="35"/>
        <v>91281.919999999998</v>
      </c>
    </row>
    <row r="795" spans="1:7" ht="14.25" customHeight="1">
      <c r="A795" s="4388"/>
      <c r="B795" s="4230"/>
      <c r="C795" s="4231"/>
      <c r="D795" s="4249"/>
      <c r="E795" s="4233"/>
      <c r="F795" s="4233"/>
    </row>
    <row r="796" spans="1:7" ht="14.25" customHeight="1">
      <c r="A796" s="4389">
        <v>2</v>
      </c>
      <c r="B796" s="4230" t="s">
        <v>3961</v>
      </c>
      <c r="C796" s="4231">
        <v>1220.55</v>
      </c>
      <c r="D796" s="4249" t="s">
        <v>2432</v>
      </c>
      <c r="E796" s="4233">
        <v>110.01</v>
      </c>
      <c r="F796" s="4233">
        <f t="shared" ref="F796:F859" si="36">IF(C796&gt;0,(ROUND((E796*C796),2))," ")</f>
        <v>134272.71</v>
      </c>
    </row>
    <row r="797" spans="1:7" ht="14.25" customHeight="1">
      <c r="A797" s="4389">
        <v>3</v>
      </c>
      <c r="B797" s="4230" t="s">
        <v>2346</v>
      </c>
      <c r="C797" s="4231">
        <v>245.67</v>
      </c>
      <c r="D797" s="4249" t="s">
        <v>2432</v>
      </c>
      <c r="E797" s="4233">
        <v>896.94</v>
      </c>
      <c r="F797" s="4233">
        <f t="shared" si="36"/>
        <v>220351.25</v>
      </c>
    </row>
    <row r="798" spans="1:7" ht="14.25" customHeight="1">
      <c r="A798" s="4389">
        <v>5</v>
      </c>
      <c r="B798" s="3432" t="s">
        <v>3555</v>
      </c>
      <c r="C798" s="4231">
        <v>116</v>
      </c>
      <c r="D798" s="4249" t="s">
        <v>1</v>
      </c>
      <c r="E798" s="4233">
        <v>1019.83</v>
      </c>
      <c r="F798" s="4233">
        <f>IF(C798&gt;0,(ROUND((E798*C798),2))," ")</f>
        <v>118300.28</v>
      </c>
    </row>
    <row r="799" spans="1:7" ht="14.25" customHeight="1">
      <c r="A799" s="4389">
        <v>4</v>
      </c>
      <c r="B799" s="3432" t="s">
        <v>3721</v>
      </c>
      <c r="C799" s="4231">
        <v>341.07</v>
      </c>
      <c r="D799" s="4249" t="s">
        <v>2432</v>
      </c>
      <c r="E799" s="4233">
        <v>847.13</v>
      </c>
      <c r="F799" s="4233">
        <f t="shared" si="36"/>
        <v>288930.63</v>
      </c>
    </row>
    <row r="800" spans="1:7" s="4236" customFormat="1" ht="14.25" customHeight="1">
      <c r="A800" s="4389">
        <v>5</v>
      </c>
      <c r="B800" s="3432" t="s">
        <v>4013</v>
      </c>
      <c r="C800" s="4434">
        <v>47.9</v>
      </c>
      <c r="D800" s="4435" t="s">
        <v>1</v>
      </c>
      <c r="E800" s="4436">
        <v>895.72</v>
      </c>
      <c r="F800" s="4233">
        <f t="shared" si="36"/>
        <v>42904.99</v>
      </c>
      <c r="G800" s="3557"/>
    </row>
    <row r="801" spans="1:7" s="4260" customFormat="1" ht="14.25" customHeight="1">
      <c r="A801" s="4389">
        <v>6</v>
      </c>
      <c r="B801" s="4230" t="s">
        <v>4014</v>
      </c>
      <c r="C801" s="4246">
        <v>1</v>
      </c>
      <c r="D801" s="4311" t="s">
        <v>42</v>
      </c>
      <c r="E801" s="1263">
        <v>15000</v>
      </c>
      <c r="F801" s="1263">
        <f t="shared" ref="F801" si="37">+ROUND((E801*C801),2)</f>
        <v>15000</v>
      </c>
      <c r="G801" s="3557"/>
    </row>
    <row r="802" spans="1:7" s="4260" customFormat="1" ht="14.25" customHeight="1">
      <c r="A802" s="4437"/>
      <c r="B802" s="4438"/>
      <c r="C802" s="4439"/>
      <c r="D802" s="4440"/>
      <c r="E802" s="4441"/>
      <c r="F802" s="4233"/>
      <c r="G802" s="3557"/>
    </row>
    <row r="803" spans="1:7" s="4266" customFormat="1" ht="12.75" customHeight="1">
      <c r="A803" s="4304"/>
      <c r="B803" s="4304" t="s">
        <v>3929</v>
      </c>
      <c r="C803" s="4498"/>
      <c r="D803" s="4498"/>
      <c r="E803" s="4498"/>
      <c r="F803" s="4307">
        <f>SUM(F789:F801)</f>
        <v>1685745.69</v>
      </c>
      <c r="G803" s="3557"/>
    </row>
    <row r="804" spans="1:7" ht="15" customHeight="1" outlineLevel="1">
      <c r="A804" s="4393"/>
      <c r="B804" s="3435"/>
      <c r="C804" s="4264"/>
      <c r="D804" s="4271"/>
      <c r="E804" s="4233"/>
      <c r="F804" s="4264" t="str">
        <f t="shared" si="36"/>
        <v xml:space="preserve"> </v>
      </c>
    </row>
    <row r="805" spans="1:7" s="4340" customFormat="1" ht="15">
      <c r="A805" s="4408" t="s">
        <v>2561</v>
      </c>
      <c r="B805" s="3435" t="s">
        <v>3930</v>
      </c>
      <c r="C805" s="4339"/>
      <c r="D805" s="4523"/>
      <c r="E805" s="4339"/>
      <c r="F805" s="4339" t="str">
        <f t="shared" si="36"/>
        <v xml:space="preserve"> </v>
      </c>
      <c r="G805" s="3557"/>
    </row>
    <row r="806" spans="1:7" ht="15" customHeight="1">
      <c r="A806" s="4409">
        <v>1</v>
      </c>
      <c r="B806" s="4343" t="s">
        <v>2629</v>
      </c>
      <c r="C806" s="4280"/>
      <c r="D806" s="4249"/>
      <c r="E806" s="4233"/>
      <c r="F806" s="4233" t="str">
        <f t="shared" si="36"/>
        <v xml:space="preserve"> </v>
      </c>
    </row>
    <row r="807" spans="1:7" ht="14.25" customHeight="1">
      <c r="A807" s="4392">
        <v>1.1000000000000001</v>
      </c>
      <c r="B807" s="4230" t="s">
        <v>3661</v>
      </c>
      <c r="C807" s="4281">
        <v>8</v>
      </c>
      <c r="D807" s="4249" t="s">
        <v>2433</v>
      </c>
      <c r="E807" s="4282">
        <v>15101.27</v>
      </c>
      <c r="F807" s="4233">
        <f t="shared" si="36"/>
        <v>120810.16</v>
      </c>
    </row>
    <row r="808" spans="1:7" ht="14.25" customHeight="1">
      <c r="A808" s="4392">
        <v>1.2</v>
      </c>
      <c r="B808" s="4230" t="s">
        <v>3662</v>
      </c>
      <c r="C808" s="4283">
        <v>12</v>
      </c>
      <c r="D808" s="4249" t="s">
        <v>2433</v>
      </c>
      <c r="E808" s="4282">
        <v>6828.82</v>
      </c>
      <c r="F808" s="4233">
        <f t="shared" si="36"/>
        <v>81945.84</v>
      </c>
    </row>
    <row r="809" spans="1:7" ht="14.25" customHeight="1">
      <c r="A809" s="4392">
        <v>1.3</v>
      </c>
      <c r="B809" s="4230" t="s">
        <v>2425</v>
      </c>
      <c r="C809" s="4281">
        <v>800</v>
      </c>
      <c r="D809" s="4249" t="s">
        <v>1</v>
      </c>
      <c r="E809" s="4282">
        <v>290.20999999999998</v>
      </c>
      <c r="F809" s="4233">
        <f t="shared" si="36"/>
        <v>232168</v>
      </c>
    </row>
    <row r="810" spans="1:7" ht="14.25" customHeight="1">
      <c r="A810" s="4392">
        <v>1.4</v>
      </c>
      <c r="B810" s="4230" t="s">
        <v>3674</v>
      </c>
      <c r="C810" s="4281">
        <v>8</v>
      </c>
      <c r="D810" s="4249" t="s">
        <v>2433</v>
      </c>
      <c r="E810" s="4282">
        <v>1680</v>
      </c>
      <c r="F810" s="4233">
        <f t="shared" si="36"/>
        <v>13440</v>
      </c>
    </row>
    <row r="811" spans="1:7" ht="14.25" customHeight="1">
      <c r="A811" s="4449">
        <v>1.5</v>
      </c>
      <c r="B811" s="4450" t="s">
        <v>3673</v>
      </c>
      <c r="C811" s="4484">
        <v>8</v>
      </c>
      <c r="D811" s="4465" t="s">
        <v>2433</v>
      </c>
      <c r="E811" s="4485">
        <v>2800</v>
      </c>
      <c r="F811" s="4466">
        <f t="shared" si="36"/>
        <v>22400</v>
      </c>
    </row>
    <row r="812" spans="1:7" ht="14.25" customHeight="1">
      <c r="A812" s="4410"/>
      <c r="B812" s="4230"/>
      <c r="C812" s="4280"/>
      <c r="D812" s="4249"/>
      <c r="E812" s="4233"/>
      <c r="F812" s="4233" t="str">
        <f t="shared" si="36"/>
        <v xml:space="preserve"> </v>
      </c>
    </row>
    <row r="813" spans="1:7" ht="15" customHeight="1">
      <c r="A813" s="4411">
        <v>2</v>
      </c>
      <c r="B813" s="4343" t="s">
        <v>3945</v>
      </c>
      <c r="C813" s="4280"/>
      <c r="D813" s="4249"/>
      <c r="E813" s="4233"/>
      <c r="F813" s="4233" t="str">
        <f t="shared" si="36"/>
        <v xml:space="preserve"> </v>
      </c>
    </row>
    <row r="814" spans="1:7" ht="14.25" customHeight="1">
      <c r="A814" s="4392">
        <v>2.1</v>
      </c>
      <c r="B814" s="4230" t="s">
        <v>3657</v>
      </c>
      <c r="C814" s="4231">
        <v>1</v>
      </c>
      <c r="D814" s="4249" t="s">
        <v>2433</v>
      </c>
      <c r="E814" s="4233">
        <v>34957.72</v>
      </c>
      <c r="F814" s="4233">
        <f t="shared" si="36"/>
        <v>34957.72</v>
      </c>
    </row>
    <row r="815" spans="1:7" ht="14.25" customHeight="1">
      <c r="A815" s="4392">
        <v>2.2000000000000002</v>
      </c>
      <c r="B815" s="4230" t="s">
        <v>3658</v>
      </c>
      <c r="C815" s="4231">
        <v>8</v>
      </c>
      <c r="D815" s="4249" t="s">
        <v>2433</v>
      </c>
      <c r="E815" s="4233">
        <v>28809.72</v>
      </c>
      <c r="F815" s="4233">
        <f t="shared" si="36"/>
        <v>230477.76</v>
      </c>
    </row>
    <row r="816" spans="1:7" ht="14.25" customHeight="1">
      <c r="A816" s="4392">
        <v>2.2999999999999998</v>
      </c>
      <c r="B816" s="4230" t="s">
        <v>3659</v>
      </c>
      <c r="C816" s="4231">
        <v>3000</v>
      </c>
      <c r="D816" s="4249" t="s">
        <v>3956</v>
      </c>
      <c r="E816" s="4233">
        <v>19.16</v>
      </c>
      <c r="F816" s="4233">
        <f t="shared" si="36"/>
        <v>57480</v>
      </c>
    </row>
    <row r="817" spans="1:6" ht="14.25" customHeight="1">
      <c r="A817" s="4392">
        <v>2.4</v>
      </c>
      <c r="B817" s="4230" t="s">
        <v>3660</v>
      </c>
      <c r="C817" s="4231">
        <v>3</v>
      </c>
      <c r="D817" s="4249" t="s">
        <v>2433</v>
      </c>
      <c r="E817" s="4233">
        <v>3286.99</v>
      </c>
      <c r="F817" s="4233">
        <f t="shared" si="36"/>
        <v>9860.9699999999993</v>
      </c>
    </row>
    <row r="818" spans="1:6" ht="14.25" customHeight="1">
      <c r="A818" s="4392">
        <v>2.5</v>
      </c>
      <c r="B818" s="4230" t="s">
        <v>3663</v>
      </c>
      <c r="C818" s="4231">
        <v>1</v>
      </c>
      <c r="D818" s="4249" t="s">
        <v>2433</v>
      </c>
      <c r="E818" s="4233">
        <v>3519.93</v>
      </c>
      <c r="F818" s="4233">
        <f t="shared" si="36"/>
        <v>3519.93</v>
      </c>
    </row>
    <row r="819" spans="1:6" ht="14.25" customHeight="1">
      <c r="A819" s="4392">
        <v>2.6</v>
      </c>
      <c r="B819" s="4230" t="s">
        <v>3664</v>
      </c>
      <c r="C819" s="4231">
        <v>4</v>
      </c>
      <c r="D819" s="4249" t="s">
        <v>2433</v>
      </c>
      <c r="E819" s="4233">
        <v>6114.11</v>
      </c>
      <c r="F819" s="4233">
        <f t="shared" si="36"/>
        <v>24456.44</v>
      </c>
    </row>
    <row r="820" spans="1:6" ht="14.25" customHeight="1">
      <c r="A820" s="4392">
        <v>2.7</v>
      </c>
      <c r="B820" s="4230" t="s">
        <v>3665</v>
      </c>
      <c r="C820" s="4231">
        <v>1</v>
      </c>
      <c r="D820" s="4249" t="s">
        <v>2433</v>
      </c>
      <c r="E820" s="4233">
        <v>4172.97</v>
      </c>
      <c r="F820" s="4233">
        <f t="shared" si="36"/>
        <v>4172.97</v>
      </c>
    </row>
    <row r="821" spans="1:6" ht="14.25" customHeight="1">
      <c r="A821" s="4392">
        <v>2.8</v>
      </c>
      <c r="B821" s="4230" t="s">
        <v>3932</v>
      </c>
      <c r="C821" s="4231">
        <v>10</v>
      </c>
      <c r="D821" s="4249" t="s">
        <v>2433</v>
      </c>
      <c r="E821" s="4233">
        <v>4616.43</v>
      </c>
      <c r="F821" s="4233">
        <f t="shared" si="36"/>
        <v>46164.3</v>
      </c>
    </row>
    <row r="822" spans="1:6" ht="14.25" customHeight="1">
      <c r="A822" s="4392">
        <v>2.9</v>
      </c>
      <c r="B822" s="4230" t="s">
        <v>3666</v>
      </c>
      <c r="C822" s="4231">
        <v>9</v>
      </c>
      <c r="D822" s="4249" t="s">
        <v>2433</v>
      </c>
      <c r="E822" s="4233">
        <v>4462.93</v>
      </c>
      <c r="F822" s="4233">
        <f t="shared" si="36"/>
        <v>40166.370000000003</v>
      </c>
    </row>
    <row r="823" spans="1:6" ht="14.25" customHeight="1">
      <c r="A823" s="4388">
        <v>2.1</v>
      </c>
      <c r="B823" s="4230" t="s">
        <v>3667</v>
      </c>
      <c r="C823" s="4231">
        <v>9</v>
      </c>
      <c r="D823" s="4249" t="s">
        <v>2433</v>
      </c>
      <c r="E823" s="4233">
        <v>9978.82</v>
      </c>
      <c r="F823" s="4233">
        <f t="shared" si="36"/>
        <v>89809.38</v>
      </c>
    </row>
    <row r="824" spans="1:6" ht="14.25" customHeight="1">
      <c r="A824" s="4388">
        <v>2.11</v>
      </c>
      <c r="B824" s="4230" t="s">
        <v>3668</v>
      </c>
      <c r="C824" s="4231">
        <v>1</v>
      </c>
      <c r="D824" s="4249" t="s">
        <v>2433</v>
      </c>
      <c r="E824" s="4233">
        <v>60358.41</v>
      </c>
      <c r="F824" s="4233">
        <f t="shared" si="36"/>
        <v>60358.41</v>
      </c>
    </row>
    <row r="825" spans="1:6" ht="14.25" customHeight="1">
      <c r="A825" s="4388">
        <v>2.12</v>
      </c>
      <c r="B825" s="4230" t="s">
        <v>3669</v>
      </c>
      <c r="C825" s="4231">
        <v>9</v>
      </c>
      <c r="D825" s="4249" t="s">
        <v>2433</v>
      </c>
      <c r="E825" s="4233">
        <v>1301.24</v>
      </c>
      <c r="F825" s="4233">
        <f t="shared" si="36"/>
        <v>11711.16</v>
      </c>
    </row>
    <row r="826" spans="1:6" ht="14.25" customHeight="1">
      <c r="A826" s="4388">
        <v>2.13</v>
      </c>
      <c r="B826" s="4230" t="s">
        <v>3670</v>
      </c>
      <c r="C826" s="4231">
        <v>1</v>
      </c>
      <c r="D826" s="4249" t="s">
        <v>2433</v>
      </c>
      <c r="E826" s="4233">
        <v>2218.3000000000002</v>
      </c>
      <c r="F826" s="4233">
        <f t="shared" si="36"/>
        <v>2218.3000000000002</v>
      </c>
    </row>
    <row r="827" spans="1:6" ht="14.25" customHeight="1">
      <c r="A827" s="4388">
        <v>2.14</v>
      </c>
      <c r="B827" s="4230" t="s">
        <v>3671</v>
      </c>
      <c r="C827" s="4231">
        <v>1</v>
      </c>
      <c r="D827" s="4249" t="s">
        <v>2433</v>
      </c>
      <c r="E827" s="4233">
        <v>1009.49</v>
      </c>
      <c r="F827" s="4233">
        <f t="shared" si="36"/>
        <v>1009.49</v>
      </c>
    </row>
    <row r="828" spans="1:6" ht="14.25" customHeight="1">
      <c r="A828" s="4388">
        <v>2.15</v>
      </c>
      <c r="B828" s="4230" t="s">
        <v>3672</v>
      </c>
      <c r="C828" s="4231">
        <v>2</v>
      </c>
      <c r="D828" s="4249" t="s">
        <v>2433</v>
      </c>
      <c r="E828" s="4233">
        <v>884</v>
      </c>
      <c r="F828" s="4233">
        <f t="shared" si="36"/>
        <v>1768</v>
      </c>
    </row>
    <row r="829" spans="1:6" ht="14.25" customHeight="1">
      <c r="A829" s="4388">
        <v>2.16</v>
      </c>
      <c r="B829" s="4230" t="s">
        <v>3673</v>
      </c>
      <c r="C829" s="4231">
        <v>9</v>
      </c>
      <c r="D829" s="4249" t="s">
        <v>2433</v>
      </c>
      <c r="E829" s="4233">
        <v>3000</v>
      </c>
      <c r="F829" s="4233">
        <f t="shared" si="36"/>
        <v>27000</v>
      </c>
    </row>
    <row r="830" spans="1:6" ht="14.25" customHeight="1">
      <c r="A830" s="4388">
        <v>2.17</v>
      </c>
      <c r="B830" s="4230" t="s">
        <v>3674</v>
      </c>
      <c r="C830" s="4231">
        <v>9</v>
      </c>
      <c r="D830" s="4249" t="s">
        <v>2433</v>
      </c>
      <c r="E830" s="4233">
        <v>1680</v>
      </c>
      <c r="F830" s="4233">
        <f t="shared" si="36"/>
        <v>15120</v>
      </c>
    </row>
    <row r="831" spans="1:6" ht="14.25" customHeight="1">
      <c r="A831" s="4388">
        <v>2.1800000000000002</v>
      </c>
      <c r="B831" s="4230" t="s">
        <v>3931</v>
      </c>
      <c r="C831" s="4231">
        <v>10</v>
      </c>
      <c r="D831" s="4249" t="s">
        <v>2433</v>
      </c>
      <c r="E831" s="4233">
        <v>1260</v>
      </c>
      <c r="F831" s="4233">
        <f t="shared" si="36"/>
        <v>12600</v>
      </c>
    </row>
    <row r="832" spans="1:6" ht="14.25" customHeight="1">
      <c r="A832" s="4388">
        <v>2.19</v>
      </c>
      <c r="B832" s="4230" t="s">
        <v>2426</v>
      </c>
      <c r="C832" s="4231">
        <v>1</v>
      </c>
      <c r="D832" s="4249" t="s">
        <v>2433</v>
      </c>
      <c r="E832" s="4233">
        <v>70800</v>
      </c>
      <c r="F832" s="4233">
        <f t="shared" si="36"/>
        <v>70800</v>
      </c>
    </row>
    <row r="833" spans="1:6" ht="14.25" customHeight="1">
      <c r="A833" s="4410"/>
      <c r="B833" s="4230"/>
      <c r="C833" s="4280"/>
      <c r="D833" s="4249"/>
      <c r="E833" s="4233"/>
      <c r="F833" s="4233" t="str">
        <f t="shared" si="36"/>
        <v xml:space="preserve"> </v>
      </c>
    </row>
    <row r="834" spans="1:6" ht="15" customHeight="1">
      <c r="A834" s="4411">
        <v>3</v>
      </c>
      <c r="B834" s="4343" t="s">
        <v>3946</v>
      </c>
      <c r="C834" s="4280"/>
      <c r="D834" s="4249"/>
      <c r="E834" s="4233"/>
      <c r="F834" s="4233" t="str">
        <f t="shared" si="36"/>
        <v xml:space="preserve"> </v>
      </c>
    </row>
    <row r="835" spans="1:6" ht="42.75" customHeight="1">
      <c r="A835" s="4392">
        <v>3.1</v>
      </c>
      <c r="B835" s="4230" t="s">
        <v>3688</v>
      </c>
      <c r="C835" s="4231">
        <v>14</v>
      </c>
      <c r="D835" s="4249" t="s">
        <v>1</v>
      </c>
      <c r="E835" s="4233">
        <v>2094.64</v>
      </c>
      <c r="F835" s="4233">
        <f t="shared" si="36"/>
        <v>29324.959999999999</v>
      </c>
    </row>
    <row r="836" spans="1:6" ht="42.75" customHeight="1">
      <c r="A836" s="4392">
        <v>3.2</v>
      </c>
      <c r="B836" s="4230" t="s">
        <v>4027</v>
      </c>
      <c r="C836" s="4231">
        <v>4</v>
      </c>
      <c r="D836" s="4249" t="s">
        <v>1</v>
      </c>
      <c r="E836" s="4233">
        <v>1303.25</v>
      </c>
      <c r="F836" s="4233">
        <f t="shared" si="36"/>
        <v>5213</v>
      </c>
    </row>
    <row r="837" spans="1:6" ht="42.75" customHeight="1">
      <c r="A837" s="4392">
        <v>3.3</v>
      </c>
      <c r="B837" s="4230" t="s">
        <v>3689</v>
      </c>
      <c r="C837" s="4231">
        <v>4</v>
      </c>
      <c r="D837" s="4249" t="s">
        <v>1</v>
      </c>
      <c r="E837" s="4233">
        <v>1303.25</v>
      </c>
      <c r="F837" s="4233">
        <f t="shared" si="36"/>
        <v>5213</v>
      </c>
    </row>
    <row r="838" spans="1:6" ht="42.75" customHeight="1">
      <c r="A838" s="4392">
        <v>3.4</v>
      </c>
      <c r="B838" s="4230" t="s">
        <v>3690</v>
      </c>
      <c r="C838" s="4231">
        <v>20</v>
      </c>
      <c r="D838" s="4249" t="s">
        <v>1</v>
      </c>
      <c r="E838" s="4233">
        <v>578.47</v>
      </c>
      <c r="F838" s="4233">
        <f t="shared" si="36"/>
        <v>11569.4</v>
      </c>
    </row>
    <row r="839" spans="1:6" ht="42.75" customHeight="1">
      <c r="A839" s="4392">
        <v>3.5</v>
      </c>
      <c r="B839" s="4230" t="s">
        <v>3691</v>
      </c>
      <c r="C839" s="4231">
        <v>20</v>
      </c>
      <c r="D839" s="4249" t="s">
        <v>1</v>
      </c>
      <c r="E839" s="4233">
        <v>333.67</v>
      </c>
      <c r="F839" s="4233">
        <f t="shared" si="36"/>
        <v>6673.4</v>
      </c>
    </row>
    <row r="840" spans="1:6" ht="42.75" customHeight="1">
      <c r="A840" s="4392">
        <v>3.6</v>
      </c>
      <c r="B840" s="4230" t="s">
        <v>3692</v>
      </c>
      <c r="C840" s="4231">
        <v>4</v>
      </c>
      <c r="D840" s="4249" t="s">
        <v>1</v>
      </c>
      <c r="E840" s="4233">
        <v>173.34</v>
      </c>
      <c r="F840" s="4233">
        <f t="shared" si="36"/>
        <v>693.36</v>
      </c>
    </row>
    <row r="841" spans="1:6" ht="42.75" customHeight="1">
      <c r="A841" s="4392">
        <v>3.7</v>
      </c>
      <c r="B841" s="4230" t="s">
        <v>3693</v>
      </c>
      <c r="C841" s="4231">
        <v>30</v>
      </c>
      <c r="D841" s="4249" t="s">
        <v>1</v>
      </c>
      <c r="E841" s="4233">
        <v>380.82</v>
      </c>
      <c r="F841" s="4233">
        <f t="shared" si="36"/>
        <v>11424.6</v>
      </c>
    </row>
    <row r="842" spans="1:6" ht="42.75" customHeight="1">
      <c r="A842" s="4392">
        <v>3.8</v>
      </c>
      <c r="B842" s="4230" t="s">
        <v>3694</v>
      </c>
      <c r="C842" s="4231">
        <v>30</v>
      </c>
      <c r="D842" s="4249" t="s">
        <v>1</v>
      </c>
      <c r="E842" s="4233">
        <v>400.28</v>
      </c>
      <c r="F842" s="4233">
        <f t="shared" si="36"/>
        <v>12008.4</v>
      </c>
    </row>
    <row r="843" spans="1:6" ht="42.75" customHeight="1">
      <c r="A843" s="4392">
        <v>3.9</v>
      </c>
      <c r="B843" s="4230" t="s">
        <v>3695</v>
      </c>
      <c r="C843" s="4231">
        <v>20</v>
      </c>
      <c r="D843" s="4249" t="s">
        <v>1</v>
      </c>
      <c r="E843" s="4233">
        <v>850.36</v>
      </c>
      <c r="F843" s="4233">
        <f t="shared" si="36"/>
        <v>17007.2</v>
      </c>
    </row>
    <row r="844" spans="1:6" ht="14.25" customHeight="1">
      <c r="A844" s="4454">
        <v>3.1</v>
      </c>
      <c r="B844" s="4450" t="s">
        <v>3696</v>
      </c>
      <c r="C844" s="4464">
        <v>1</v>
      </c>
      <c r="D844" s="4465" t="s">
        <v>2433</v>
      </c>
      <c r="E844" s="4466">
        <v>4891.16</v>
      </c>
      <c r="F844" s="4466">
        <f t="shared" si="36"/>
        <v>4891.16</v>
      </c>
    </row>
    <row r="845" spans="1:6" ht="42.75" customHeight="1">
      <c r="A845" s="4388">
        <v>3.11</v>
      </c>
      <c r="B845" s="4230" t="s">
        <v>3697</v>
      </c>
      <c r="C845" s="4231">
        <v>1</v>
      </c>
      <c r="D845" s="4249" t="s">
        <v>2433</v>
      </c>
      <c r="E845" s="4233">
        <v>8564.75</v>
      </c>
      <c r="F845" s="4233">
        <f t="shared" si="36"/>
        <v>8564.75</v>
      </c>
    </row>
    <row r="846" spans="1:6" ht="14.25" customHeight="1">
      <c r="A846" s="4388">
        <v>3.12</v>
      </c>
      <c r="B846" s="4230" t="s">
        <v>2630</v>
      </c>
      <c r="C846" s="4231">
        <v>2</v>
      </c>
      <c r="D846" s="4249" t="s">
        <v>2433</v>
      </c>
      <c r="E846" s="4233">
        <v>3485.14</v>
      </c>
      <c r="F846" s="4233">
        <f t="shared" si="36"/>
        <v>6970.28</v>
      </c>
    </row>
    <row r="847" spans="1:6" ht="14.25" customHeight="1">
      <c r="A847" s="4388">
        <v>3.13</v>
      </c>
      <c r="B847" s="4230" t="s">
        <v>2427</v>
      </c>
      <c r="C847" s="4231">
        <v>1</v>
      </c>
      <c r="D847" s="4249" t="s">
        <v>2433</v>
      </c>
      <c r="E847" s="4233">
        <v>7572.38</v>
      </c>
      <c r="F847" s="4233">
        <f t="shared" si="36"/>
        <v>7572.38</v>
      </c>
    </row>
    <row r="848" spans="1:6" ht="14.25" customHeight="1">
      <c r="A848" s="4388">
        <v>3.14</v>
      </c>
      <c r="B848" s="4230" t="s">
        <v>2631</v>
      </c>
      <c r="C848" s="4231">
        <v>1</v>
      </c>
      <c r="D848" s="4249" t="s">
        <v>2433</v>
      </c>
      <c r="E848" s="4233">
        <v>9920.98</v>
      </c>
      <c r="F848" s="4233">
        <f t="shared" si="36"/>
        <v>9920.98</v>
      </c>
    </row>
    <row r="849" spans="1:7" ht="14.25" customHeight="1">
      <c r="A849" s="4388">
        <v>3.15</v>
      </c>
      <c r="B849" s="4230" t="s">
        <v>2632</v>
      </c>
      <c r="C849" s="4231">
        <v>1</v>
      </c>
      <c r="D849" s="4249" t="s">
        <v>2433</v>
      </c>
      <c r="E849" s="4233">
        <v>12494.56</v>
      </c>
      <c r="F849" s="4233">
        <f t="shared" si="36"/>
        <v>12494.56</v>
      </c>
    </row>
    <row r="850" spans="1:7" ht="14.25" customHeight="1">
      <c r="A850" s="4388">
        <v>3.16</v>
      </c>
      <c r="B850" s="4230" t="s">
        <v>3698</v>
      </c>
      <c r="C850" s="4231">
        <v>7</v>
      </c>
      <c r="D850" s="4249" t="s">
        <v>2433</v>
      </c>
      <c r="E850" s="4233">
        <v>3800</v>
      </c>
      <c r="F850" s="4233">
        <f t="shared" si="36"/>
        <v>26600</v>
      </c>
    </row>
    <row r="851" spans="1:7" ht="14.25" customHeight="1">
      <c r="A851" s="4388">
        <v>3.17</v>
      </c>
      <c r="B851" s="4230" t="s">
        <v>3699</v>
      </c>
      <c r="C851" s="4231">
        <v>1</v>
      </c>
      <c r="D851" s="4249" t="s">
        <v>2433</v>
      </c>
      <c r="E851" s="4233">
        <v>330.4</v>
      </c>
      <c r="F851" s="4233">
        <f t="shared" si="36"/>
        <v>330.4</v>
      </c>
    </row>
    <row r="852" spans="1:7" ht="14.25" customHeight="1">
      <c r="A852" s="4388">
        <v>3.18</v>
      </c>
      <c r="B852" s="4230" t="s">
        <v>3700</v>
      </c>
      <c r="C852" s="4231">
        <v>1</v>
      </c>
      <c r="D852" s="4249" t="s">
        <v>2433</v>
      </c>
      <c r="E852" s="4233">
        <v>1033.68</v>
      </c>
      <c r="F852" s="4233">
        <f t="shared" si="36"/>
        <v>1033.68</v>
      </c>
    </row>
    <row r="853" spans="1:7" ht="14.25" customHeight="1">
      <c r="A853" s="4388">
        <v>3.19</v>
      </c>
      <c r="B853" s="4230" t="s">
        <v>2428</v>
      </c>
      <c r="C853" s="4231">
        <v>1</v>
      </c>
      <c r="D853" s="4249" t="s">
        <v>2433</v>
      </c>
      <c r="E853" s="4233">
        <v>22000</v>
      </c>
      <c r="F853" s="4233">
        <f t="shared" si="36"/>
        <v>22000</v>
      </c>
    </row>
    <row r="854" spans="1:7" ht="14.25" customHeight="1">
      <c r="A854" s="4388"/>
      <c r="B854" s="4230"/>
      <c r="C854" s="4231"/>
      <c r="D854" s="4249"/>
      <c r="E854" s="4233"/>
      <c r="F854" s="4233" t="str">
        <f t="shared" si="36"/>
        <v xml:space="preserve"> </v>
      </c>
    </row>
    <row r="855" spans="1:7" ht="29.25" customHeight="1">
      <c r="A855" s="4411">
        <v>4</v>
      </c>
      <c r="B855" s="4343" t="s">
        <v>3675</v>
      </c>
      <c r="C855" s="4280"/>
      <c r="D855" s="4249"/>
      <c r="E855" s="4233"/>
      <c r="F855" s="4233" t="str">
        <f t="shared" si="36"/>
        <v xml:space="preserve"> </v>
      </c>
    </row>
    <row r="856" spans="1:7" ht="14.25" customHeight="1">
      <c r="A856" s="4392">
        <v>4.0999999999999996</v>
      </c>
      <c r="B856" s="4230" t="s">
        <v>3701</v>
      </c>
      <c r="C856" s="4231">
        <v>1</v>
      </c>
      <c r="D856" s="4249" t="s">
        <v>2433</v>
      </c>
      <c r="E856" s="4233">
        <v>15682.64</v>
      </c>
      <c r="F856" s="4233">
        <f t="shared" si="36"/>
        <v>15682.64</v>
      </c>
    </row>
    <row r="857" spans="1:7" ht="14.25" customHeight="1">
      <c r="A857" s="4392">
        <v>4.2</v>
      </c>
      <c r="B857" s="4230" t="s">
        <v>3702</v>
      </c>
      <c r="C857" s="4231">
        <v>1</v>
      </c>
      <c r="D857" s="4249" t="s">
        <v>2433</v>
      </c>
      <c r="E857" s="4233">
        <v>4566.38</v>
      </c>
      <c r="F857" s="4233">
        <f t="shared" si="36"/>
        <v>4566.38</v>
      </c>
    </row>
    <row r="858" spans="1:7" ht="42.75" customHeight="1">
      <c r="A858" s="4392">
        <v>4.3</v>
      </c>
      <c r="B858" s="4341" t="s">
        <v>3703</v>
      </c>
      <c r="C858" s="4231">
        <v>10</v>
      </c>
      <c r="D858" s="4249" t="s">
        <v>2433</v>
      </c>
      <c r="E858" s="4233">
        <v>1094.1400000000001</v>
      </c>
      <c r="F858" s="4233">
        <f t="shared" si="36"/>
        <v>10941.4</v>
      </c>
    </row>
    <row r="859" spans="1:7" ht="14.25" customHeight="1">
      <c r="A859" s="4392">
        <v>4.4000000000000004</v>
      </c>
      <c r="B859" s="4230" t="s">
        <v>2429</v>
      </c>
      <c r="C859" s="4231">
        <v>1</v>
      </c>
      <c r="D859" s="4249" t="s">
        <v>42</v>
      </c>
      <c r="E859" s="4233">
        <v>6500</v>
      </c>
      <c r="F859" s="4233">
        <f t="shared" si="36"/>
        <v>6500</v>
      </c>
    </row>
    <row r="860" spans="1:7" s="4266" customFormat="1" ht="12.75" customHeight="1">
      <c r="A860" s="4304"/>
      <c r="B860" s="4304" t="s">
        <v>3933</v>
      </c>
      <c r="C860" s="4498"/>
      <c r="D860" s="4498"/>
      <c r="E860" s="4498"/>
      <c r="F860" s="4307">
        <f>SUM(F805:F859)</f>
        <v>1451611.13</v>
      </c>
      <c r="G860" s="3557"/>
    </row>
    <row r="861" spans="1:7" ht="14.25" customHeight="1" outlineLevel="1" collapsed="1">
      <c r="A861" s="4412"/>
      <c r="B861" s="4230"/>
      <c r="C861" s="4231"/>
      <c r="D861" s="4249"/>
      <c r="E861" s="4231"/>
      <c r="F861" s="4233" t="str">
        <f t="shared" ref="F861:F924" si="38">IF(C861&gt;0,(ROUND((E861*C861),2))," ")</f>
        <v xml:space="preserve"> </v>
      </c>
    </row>
    <row r="862" spans="1:7" s="4266" customFormat="1" ht="15">
      <c r="A862" s="4396" t="s">
        <v>3934</v>
      </c>
      <c r="B862" s="3435" t="s">
        <v>3151</v>
      </c>
      <c r="C862" s="4310"/>
      <c r="D862" s="4309"/>
      <c r="E862" s="4310"/>
      <c r="F862" s="4310" t="str">
        <f t="shared" si="38"/>
        <v xml:space="preserve"> </v>
      </c>
      <c r="G862" s="3557"/>
    </row>
    <row r="863" spans="1:7" ht="15" customHeight="1">
      <c r="A863" s="4393"/>
      <c r="B863" s="4230"/>
      <c r="C863" s="4231"/>
      <c r="D863" s="4249"/>
      <c r="E863" s="4233"/>
      <c r="F863" s="4233" t="str">
        <f t="shared" si="38"/>
        <v xml:space="preserve"> </v>
      </c>
    </row>
    <row r="864" spans="1:7" ht="15" customHeight="1">
      <c r="A864" s="4411">
        <v>1</v>
      </c>
      <c r="B864" s="4343" t="s">
        <v>3152</v>
      </c>
      <c r="C864" s="4280"/>
      <c r="D864" s="4249"/>
      <c r="E864" s="4233"/>
      <c r="F864" s="4233" t="str">
        <f t="shared" si="38"/>
        <v xml:space="preserve"> </v>
      </c>
    </row>
    <row r="865" spans="1:6" ht="14.25" customHeight="1">
      <c r="A865" s="4392">
        <v>1.1000000000000001</v>
      </c>
      <c r="B865" s="4230" t="s">
        <v>2353</v>
      </c>
      <c r="C865" s="4281">
        <v>72.25</v>
      </c>
      <c r="D865" s="4249" t="s">
        <v>2432</v>
      </c>
      <c r="E865" s="4233">
        <v>79.19</v>
      </c>
      <c r="F865" s="4233">
        <f t="shared" si="38"/>
        <v>5721.48</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3153</v>
      </c>
      <c r="C868" s="4286">
        <v>219.34</v>
      </c>
      <c r="D868" s="4249" t="s">
        <v>3154</v>
      </c>
      <c r="E868" s="4233">
        <v>154.51</v>
      </c>
      <c r="F868" s="4233">
        <f t="shared" si="38"/>
        <v>33890.22</v>
      </c>
    </row>
    <row r="869" spans="1:6" ht="28.5">
      <c r="A869" s="4102">
        <v>2.2000000000000002</v>
      </c>
      <c r="B869" s="4113" t="s">
        <v>4035</v>
      </c>
      <c r="C869" s="4286">
        <v>56.3</v>
      </c>
      <c r="D869" s="4249" t="s">
        <v>2431</v>
      </c>
      <c r="E869" s="4233">
        <v>121.12</v>
      </c>
      <c r="F869" s="4233">
        <f t="shared" si="38"/>
        <v>6819.06</v>
      </c>
    </row>
    <row r="870" spans="1:6" ht="28.5" customHeight="1">
      <c r="A870" s="4102">
        <v>2.2999999999999998</v>
      </c>
      <c r="B870" s="4113" t="s">
        <v>3557</v>
      </c>
      <c r="C870" s="4286">
        <v>195.6</v>
      </c>
      <c r="D870" s="4249" t="s">
        <v>3156</v>
      </c>
      <c r="E870" s="4233">
        <v>210</v>
      </c>
      <c r="F870" s="4233">
        <f t="shared" si="38"/>
        <v>41076</v>
      </c>
    </row>
    <row r="871" spans="1:6" ht="15" customHeight="1">
      <c r="A871" s="4413"/>
      <c r="B871" s="3435"/>
      <c r="C871" s="4280"/>
      <c r="D871" s="4249"/>
      <c r="E871" s="4233"/>
      <c r="F871" s="4233" t="str">
        <f t="shared" si="38"/>
        <v xml:space="preserve"> </v>
      </c>
    </row>
    <row r="872" spans="1:6" ht="15" customHeight="1">
      <c r="A872" s="4110">
        <v>3</v>
      </c>
      <c r="B872" s="4343" t="s">
        <v>3679</v>
      </c>
      <c r="C872" s="4286"/>
      <c r="D872" s="4249"/>
      <c r="E872" s="4233"/>
      <c r="F872" s="4233" t="str">
        <f t="shared" si="38"/>
        <v xml:space="preserve"> </v>
      </c>
    </row>
    <row r="873" spans="1:6" ht="14.25" customHeight="1">
      <c r="A873" s="4114">
        <v>3.1</v>
      </c>
      <c r="B873" s="4112" t="s">
        <v>3676</v>
      </c>
      <c r="C873" s="4103">
        <v>13.3</v>
      </c>
      <c r="D873" s="4249" t="s">
        <v>2430</v>
      </c>
      <c r="E873" s="4233">
        <v>15415.34</v>
      </c>
      <c r="F873" s="4233">
        <f t="shared" si="38"/>
        <v>205024.02</v>
      </c>
    </row>
    <row r="874" spans="1:6" ht="14.25" customHeight="1">
      <c r="A874" s="4114">
        <v>3.2</v>
      </c>
      <c r="B874" s="4112" t="s">
        <v>3157</v>
      </c>
      <c r="C874" s="4103">
        <v>0.86</v>
      </c>
      <c r="D874" s="4249" t="s">
        <v>2430</v>
      </c>
      <c r="E874" s="4233">
        <v>14275.27</v>
      </c>
      <c r="F874" s="4233">
        <f t="shared" si="38"/>
        <v>12276.73</v>
      </c>
    </row>
    <row r="875" spans="1:6" ht="14.25" customHeight="1">
      <c r="A875" s="4114">
        <v>3.3</v>
      </c>
      <c r="B875" s="4112" t="s">
        <v>3677</v>
      </c>
      <c r="C875" s="4103">
        <v>7.01</v>
      </c>
      <c r="D875" s="4249" t="s">
        <v>2430</v>
      </c>
      <c r="E875" s="4233">
        <v>18408.03</v>
      </c>
      <c r="F875" s="4233">
        <f t="shared" si="38"/>
        <v>129040.29</v>
      </c>
    </row>
    <row r="876" spans="1:6" ht="14.25" customHeight="1">
      <c r="A876" s="4114">
        <v>3.4</v>
      </c>
      <c r="B876" s="4112" t="s">
        <v>3158</v>
      </c>
      <c r="C876" s="4103">
        <v>0.35</v>
      </c>
      <c r="D876" s="4249" t="s">
        <v>2430</v>
      </c>
      <c r="E876" s="4233">
        <v>38287.07</v>
      </c>
      <c r="F876" s="4233">
        <f t="shared" si="38"/>
        <v>13400.47</v>
      </c>
    </row>
    <row r="877" spans="1:6" ht="14.25" customHeight="1">
      <c r="A877" s="4114">
        <v>3.5</v>
      </c>
      <c r="B877" s="4112" t="s">
        <v>3159</v>
      </c>
      <c r="C877" s="4103">
        <v>1.03</v>
      </c>
      <c r="D877" s="4249" t="s">
        <v>2430</v>
      </c>
      <c r="E877" s="4233">
        <v>26417.040000000001</v>
      </c>
      <c r="F877" s="4233">
        <f t="shared" si="38"/>
        <v>27209.55</v>
      </c>
    </row>
    <row r="878" spans="1:6" ht="14.25" customHeight="1">
      <c r="A878" s="4114">
        <v>3.6</v>
      </c>
      <c r="B878" s="4112" t="s">
        <v>3160</v>
      </c>
      <c r="C878" s="4103">
        <v>27.52</v>
      </c>
      <c r="D878" s="4249" t="s">
        <v>2430</v>
      </c>
      <c r="E878" s="4233">
        <v>22295.72</v>
      </c>
      <c r="F878" s="4233">
        <f t="shared" si="38"/>
        <v>613578.21</v>
      </c>
    </row>
    <row r="879" spans="1:6" ht="14.25" customHeight="1">
      <c r="A879" s="4114">
        <v>3.7</v>
      </c>
      <c r="B879" s="4112" t="s">
        <v>3161</v>
      </c>
      <c r="C879" s="4103">
        <v>1.0900000000000001</v>
      </c>
      <c r="D879" s="4249" t="s">
        <v>2430</v>
      </c>
      <c r="E879" s="4233">
        <v>32583.360000000001</v>
      </c>
      <c r="F879" s="4233">
        <f t="shared" si="38"/>
        <v>35515.86</v>
      </c>
    </row>
    <row r="880" spans="1:6" ht="14.25" customHeight="1">
      <c r="A880" s="4114">
        <v>3.8</v>
      </c>
      <c r="B880" s="4112" t="s">
        <v>3678</v>
      </c>
      <c r="C880" s="4103">
        <v>7.49</v>
      </c>
      <c r="D880" s="4249" t="s">
        <v>2430</v>
      </c>
      <c r="E880" s="4233">
        <v>24340.799999999999</v>
      </c>
      <c r="F880" s="4233">
        <f t="shared" si="38"/>
        <v>182312.59</v>
      </c>
    </row>
    <row r="881" spans="1:7" ht="14.25" customHeight="1">
      <c r="A881" s="4114">
        <v>3.9</v>
      </c>
      <c r="B881" s="4112" t="s">
        <v>3162</v>
      </c>
      <c r="C881" s="4103">
        <v>0.11</v>
      </c>
      <c r="D881" s="4249" t="s">
        <v>2430</v>
      </c>
      <c r="E881" s="4233">
        <v>8284.66</v>
      </c>
      <c r="F881" s="4233">
        <f t="shared" si="38"/>
        <v>911.31</v>
      </c>
    </row>
    <row r="882" spans="1:7" ht="14.25" customHeight="1">
      <c r="A882" s="4107"/>
      <c r="B882" s="4112"/>
      <c r="C882" s="4103"/>
      <c r="D882" s="4249"/>
      <c r="E882" s="4233"/>
      <c r="F882" s="4233" t="str">
        <f t="shared" si="38"/>
        <v xml:space="preserve"> </v>
      </c>
    </row>
    <row r="883" spans="1:7" ht="16.5" customHeight="1">
      <c r="A883" s="4101">
        <v>4</v>
      </c>
      <c r="B883" s="4112" t="s">
        <v>3680</v>
      </c>
      <c r="C883" s="4103">
        <v>3.87</v>
      </c>
      <c r="D883" s="4249" t="s">
        <v>2430</v>
      </c>
      <c r="E883" s="4233">
        <v>4897.13</v>
      </c>
      <c r="F883" s="4233">
        <f t="shared" si="38"/>
        <v>18951.89</v>
      </c>
    </row>
    <row r="884" spans="1:7" ht="14.25" customHeight="1">
      <c r="A884" s="4107"/>
      <c r="B884" s="4112"/>
      <c r="C884" s="4103"/>
      <c r="D884" s="4249"/>
      <c r="E884" s="4233"/>
      <c r="F884" s="4233" t="str">
        <f t="shared" si="38"/>
        <v xml:space="preserve"> </v>
      </c>
    </row>
    <row r="885" spans="1:7" ht="28.5" customHeight="1">
      <c r="A885" s="4114">
        <v>5</v>
      </c>
      <c r="B885" s="4104" t="s">
        <v>3163</v>
      </c>
      <c r="C885" s="4103">
        <v>91.2</v>
      </c>
      <c r="D885" s="4249" t="s">
        <v>1</v>
      </c>
      <c r="E885" s="4233">
        <v>687</v>
      </c>
      <c r="F885" s="4233">
        <f t="shared" si="38"/>
        <v>62654.400000000001</v>
      </c>
    </row>
    <row r="886" spans="1:7" ht="14.25" customHeight="1">
      <c r="A886" s="4114">
        <v>6</v>
      </c>
      <c r="B886" s="4112" t="s">
        <v>3724</v>
      </c>
      <c r="C886" s="4103">
        <v>110</v>
      </c>
      <c r="D886" s="4249" t="s">
        <v>2566</v>
      </c>
      <c r="E886" s="4233">
        <v>1203.5999999999999</v>
      </c>
      <c r="F886" s="4233">
        <f t="shared" si="38"/>
        <v>132396</v>
      </c>
    </row>
    <row r="887" spans="1:7" ht="14.25" customHeight="1">
      <c r="A887" s="4486"/>
      <c r="B887" s="4487"/>
      <c r="C887" s="4506"/>
      <c r="D887" s="4465"/>
      <c r="E887" s="4466"/>
      <c r="F887" s="4466" t="str">
        <f t="shared" si="38"/>
        <v xml:space="preserve"> </v>
      </c>
    </row>
    <row r="888" spans="1:7" ht="15" customHeight="1">
      <c r="A888" s="4110">
        <v>7</v>
      </c>
      <c r="B888" s="4343" t="s">
        <v>787</v>
      </c>
      <c r="C888" s="4103"/>
      <c r="D888" s="4249"/>
      <c r="E888" s="4233"/>
      <c r="F888" s="4233" t="str">
        <f t="shared" si="38"/>
        <v xml:space="preserve"> </v>
      </c>
    </row>
    <row r="889" spans="1:7" ht="14.25" customHeight="1">
      <c r="A889" s="4114">
        <v>7.1</v>
      </c>
      <c r="B889" s="4112" t="s">
        <v>2567</v>
      </c>
      <c r="C889" s="4103">
        <v>217.47</v>
      </c>
      <c r="D889" s="4249" t="s">
        <v>2432</v>
      </c>
      <c r="E889" s="4233">
        <v>56.57</v>
      </c>
      <c r="F889" s="4233">
        <f t="shared" si="38"/>
        <v>12302.28</v>
      </c>
    </row>
    <row r="890" spans="1:7" ht="14.25" customHeight="1">
      <c r="A890" s="4114">
        <v>7.2</v>
      </c>
      <c r="B890" s="4112" t="s">
        <v>2345</v>
      </c>
      <c r="C890" s="4103">
        <v>102.7</v>
      </c>
      <c r="D890" s="4249" t="s">
        <v>2432</v>
      </c>
      <c r="E890" s="4233">
        <v>382.2</v>
      </c>
      <c r="F890" s="4233">
        <f t="shared" si="38"/>
        <v>39251.94</v>
      </c>
    </row>
    <row r="891" spans="1:7" ht="14.25" customHeight="1">
      <c r="A891" s="4114">
        <v>7.3</v>
      </c>
      <c r="B891" s="4112" t="s">
        <v>2344</v>
      </c>
      <c r="C891" s="4103">
        <v>114.77</v>
      </c>
      <c r="D891" s="4249" t="s">
        <v>2432</v>
      </c>
      <c r="E891" s="4233">
        <v>396.6</v>
      </c>
      <c r="F891" s="4233">
        <f t="shared" si="38"/>
        <v>45517.78</v>
      </c>
    </row>
    <row r="892" spans="1:7" ht="14.25" customHeight="1">
      <c r="A892" s="4114">
        <v>7.4</v>
      </c>
      <c r="B892" s="4114" t="s">
        <v>3164</v>
      </c>
      <c r="C892" s="4103">
        <v>53.17</v>
      </c>
      <c r="D892" s="4249" t="s">
        <v>2432</v>
      </c>
      <c r="E892" s="4233">
        <v>611.6</v>
      </c>
      <c r="F892" s="4233">
        <f t="shared" si="38"/>
        <v>32518.77</v>
      </c>
    </row>
    <row r="893" spans="1:7" ht="14.25" customHeight="1">
      <c r="A893" s="4114">
        <v>7.5</v>
      </c>
      <c r="B893" s="4114" t="s">
        <v>3165</v>
      </c>
      <c r="C893" s="4103">
        <v>62.41</v>
      </c>
      <c r="D893" s="4249" t="s">
        <v>2432</v>
      </c>
      <c r="E893" s="4233">
        <v>565.92999999999995</v>
      </c>
      <c r="F893" s="4233">
        <f t="shared" si="38"/>
        <v>35319.69</v>
      </c>
    </row>
    <row r="894" spans="1:7" s="4166" customFormat="1" ht="14.25" customHeight="1">
      <c r="A894" s="4114">
        <v>7.6</v>
      </c>
      <c r="B894" s="4114" t="s">
        <v>1548</v>
      </c>
      <c r="C894" s="4103">
        <v>112.4</v>
      </c>
      <c r="D894" s="4249" t="s">
        <v>1</v>
      </c>
      <c r="E894" s="4233">
        <v>107.14</v>
      </c>
      <c r="F894" s="4233">
        <f t="shared" si="38"/>
        <v>12042.54</v>
      </c>
      <c r="G894" s="3557"/>
    </row>
    <row r="895" spans="1:7" ht="14.25" customHeight="1">
      <c r="A895" s="4114">
        <v>7.7</v>
      </c>
      <c r="B895" s="4114" t="s">
        <v>3528</v>
      </c>
      <c r="C895" s="4103">
        <v>29.2</v>
      </c>
      <c r="D895" s="4249" t="s">
        <v>1</v>
      </c>
      <c r="E895" s="4233">
        <v>134</v>
      </c>
      <c r="F895" s="4233">
        <f t="shared" si="38"/>
        <v>3912.8</v>
      </c>
    </row>
    <row r="896" spans="1:7"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3166</v>
      </c>
      <c r="C898" s="4103">
        <v>35.39</v>
      </c>
      <c r="D898" s="4249" t="s">
        <v>2432</v>
      </c>
      <c r="E898" s="4233">
        <v>94.92</v>
      </c>
      <c r="F898" s="4233">
        <f t="shared" si="38"/>
        <v>3359.22</v>
      </c>
    </row>
    <row r="899" spans="1:6" ht="14.25" customHeight="1">
      <c r="A899" s="4114">
        <v>8.1999999999999993</v>
      </c>
      <c r="B899" s="4114" t="s">
        <v>3167</v>
      </c>
      <c r="C899" s="4103">
        <v>35.39</v>
      </c>
      <c r="D899" s="4249" t="s">
        <v>2432</v>
      </c>
      <c r="E899" s="4233">
        <v>132.63999999999999</v>
      </c>
      <c r="F899" s="4233">
        <f t="shared" si="38"/>
        <v>4694.13</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3550</v>
      </c>
      <c r="C902" s="4103"/>
      <c r="D902" s="4249"/>
      <c r="E902" s="4233"/>
      <c r="F902" s="4233" t="str">
        <f t="shared" si="38"/>
        <v xml:space="preserve"> </v>
      </c>
    </row>
    <row r="903" spans="1:6" ht="14.25" customHeight="1">
      <c r="A903" s="4111" t="s">
        <v>541</v>
      </c>
      <c r="B903" s="4108" t="s">
        <v>3168</v>
      </c>
      <c r="C903" s="4103">
        <v>14.22</v>
      </c>
      <c r="D903" s="4249" t="s">
        <v>1</v>
      </c>
      <c r="E903" s="4233">
        <v>2003</v>
      </c>
      <c r="F903" s="4233">
        <f t="shared" si="38"/>
        <v>28482.66</v>
      </c>
    </row>
    <row r="904" spans="1:6" ht="14.25" customHeight="1">
      <c r="A904" s="4111" t="s">
        <v>542</v>
      </c>
      <c r="B904" s="4108" t="s">
        <v>3681</v>
      </c>
      <c r="C904" s="4103">
        <v>17.37</v>
      </c>
      <c r="D904" s="4249" t="s">
        <v>1</v>
      </c>
      <c r="E904" s="4233">
        <v>1695.15</v>
      </c>
      <c r="F904" s="4233">
        <f t="shared" si="38"/>
        <v>29444.76</v>
      </c>
    </row>
    <row r="905" spans="1:6" ht="14.25" customHeight="1">
      <c r="A905" s="4111" t="s">
        <v>3169</v>
      </c>
      <c r="B905" s="4108" t="s">
        <v>3682</v>
      </c>
      <c r="C905" s="4103">
        <v>5</v>
      </c>
      <c r="D905" s="4249" t="s">
        <v>2433</v>
      </c>
      <c r="E905" s="4233">
        <v>1843.86</v>
      </c>
      <c r="F905" s="4233">
        <f t="shared" si="38"/>
        <v>9219.2999999999993</v>
      </c>
    </row>
    <row r="906" spans="1:6" ht="14.25" customHeight="1">
      <c r="A906" s="4111" t="s">
        <v>3170</v>
      </c>
      <c r="B906" s="4108" t="s">
        <v>3683</v>
      </c>
      <c r="C906" s="4103">
        <v>8</v>
      </c>
      <c r="D906" s="4249" t="s">
        <v>2433</v>
      </c>
      <c r="E906" s="4233">
        <v>6156.32</v>
      </c>
      <c r="F906" s="4233">
        <f t="shared" si="38"/>
        <v>49250.559999999998</v>
      </c>
    </row>
    <row r="907" spans="1:6" ht="14.25" customHeight="1">
      <c r="A907" s="4111" t="s">
        <v>3171</v>
      </c>
      <c r="B907" s="4108" t="s">
        <v>3684</v>
      </c>
      <c r="C907" s="4103">
        <v>2</v>
      </c>
      <c r="D907" s="4249" t="s">
        <v>2433</v>
      </c>
      <c r="E907" s="4233">
        <v>6374.62</v>
      </c>
      <c r="F907" s="4233">
        <f t="shared" si="38"/>
        <v>12749.24</v>
      </c>
    </row>
    <row r="908" spans="1:6" ht="14.25" customHeight="1">
      <c r="A908" s="4111" t="s">
        <v>3172</v>
      </c>
      <c r="B908" s="4114" t="s">
        <v>3496</v>
      </c>
      <c r="C908" s="4103">
        <v>3</v>
      </c>
      <c r="D908" s="4249" t="s">
        <v>2433</v>
      </c>
      <c r="E908" s="4233">
        <v>2347.23</v>
      </c>
      <c r="F908" s="4233">
        <f t="shared" si="38"/>
        <v>7041.69</v>
      </c>
    </row>
    <row r="909" spans="1:6" ht="14.25" customHeight="1">
      <c r="A909" s="4111" t="s">
        <v>3173</v>
      </c>
      <c r="B909" s="4114" t="s">
        <v>3685</v>
      </c>
      <c r="C909" s="4103">
        <v>7</v>
      </c>
      <c r="D909" s="4249" t="s">
        <v>2433</v>
      </c>
      <c r="E909" s="4233">
        <v>850</v>
      </c>
      <c r="F909" s="4233">
        <f t="shared" si="38"/>
        <v>5950</v>
      </c>
    </row>
    <row r="910" spans="1:6" ht="14.25" customHeight="1">
      <c r="A910" s="4111" t="s">
        <v>3174</v>
      </c>
      <c r="B910" s="4114" t="s">
        <v>3686</v>
      </c>
      <c r="C910" s="4103">
        <v>2</v>
      </c>
      <c r="D910" s="4249" t="s">
        <v>2433</v>
      </c>
      <c r="E910" s="4233">
        <v>46932.74</v>
      </c>
      <c r="F910" s="4233">
        <f t="shared" si="38"/>
        <v>93865.48</v>
      </c>
    </row>
    <row r="911" spans="1:6" ht="14.25" customHeight="1">
      <c r="A911" s="4111" t="s">
        <v>3175</v>
      </c>
      <c r="B911" s="4114" t="s">
        <v>3722</v>
      </c>
      <c r="C911" s="4103">
        <v>2</v>
      </c>
      <c r="D911" s="4249" t="s">
        <v>2433</v>
      </c>
      <c r="E911" s="4233">
        <v>42739.71</v>
      </c>
      <c r="F911" s="4233">
        <f t="shared" si="38"/>
        <v>85479.42</v>
      </c>
    </row>
    <row r="912" spans="1:6" ht="14.25" customHeight="1">
      <c r="A912" s="4114"/>
      <c r="B912" s="4114"/>
      <c r="C912" s="4103"/>
      <c r="D912" s="4249"/>
      <c r="E912" s="4233"/>
      <c r="F912" s="4233" t="str">
        <f t="shared" si="38"/>
        <v xml:space="preserve"> </v>
      </c>
    </row>
    <row r="913" spans="1:6" ht="15" customHeight="1">
      <c r="A913" s="4110">
        <v>9.1999999999999993</v>
      </c>
      <c r="B913" s="4343" t="s">
        <v>3687</v>
      </c>
      <c r="C913" s="4103"/>
      <c r="D913" s="4249"/>
      <c r="E913" s="4233"/>
      <c r="F913" s="4233" t="str">
        <f t="shared" si="38"/>
        <v xml:space="preserve"> </v>
      </c>
    </row>
    <row r="914" spans="1:6" ht="14.25" customHeight="1">
      <c r="A914" s="4111" t="s">
        <v>543</v>
      </c>
      <c r="B914" s="4114" t="s">
        <v>2353</v>
      </c>
      <c r="C914" s="4103">
        <v>26.49</v>
      </c>
      <c r="D914" s="4249" t="s">
        <v>1</v>
      </c>
      <c r="E914" s="4233">
        <v>16.11</v>
      </c>
      <c r="F914" s="4233">
        <f t="shared" si="38"/>
        <v>426.75</v>
      </c>
    </row>
    <row r="915" spans="1:6" ht="14.25" customHeight="1">
      <c r="A915" s="4111" t="s">
        <v>544</v>
      </c>
      <c r="B915" s="4108" t="s">
        <v>3176</v>
      </c>
      <c r="C915" s="4103">
        <v>23.31</v>
      </c>
      <c r="D915" s="4249" t="s">
        <v>3154</v>
      </c>
      <c r="E915" s="4233">
        <v>154.51</v>
      </c>
      <c r="F915" s="4233">
        <f t="shared" si="38"/>
        <v>3601.63</v>
      </c>
    </row>
    <row r="916" spans="1:6" ht="14.25" customHeight="1">
      <c r="A916" s="4111" t="s">
        <v>545</v>
      </c>
      <c r="B916" s="4114" t="s">
        <v>2546</v>
      </c>
      <c r="C916" s="4103">
        <v>1.22</v>
      </c>
      <c r="D916" s="4249" t="s">
        <v>3177</v>
      </c>
      <c r="E916" s="4233">
        <v>1313.13</v>
      </c>
      <c r="F916" s="4233">
        <f t="shared" si="38"/>
        <v>1602.02</v>
      </c>
    </row>
    <row r="917" spans="1:6" ht="14.25" customHeight="1">
      <c r="A917" s="4111" t="s">
        <v>3178</v>
      </c>
      <c r="B917" s="4108" t="s">
        <v>3558</v>
      </c>
      <c r="C917" s="4103">
        <v>20.54</v>
      </c>
      <c r="D917" s="4249" t="s">
        <v>2431</v>
      </c>
      <c r="E917" s="4233">
        <v>121.12</v>
      </c>
      <c r="F917" s="4233">
        <f t="shared" si="38"/>
        <v>2487.8000000000002</v>
      </c>
    </row>
    <row r="918" spans="1:6" ht="28.5" customHeight="1">
      <c r="A918" s="4111" t="s">
        <v>3179</v>
      </c>
      <c r="B918" s="4108" t="s">
        <v>3557</v>
      </c>
      <c r="C918" s="4103">
        <v>3.33</v>
      </c>
      <c r="D918" s="4249" t="s">
        <v>3156</v>
      </c>
      <c r="E918" s="4414">
        <v>210</v>
      </c>
      <c r="F918" s="4233">
        <f t="shared" si="38"/>
        <v>699.3</v>
      </c>
    </row>
    <row r="919" spans="1:6" ht="14.25" customHeight="1">
      <c r="A919" s="4114"/>
      <c r="B919" s="4114"/>
      <c r="C919" s="4103"/>
      <c r="D919" s="4249"/>
      <c r="E919" s="4103"/>
      <c r="F919" s="4233" t="str">
        <f t="shared" si="38"/>
        <v xml:space="preserve"> </v>
      </c>
    </row>
    <row r="920" spans="1:6" ht="15" customHeight="1">
      <c r="A920" s="4110">
        <v>9.3000000000000007</v>
      </c>
      <c r="B920" s="4343" t="s">
        <v>3549</v>
      </c>
      <c r="C920" s="4103"/>
      <c r="D920" s="4249"/>
      <c r="E920" s="4103"/>
      <c r="F920" s="4233" t="str">
        <f t="shared" si="38"/>
        <v xml:space="preserve"> </v>
      </c>
    </row>
    <row r="921" spans="1:6" ht="14.25" customHeight="1">
      <c r="A921" s="4111" t="s">
        <v>3180</v>
      </c>
      <c r="B921" s="4114" t="s">
        <v>3723</v>
      </c>
      <c r="C921" s="4103">
        <v>1</v>
      </c>
      <c r="D921" s="4249" t="s">
        <v>2433</v>
      </c>
      <c r="E921" s="4415">
        <v>71844.3</v>
      </c>
      <c r="F921" s="4233">
        <f t="shared" si="38"/>
        <v>71844.3</v>
      </c>
    </row>
    <row r="922" spans="1:6" ht="14.25" customHeight="1">
      <c r="A922" s="4111" t="s">
        <v>3181</v>
      </c>
      <c r="B922" s="4114" t="s">
        <v>3182</v>
      </c>
      <c r="C922" s="4103">
        <v>1</v>
      </c>
      <c r="D922" s="4249" t="s">
        <v>2433</v>
      </c>
      <c r="E922" s="4415">
        <v>53218</v>
      </c>
      <c r="F922" s="4233">
        <f t="shared" si="38"/>
        <v>53218</v>
      </c>
    </row>
    <row r="923" spans="1:6" ht="14.25" customHeight="1">
      <c r="A923" s="4111" t="s">
        <v>3183</v>
      </c>
      <c r="B923" s="4114" t="s">
        <v>3184</v>
      </c>
      <c r="C923" s="4103">
        <v>1</v>
      </c>
      <c r="D923" s="4249" t="s">
        <v>2433</v>
      </c>
      <c r="E923" s="4415">
        <v>6000</v>
      </c>
      <c r="F923" s="4233">
        <f t="shared" si="38"/>
        <v>6000</v>
      </c>
    </row>
    <row r="924" spans="1:6" ht="14.25" customHeight="1">
      <c r="A924" s="4111" t="s">
        <v>3185</v>
      </c>
      <c r="B924" s="4114" t="s">
        <v>3186</v>
      </c>
      <c r="C924" s="4103">
        <v>1</v>
      </c>
      <c r="D924" s="4249" t="s">
        <v>2433</v>
      </c>
      <c r="E924" s="4415">
        <v>7624.76</v>
      </c>
      <c r="F924" s="4233">
        <f t="shared" si="38"/>
        <v>7624.76</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3187</v>
      </c>
      <c r="C927" s="4103">
        <v>16.8</v>
      </c>
      <c r="D927" s="4249" t="s">
        <v>2432</v>
      </c>
      <c r="E927" s="4103">
        <v>977.29</v>
      </c>
      <c r="F927" s="4233">
        <f t="shared" si="39"/>
        <v>16418.47</v>
      </c>
    </row>
    <row r="928" spans="1:6" ht="14.25" customHeight="1">
      <c r="A928" s="4114">
        <v>10.199999999999999</v>
      </c>
      <c r="B928" s="4114" t="s">
        <v>2595</v>
      </c>
      <c r="C928" s="4103">
        <v>1</v>
      </c>
      <c r="D928" s="4249" t="s">
        <v>2433</v>
      </c>
      <c r="E928" s="4103">
        <v>7500</v>
      </c>
      <c r="F928" s="4233">
        <f t="shared" si="39"/>
        <v>7500</v>
      </c>
    </row>
    <row r="929" spans="1:7" s="4266" customFormat="1" ht="12.75" customHeight="1">
      <c r="A929" s="4304"/>
      <c r="B929" s="4304" t="s">
        <v>3935</v>
      </c>
      <c r="C929" s="4498"/>
      <c r="D929" s="4498"/>
      <c r="E929" s="4498"/>
      <c r="F929" s="4307">
        <f>SUM(F864:F928)</f>
        <v>2202603.37</v>
      </c>
      <c r="G929" s="3557"/>
    </row>
    <row r="930" spans="1:7" ht="8.25" customHeight="1">
      <c r="A930" s="4388"/>
      <c r="B930" s="3435"/>
      <c r="C930" s="4231"/>
      <c r="D930" s="4271"/>
      <c r="E930" s="4264"/>
      <c r="F930" s="4233" t="str">
        <f t="shared" ref="F930:F977" si="40">IF(C930&gt;0,(ROUND((E930*C930),2))," ")</f>
        <v xml:space="preserve"> </v>
      </c>
    </row>
    <row r="931" spans="1:7" ht="30.75" customHeight="1">
      <c r="A931" s="3553" t="s">
        <v>3936</v>
      </c>
      <c r="B931" s="3435" t="s">
        <v>3780</v>
      </c>
      <c r="C931" s="4507"/>
      <c r="D931" s="4524"/>
      <c r="E931" s="3556"/>
      <c r="F931" s="3556" t="str">
        <f t="shared" si="40"/>
        <v xml:space="preserve"> </v>
      </c>
    </row>
    <row r="932" spans="1:7" ht="12.75" customHeight="1">
      <c r="A932" s="3558"/>
      <c r="B932" s="3554"/>
      <c r="C932" s="4508"/>
      <c r="D932" s="4524"/>
      <c r="E932" s="3556"/>
      <c r="F932" s="3556" t="str">
        <f t="shared" si="40"/>
        <v xml:space="preserve"> </v>
      </c>
    </row>
    <row r="933" spans="1:7" ht="12.75" customHeight="1">
      <c r="A933" s="3560">
        <v>1</v>
      </c>
      <c r="B933" s="3561" t="s">
        <v>2165</v>
      </c>
      <c r="C933" s="4508"/>
      <c r="D933" s="4524"/>
      <c r="E933" s="3556"/>
      <c r="F933" s="3556" t="str">
        <f t="shared" si="40"/>
        <v xml:space="preserve"> </v>
      </c>
    </row>
    <row r="934" spans="1:7" ht="14.25" customHeight="1">
      <c r="A934" s="3562">
        <v>1.1000000000000001</v>
      </c>
      <c r="B934" s="3563" t="s">
        <v>2353</v>
      </c>
      <c r="C934" s="4508">
        <v>240.25</v>
      </c>
      <c r="D934" s="4524" t="s">
        <v>1</v>
      </c>
      <c r="E934" s="3743">
        <v>53.08</v>
      </c>
      <c r="F934" s="4233">
        <f t="shared" si="40"/>
        <v>12752.47</v>
      </c>
    </row>
    <row r="935" spans="1:7" ht="12.75" customHeight="1">
      <c r="A935" s="4489"/>
      <c r="B935" s="4490"/>
      <c r="C935" s="4509"/>
      <c r="D935" s="4525"/>
      <c r="E935" s="4493"/>
      <c r="F935" s="4493" t="str">
        <f t="shared" si="40"/>
        <v xml:space="preserve"> </v>
      </c>
    </row>
    <row r="936" spans="1:7" ht="12.75" customHeight="1">
      <c r="A936" s="3560">
        <v>2</v>
      </c>
      <c r="B936" s="3565" t="s">
        <v>14</v>
      </c>
      <c r="C936" s="3566"/>
      <c r="D936" s="1252"/>
      <c r="E936" s="1251"/>
      <c r="F936" s="3564" t="str">
        <f t="shared" si="40"/>
        <v xml:space="preserve"> </v>
      </c>
    </row>
    <row r="937" spans="1:7" ht="14.25" customHeight="1">
      <c r="A937" s="17">
        <v>2.1</v>
      </c>
      <c r="B937" s="3563" t="s">
        <v>2989</v>
      </c>
      <c r="C937" s="3566">
        <v>98</v>
      </c>
      <c r="D937" s="4249" t="s">
        <v>3154</v>
      </c>
      <c r="E937" s="3743">
        <v>330.24</v>
      </c>
      <c r="F937" s="3744">
        <f t="shared" si="40"/>
        <v>32363.52</v>
      </c>
    </row>
    <row r="938" spans="1:7" ht="14.25" customHeight="1">
      <c r="A938" s="17">
        <v>2.2000000000000002</v>
      </c>
      <c r="B938" s="3563" t="s">
        <v>2990</v>
      </c>
      <c r="C938" s="3566">
        <v>48.37</v>
      </c>
      <c r="D938" s="4249" t="s">
        <v>2431</v>
      </c>
      <c r="E938" s="1251">
        <v>72.099999999999994</v>
      </c>
      <c r="F938" s="3564">
        <f t="shared" si="40"/>
        <v>3487.48</v>
      </c>
    </row>
    <row r="939" spans="1:7" ht="14.25" customHeight="1">
      <c r="A939" s="17">
        <v>2.2999999999999998</v>
      </c>
      <c r="B939" s="3563" t="s">
        <v>2991</v>
      </c>
      <c r="C939" s="4105">
        <v>64.52</v>
      </c>
      <c r="D939" s="4526" t="s">
        <v>2431</v>
      </c>
      <c r="E939" s="3743">
        <v>210</v>
      </c>
      <c r="F939" s="3744">
        <f t="shared" si="40"/>
        <v>13549.2</v>
      </c>
    </row>
    <row r="940" spans="1:7" ht="12.75" customHeight="1">
      <c r="A940" s="17"/>
      <c r="B940" s="3567"/>
      <c r="C940" s="3566"/>
      <c r="D940" s="1252"/>
      <c r="E940" s="1251"/>
      <c r="F940" s="3564" t="str">
        <f t="shared" si="40"/>
        <v xml:space="preserve"> </v>
      </c>
    </row>
    <row r="941" spans="1:7" ht="12.75" customHeight="1">
      <c r="A941" s="3560">
        <v>3</v>
      </c>
      <c r="B941" s="3565" t="s">
        <v>2992</v>
      </c>
      <c r="C941" s="3566"/>
      <c r="D941" s="1252"/>
      <c r="E941" s="1251"/>
      <c r="F941" s="3564" t="str">
        <f t="shared" si="40"/>
        <v xml:space="preserve"> </v>
      </c>
    </row>
    <row r="942" spans="1:7" ht="14.25" customHeight="1">
      <c r="A942" s="17">
        <v>3.1</v>
      </c>
      <c r="B942" s="3563" t="s">
        <v>2993</v>
      </c>
      <c r="C942" s="3566">
        <v>22.35</v>
      </c>
      <c r="D942" s="4516" t="s">
        <v>2430</v>
      </c>
      <c r="E942" s="1251">
        <v>9706.93</v>
      </c>
      <c r="F942" s="3564">
        <f t="shared" si="40"/>
        <v>216949.89</v>
      </c>
    </row>
    <row r="943" spans="1:7" ht="28.5" customHeight="1">
      <c r="A943" s="17">
        <v>3.2</v>
      </c>
      <c r="B943" s="3563" t="s">
        <v>2994</v>
      </c>
      <c r="C943" s="1251">
        <v>5.58</v>
      </c>
      <c r="D943" s="4516" t="s">
        <v>2430</v>
      </c>
      <c r="E943" s="1251">
        <v>13406.66</v>
      </c>
      <c r="F943" s="3564">
        <f t="shared" si="40"/>
        <v>74809.16</v>
      </c>
    </row>
    <row r="944" spans="1:7" ht="13.5" customHeight="1">
      <c r="A944" s="17">
        <v>3.3</v>
      </c>
      <c r="B944" s="3563" t="s">
        <v>3953</v>
      </c>
      <c r="C944" s="3566">
        <v>8.4499999999999993</v>
      </c>
      <c r="D944" s="4516" t="s">
        <v>2430</v>
      </c>
      <c r="E944" s="1251">
        <v>29128.06</v>
      </c>
      <c r="F944" s="3564">
        <f t="shared" si="40"/>
        <v>246132.11</v>
      </c>
    </row>
    <row r="945" spans="1:7" ht="13.5" customHeight="1">
      <c r="A945" s="17">
        <v>3.4</v>
      </c>
      <c r="B945" s="3563" t="s">
        <v>3954</v>
      </c>
      <c r="C945" s="3566">
        <v>6.69</v>
      </c>
      <c r="D945" s="4516" t="s">
        <v>2430</v>
      </c>
      <c r="E945" s="1251">
        <v>23558.36</v>
      </c>
      <c r="F945" s="3564">
        <f t="shared" si="40"/>
        <v>157605.43</v>
      </c>
    </row>
    <row r="946" spans="1:7" ht="13.5" customHeight="1">
      <c r="A946" s="17">
        <v>3.5</v>
      </c>
      <c r="B946" s="3563" t="s">
        <v>3955</v>
      </c>
      <c r="C946" s="3566">
        <v>9.4499999999999993</v>
      </c>
      <c r="D946" s="4516" t="s">
        <v>2430</v>
      </c>
      <c r="E946" s="1251">
        <v>20037.98</v>
      </c>
      <c r="F946" s="3564">
        <f t="shared" si="40"/>
        <v>189358.91</v>
      </c>
    </row>
    <row r="947" spans="1:7" ht="31.5" customHeight="1">
      <c r="A947" s="17">
        <v>3.6</v>
      </c>
      <c r="B947" s="3563" t="s">
        <v>2995</v>
      </c>
      <c r="C947" s="3566">
        <v>1.32</v>
      </c>
      <c r="D947" s="4516" t="s">
        <v>2430</v>
      </c>
      <c r="E947" s="1251">
        <v>14906.77</v>
      </c>
      <c r="F947" s="3564">
        <f t="shared" si="40"/>
        <v>19676.939999999999</v>
      </c>
    </row>
    <row r="948" spans="1:7" ht="12.75" customHeight="1">
      <c r="A948" s="17"/>
      <c r="B948" s="3567"/>
      <c r="C948" s="3566"/>
      <c r="D948" s="4524"/>
      <c r="E948" s="1251"/>
      <c r="F948" s="3564" t="str">
        <f t="shared" si="40"/>
        <v xml:space="preserve"> </v>
      </c>
    </row>
    <row r="949" spans="1:7" ht="12.75" customHeight="1">
      <c r="A949" s="4428">
        <v>4</v>
      </c>
      <c r="B949" s="3565" t="s">
        <v>2996</v>
      </c>
      <c r="C949" s="3566"/>
      <c r="D949" s="4524"/>
      <c r="E949" s="1251"/>
      <c r="F949" s="3564" t="str">
        <f t="shared" si="40"/>
        <v xml:space="preserve"> </v>
      </c>
    </row>
    <row r="950" spans="1:7" ht="14.25" customHeight="1">
      <c r="A950" s="17">
        <v>4.0999999999999996</v>
      </c>
      <c r="B950" s="3563" t="s">
        <v>3781</v>
      </c>
      <c r="C950" s="3566">
        <v>574.73</v>
      </c>
      <c r="D950" s="4249" t="s">
        <v>2432</v>
      </c>
      <c r="E950" s="1251">
        <v>1309.51</v>
      </c>
      <c r="F950" s="3564">
        <f t="shared" si="40"/>
        <v>752614.68</v>
      </c>
    </row>
    <row r="951" spans="1:7" ht="14.25" customHeight="1">
      <c r="A951" s="17">
        <v>4.2</v>
      </c>
      <c r="B951" s="3563" t="s">
        <v>3704</v>
      </c>
      <c r="C951" s="3566">
        <v>88.42</v>
      </c>
      <c r="D951" s="4249" t="s">
        <v>2432</v>
      </c>
      <c r="E951" s="1251">
        <v>1168.02</v>
      </c>
      <c r="F951" s="3564">
        <f t="shared" si="40"/>
        <v>103276.33</v>
      </c>
    </row>
    <row r="952" spans="1:7" ht="12.75" customHeight="1">
      <c r="A952" s="17"/>
      <c r="B952" s="3567"/>
      <c r="C952" s="3566"/>
      <c r="D952" s="1252"/>
      <c r="E952" s="1251"/>
      <c r="F952" s="3564" t="str">
        <f t="shared" si="40"/>
        <v xml:space="preserve"> </v>
      </c>
    </row>
    <row r="953" spans="1:7" ht="12.75" customHeight="1">
      <c r="A953" s="3560">
        <v>5</v>
      </c>
      <c r="B953" s="3565" t="s">
        <v>787</v>
      </c>
      <c r="C953" s="3566"/>
      <c r="D953" s="1252"/>
      <c r="E953" s="1251"/>
      <c r="F953" s="3564" t="str">
        <f t="shared" si="40"/>
        <v xml:space="preserve"> </v>
      </c>
    </row>
    <row r="954" spans="1:7" s="4236" customFormat="1" ht="14.25" customHeight="1">
      <c r="A954" s="4392">
        <v>5.0999999999999996</v>
      </c>
      <c r="B954" s="4230" t="s">
        <v>2567</v>
      </c>
      <c r="C954" s="4231">
        <v>239.36</v>
      </c>
      <c r="D954" s="4249" t="s">
        <v>2432</v>
      </c>
      <c r="E954" s="4233">
        <v>56.57</v>
      </c>
      <c r="F954" s="4233">
        <f t="shared" si="40"/>
        <v>13540.6</v>
      </c>
      <c r="G954" s="3557"/>
    </row>
    <row r="955" spans="1:7" ht="14.25" customHeight="1">
      <c r="A955" s="4392">
        <v>5.2</v>
      </c>
      <c r="B955" s="4230" t="s">
        <v>2997</v>
      </c>
      <c r="C955" s="4231">
        <v>239.36</v>
      </c>
      <c r="D955" s="4249" t="s">
        <v>2432</v>
      </c>
      <c r="E955" s="4233">
        <v>382.2</v>
      </c>
      <c r="F955" s="4233">
        <f t="shared" si="40"/>
        <v>91483.39</v>
      </c>
    </row>
    <row r="956" spans="1:7" s="4166" customFormat="1" ht="14.25" customHeight="1">
      <c r="A956" s="4165">
        <v>5.3</v>
      </c>
      <c r="B956" s="3563" t="s">
        <v>1548</v>
      </c>
      <c r="C956" s="4105">
        <v>1395.15</v>
      </c>
      <c r="D956" s="4527" t="s">
        <v>1</v>
      </c>
      <c r="E956" s="3743">
        <v>107.14</v>
      </c>
      <c r="F956" s="3744">
        <f t="shared" si="40"/>
        <v>149476.37</v>
      </c>
      <c r="G956" s="3557"/>
    </row>
    <row r="957" spans="1:7" ht="12.75" customHeight="1">
      <c r="A957" s="734"/>
      <c r="B957" s="3565"/>
      <c r="C957" s="3566"/>
      <c r="D957" s="1252"/>
      <c r="E957" s="1251"/>
      <c r="F957" s="3564" t="str">
        <f t="shared" si="40"/>
        <v xml:space="preserve"> </v>
      </c>
    </row>
    <row r="958" spans="1:7" ht="12.75" customHeight="1">
      <c r="A958" s="3560">
        <v>6</v>
      </c>
      <c r="B958" s="3565" t="s">
        <v>202</v>
      </c>
      <c r="C958" s="3566"/>
      <c r="D958" s="1252"/>
      <c r="E958" s="1251"/>
      <c r="F958" s="3564" t="str">
        <f t="shared" si="40"/>
        <v xml:space="preserve"> </v>
      </c>
    </row>
    <row r="959" spans="1:7" ht="14.25" customHeight="1">
      <c r="A959" s="4392">
        <v>6.1</v>
      </c>
      <c r="B959" s="4230" t="s">
        <v>2998</v>
      </c>
      <c r="C959" s="4231">
        <v>239.36</v>
      </c>
      <c r="D959" s="4249" t="s">
        <v>2432</v>
      </c>
      <c r="E959" s="4233">
        <v>94.92</v>
      </c>
      <c r="F959" s="4233">
        <f t="shared" si="40"/>
        <v>22720.05</v>
      </c>
    </row>
    <row r="960" spans="1:7" ht="14.25" customHeight="1">
      <c r="A960" s="17">
        <v>6.2</v>
      </c>
      <c r="B960" s="3563" t="s">
        <v>3559</v>
      </c>
      <c r="C960" s="3566">
        <v>239.36</v>
      </c>
      <c r="D960" s="4249" t="s">
        <v>2432</v>
      </c>
      <c r="E960" s="3741">
        <v>132.63999999999999</v>
      </c>
      <c r="F960" s="3564">
        <f t="shared" si="40"/>
        <v>31748.71</v>
      </c>
    </row>
    <row r="961" spans="1:7" ht="14.25" customHeight="1">
      <c r="A961" s="17"/>
      <c r="B961" s="3563"/>
      <c r="C961" s="3566"/>
      <c r="D961" s="1252"/>
      <c r="E961" s="1251"/>
      <c r="F961" s="3564" t="str">
        <f t="shared" si="40"/>
        <v xml:space="preserve"> </v>
      </c>
    </row>
    <row r="962" spans="1:7" ht="14.25" customHeight="1">
      <c r="A962" s="3560">
        <v>7</v>
      </c>
      <c r="B962" s="3563" t="s">
        <v>2999</v>
      </c>
      <c r="C962" s="3566">
        <v>236.25</v>
      </c>
      <c r="D962" s="1252" t="s">
        <v>1</v>
      </c>
      <c r="E962" s="1251">
        <v>753.25</v>
      </c>
      <c r="F962" s="3564">
        <f t="shared" si="40"/>
        <v>177955.31</v>
      </c>
    </row>
    <row r="963" spans="1:7" ht="28.5" customHeight="1">
      <c r="A963" s="3560">
        <v>8</v>
      </c>
      <c r="B963" s="3563" t="s">
        <v>3000</v>
      </c>
      <c r="C963" s="1251">
        <v>15.6</v>
      </c>
      <c r="D963" s="1252" t="s">
        <v>1</v>
      </c>
      <c r="E963" s="1251">
        <v>94.63</v>
      </c>
      <c r="F963" s="3564">
        <f t="shared" si="40"/>
        <v>1476.23</v>
      </c>
    </row>
    <row r="964" spans="1:7" ht="28.5" customHeight="1">
      <c r="A964" s="3560">
        <v>9</v>
      </c>
      <c r="B964" s="3563" t="s">
        <v>3001</v>
      </c>
      <c r="C964" s="3566">
        <v>24</v>
      </c>
      <c r="D964" s="4249" t="s">
        <v>2433</v>
      </c>
      <c r="E964" s="1251">
        <v>1292.56</v>
      </c>
      <c r="F964" s="3564">
        <f t="shared" si="40"/>
        <v>31021.439999999999</v>
      </c>
    </row>
    <row r="965" spans="1:7" ht="14.25" customHeight="1">
      <c r="A965" s="17"/>
      <c r="B965" s="3563"/>
      <c r="C965" s="3566"/>
      <c r="D965" s="4528"/>
      <c r="E965" s="1251"/>
      <c r="F965" s="3564" t="str">
        <f t="shared" si="40"/>
        <v xml:space="preserve"> </v>
      </c>
    </row>
    <row r="966" spans="1:7" ht="14.25" customHeight="1">
      <c r="A966" s="3560">
        <v>10</v>
      </c>
      <c r="B966" s="3563" t="s">
        <v>3002</v>
      </c>
      <c r="C966" s="3568">
        <v>1</v>
      </c>
      <c r="D966" s="4249" t="s">
        <v>2433</v>
      </c>
      <c r="E966" s="1251">
        <v>81545</v>
      </c>
      <c r="F966" s="3564">
        <f t="shared" si="40"/>
        <v>81545</v>
      </c>
    </row>
    <row r="967" spans="1:7" s="4266" customFormat="1" ht="12.75" customHeight="1">
      <c r="A967" s="4304"/>
      <c r="B967" s="4304" t="s">
        <v>3937</v>
      </c>
      <c r="C967" s="4498"/>
      <c r="D967" s="4498"/>
      <c r="E967" s="4498"/>
      <c r="F967" s="4307">
        <f>SUM(F932:F966)</f>
        <v>2423543.2200000002</v>
      </c>
      <c r="G967" s="3557"/>
    </row>
    <row r="968" spans="1:7" s="4225" customFormat="1" ht="15" customHeight="1">
      <c r="A968" s="4393"/>
      <c r="B968" s="3435"/>
      <c r="C968" s="4264"/>
      <c r="D968" s="4271"/>
      <c r="E968" s="4233"/>
      <c r="F968" s="4233"/>
      <c r="G968" s="3557"/>
    </row>
    <row r="969" spans="1:7" s="4225" customFormat="1" ht="15" customHeight="1">
      <c r="A969" s="4278" t="s">
        <v>3938</v>
      </c>
      <c r="B969" s="3435" t="s">
        <v>3705</v>
      </c>
      <c r="C969" s="4264"/>
      <c r="D969" s="4271"/>
      <c r="E969" s="4233"/>
      <c r="F969" s="4233"/>
      <c r="G969" s="3557"/>
    </row>
    <row r="970" spans="1:7" ht="56.25" customHeight="1">
      <c r="A970" s="4416">
        <v>1</v>
      </c>
      <c r="B970" s="4370" t="s">
        <v>3950</v>
      </c>
      <c r="C970" s="4231">
        <v>1</v>
      </c>
      <c r="D970" s="4249" t="s">
        <v>2433</v>
      </c>
      <c r="E970" s="4233">
        <v>42500</v>
      </c>
      <c r="F970" s="4233">
        <f t="shared" si="40"/>
        <v>42500</v>
      </c>
    </row>
    <row r="971" spans="1:7" ht="28.5" customHeight="1">
      <c r="A971" s="4416">
        <v>2</v>
      </c>
      <c r="B971" s="4370" t="s">
        <v>3942</v>
      </c>
      <c r="C971" s="4231">
        <v>10</v>
      </c>
      <c r="D971" s="4249" t="s">
        <v>4036</v>
      </c>
      <c r="E971" s="4233">
        <v>35500</v>
      </c>
      <c r="F971" s="4233">
        <f t="shared" si="40"/>
        <v>355000</v>
      </c>
    </row>
    <row r="972" spans="1:7" s="3531" customFormat="1" ht="45.75" customHeight="1">
      <c r="A972" s="4358">
        <v>3</v>
      </c>
      <c r="B972" s="4370" t="s">
        <v>3951</v>
      </c>
      <c r="C972" s="4191">
        <v>1</v>
      </c>
      <c r="D972" s="4311" t="s">
        <v>42</v>
      </c>
      <c r="E972" s="4210">
        <v>203000</v>
      </c>
      <c r="F972" s="4359">
        <f>+ROUND((E972*C972),2)</f>
        <v>203000</v>
      </c>
      <c r="G972" s="3557"/>
    </row>
    <row r="973" spans="1:7" s="3531" customFormat="1" ht="18" customHeight="1">
      <c r="A973" s="4358">
        <v>4</v>
      </c>
      <c r="B973" s="4370" t="s">
        <v>3952</v>
      </c>
      <c r="C973" s="4191">
        <v>10</v>
      </c>
      <c r="D973" s="4249" t="s">
        <v>4036</v>
      </c>
      <c r="E973" s="4210">
        <v>6000</v>
      </c>
      <c r="F973" s="4359">
        <f>+ROUND((E973*C973),2)</f>
        <v>60000</v>
      </c>
      <c r="G973" s="3557"/>
    </row>
    <row r="974" spans="1:7" s="4266" customFormat="1" ht="12.75" customHeight="1">
      <c r="A974" s="4304"/>
      <c r="B974" s="4304" t="s">
        <v>3939</v>
      </c>
      <c r="C974" s="4305"/>
      <c r="D974" s="4305"/>
      <c r="E974" s="4305"/>
      <c r="F974" s="4307">
        <f>SUM(F970:F973)</f>
        <v>660500</v>
      </c>
      <c r="G974" s="3557"/>
    </row>
    <row r="975" spans="1:7" s="4240" customFormat="1">
      <c r="A975" s="4417"/>
      <c r="B975" s="4372" t="s">
        <v>15</v>
      </c>
      <c r="C975" s="4373"/>
      <c r="D975" s="4374"/>
      <c r="E975" s="4373"/>
      <c r="F975" s="4418">
        <f>F976</f>
        <v>73864757.930000007</v>
      </c>
      <c r="G975" s="3557"/>
    </row>
    <row r="976" spans="1:7" s="4240" customFormat="1">
      <c r="A976" s="4417"/>
      <c r="B976" s="4372" t="s">
        <v>15</v>
      </c>
      <c r="C976" s="4373"/>
      <c r="D976" s="4374"/>
      <c r="E976" s="4373"/>
      <c r="F976" s="4418">
        <f>+F974+F967+F929+F860+F803+F785+F729+F689+F624+F492+F445+F367+F180</f>
        <v>73864757.930000007</v>
      </c>
      <c r="G976" s="3557"/>
    </row>
    <row r="977" spans="1:7" ht="14.25">
      <c r="A977" s="4412"/>
      <c r="B977" s="4230"/>
      <c r="C977" s="4231"/>
      <c r="D977" s="4232"/>
      <c r="E977" s="4231"/>
      <c r="F977" s="4233" t="str">
        <f t="shared" si="40"/>
        <v xml:space="preserve"> </v>
      </c>
    </row>
    <row r="978" spans="1:7" s="4222" customFormat="1" ht="15" collapsed="1">
      <c r="A978" s="4400"/>
      <c r="B978" s="4214" t="s">
        <v>16</v>
      </c>
      <c r="C978" s="4335"/>
      <c r="D978" s="4336"/>
      <c r="E978" s="4310"/>
      <c r="F978" s="4310"/>
      <c r="G978" s="3557"/>
    </row>
    <row r="979" spans="1:7" ht="14.25">
      <c r="A979" s="4412"/>
      <c r="B979" s="4293" t="s">
        <v>3562</v>
      </c>
      <c r="C979" s="4379">
        <v>0.1</v>
      </c>
      <c r="D979" s="4247"/>
      <c r="E979" s="4403"/>
      <c r="F979" s="1263">
        <f>+C979*$F$976</f>
        <v>7386475.79</v>
      </c>
    </row>
    <row r="980" spans="1:7" ht="14.25">
      <c r="A980" s="4412"/>
      <c r="B980" s="4293" t="s">
        <v>3563</v>
      </c>
      <c r="C980" s="4379">
        <v>0.05</v>
      </c>
      <c r="D980" s="4247"/>
      <c r="E980" s="4403"/>
      <c r="F980" s="1263">
        <f t="shared" ref="F980:F990" si="41">+C980*$F$976</f>
        <v>3693237.9</v>
      </c>
    </row>
    <row r="981" spans="1:7" ht="14.25">
      <c r="A981" s="4412"/>
      <c r="B981" s="4293" t="s">
        <v>3564</v>
      </c>
      <c r="C981" s="4379">
        <v>0.03</v>
      </c>
      <c r="D981" s="4247"/>
      <c r="E981" s="4403"/>
      <c r="F981" s="1263">
        <f t="shared" si="41"/>
        <v>2215942.7400000002</v>
      </c>
    </row>
    <row r="982" spans="1:7" ht="14.25">
      <c r="A982" s="4412"/>
      <c r="B982" s="4293" t="s">
        <v>3565</v>
      </c>
      <c r="C982" s="4379">
        <v>0.04</v>
      </c>
      <c r="D982" s="4247"/>
      <c r="E982" s="4403"/>
      <c r="F982" s="1263">
        <f t="shared" si="41"/>
        <v>2954590.32</v>
      </c>
    </row>
    <row r="983" spans="1:7" ht="14.25">
      <c r="A983" s="4412"/>
      <c r="B983" s="4293" t="s">
        <v>3566</v>
      </c>
      <c r="C983" s="4379">
        <v>0.03</v>
      </c>
      <c r="D983" s="4247"/>
      <c r="E983" s="4403"/>
      <c r="F983" s="1263">
        <f t="shared" si="41"/>
        <v>2215942.7400000002</v>
      </c>
    </row>
    <row r="984" spans="1:7" ht="14.25">
      <c r="A984" s="4412"/>
      <c r="B984" s="4293" t="s">
        <v>3567</v>
      </c>
      <c r="C984" s="4379">
        <v>0.01</v>
      </c>
      <c r="D984" s="4247"/>
      <c r="E984" s="4403"/>
      <c r="F984" s="1263">
        <f t="shared" si="41"/>
        <v>738647.58</v>
      </c>
    </row>
    <row r="985" spans="1:7" ht="14.25">
      <c r="A985" s="4412"/>
      <c r="B985" s="4293" t="s">
        <v>3940</v>
      </c>
      <c r="C985" s="4379">
        <v>0.18</v>
      </c>
      <c r="D985" s="4247"/>
      <c r="E985" s="4403"/>
      <c r="F985" s="1263">
        <f>+C985*$F$979</f>
        <v>1329565.6399999999</v>
      </c>
    </row>
    <row r="986" spans="1:7" ht="14.25">
      <c r="A986" s="4388"/>
      <c r="B986" s="4293" t="s">
        <v>3568</v>
      </c>
      <c r="C986" s="4379">
        <v>0.1</v>
      </c>
      <c r="D986" s="4247"/>
      <c r="E986" s="4403"/>
      <c r="F986" s="1263">
        <f t="shared" si="41"/>
        <v>7386475.79</v>
      </c>
    </row>
    <row r="987" spans="1:7" ht="28.5">
      <c r="A987" s="4388"/>
      <c r="B987" s="4293" t="s">
        <v>4015</v>
      </c>
      <c r="C987" s="4379">
        <v>0.03</v>
      </c>
      <c r="D987" s="4247"/>
      <c r="E987" s="4403"/>
      <c r="F987" s="1263">
        <f t="shared" si="41"/>
        <v>2215942.7400000002</v>
      </c>
    </row>
    <row r="988" spans="1:7" ht="14.25">
      <c r="A988" s="4388"/>
      <c r="B988" s="4293" t="s">
        <v>3569</v>
      </c>
      <c r="C988" s="4379">
        <v>1.4999999999999999E-2</v>
      </c>
      <c r="D988" s="4247"/>
      <c r="E988" s="4403"/>
      <c r="F988" s="1263">
        <f t="shared" si="41"/>
        <v>1107971.3700000001</v>
      </c>
    </row>
    <row r="989" spans="1:7" ht="14.25">
      <c r="A989" s="4388"/>
      <c r="B989" s="4293" t="s">
        <v>459</v>
      </c>
      <c r="C989" s="4379">
        <v>1E-3</v>
      </c>
      <c r="D989" s="4247"/>
      <c r="E989" s="4403"/>
      <c r="F989" s="1263">
        <f t="shared" si="41"/>
        <v>73864.759999999995</v>
      </c>
    </row>
    <row r="990" spans="1:7" ht="14.25">
      <c r="A990" s="4388"/>
      <c r="B990" s="4293" t="s">
        <v>3570</v>
      </c>
      <c r="C990" s="4379">
        <v>0.05</v>
      </c>
      <c r="D990" s="4247"/>
      <c r="E990" s="4403"/>
      <c r="F990" s="1263">
        <f t="shared" si="41"/>
        <v>3693237.9</v>
      </c>
    </row>
    <row r="991" spans="1:7" ht="14.25">
      <c r="A991" s="4412"/>
      <c r="B991" s="4293" t="s">
        <v>3941</v>
      </c>
      <c r="C991" s="4246">
        <v>1</v>
      </c>
      <c r="D991" s="4247" t="s">
        <v>42</v>
      </c>
      <c r="E991" s="1263">
        <v>74771.56</v>
      </c>
      <c r="F991" s="1263">
        <f>+E991*C991</f>
        <v>74771.56</v>
      </c>
    </row>
    <row r="992" spans="1:7" ht="14.25">
      <c r="A992" s="4412"/>
      <c r="B992" s="4293" t="s">
        <v>2740</v>
      </c>
      <c r="C992" s="4246">
        <v>1</v>
      </c>
      <c r="D992" s="4247" t="s">
        <v>42</v>
      </c>
      <c r="E992" s="1263">
        <v>27037.19</v>
      </c>
      <c r="F992" s="1263">
        <f>+E992*C992</f>
        <v>27037.19</v>
      </c>
    </row>
    <row r="993" spans="1:7" ht="14.25">
      <c r="A993" s="4412"/>
      <c r="B993" s="4293" t="s">
        <v>3571</v>
      </c>
      <c r="C993" s="4246">
        <v>1</v>
      </c>
      <c r="D993" s="1264" t="s">
        <v>2433</v>
      </c>
      <c r="E993" s="1263">
        <v>20000</v>
      </c>
      <c r="F993" s="1263">
        <f>E993*C993</f>
        <v>20000</v>
      </c>
    </row>
    <row r="994" spans="1:7" ht="14.25">
      <c r="A994" s="4412"/>
      <c r="B994" s="4293" t="s">
        <v>3560</v>
      </c>
      <c r="C994" s="4246">
        <v>1</v>
      </c>
      <c r="D994" s="1264" t="s">
        <v>2433</v>
      </c>
      <c r="E994" s="1263">
        <v>40000</v>
      </c>
      <c r="F994" s="1263">
        <f>E994*C994</f>
        <v>40000</v>
      </c>
    </row>
    <row r="995" spans="1:7" ht="14.25">
      <c r="A995" s="4388"/>
      <c r="B995" s="4371" t="s">
        <v>23</v>
      </c>
      <c r="C995" s="4380"/>
      <c r="D995" s="4381"/>
      <c r="E995" s="4245"/>
      <c r="F995" s="4367">
        <f>SUBTOTAL(9,F978:F994)</f>
        <v>35173704.020000003</v>
      </c>
    </row>
    <row r="996" spans="1:7" s="4377" customFormat="1" ht="15.75" thickBot="1">
      <c r="A996" s="4419"/>
      <c r="B996" s="4378" t="s">
        <v>3948</v>
      </c>
      <c r="C996" s="4375"/>
      <c r="D996" s="4376"/>
      <c r="E996" s="4375"/>
      <c r="F996" s="4420">
        <f>+F995+F976</f>
        <v>109038461.95</v>
      </c>
      <c r="G996" s="3557"/>
    </row>
    <row r="997" spans="1:7" s="4222" customFormat="1" ht="15">
      <c r="A997" s="4391"/>
      <c r="B997" s="4429"/>
      <c r="C997" s="4212"/>
      <c r="D997" s="4217"/>
      <c r="E997" s="4212"/>
      <c r="F997" s="4310"/>
      <c r="G997" s="3557"/>
    </row>
    <row r="998" spans="1:7" s="4377" customFormat="1" ht="15">
      <c r="A998" s="4421"/>
      <c r="B998" s="4422" t="s">
        <v>3949</v>
      </c>
      <c r="C998" s="4423"/>
      <c r="D998" s="4424"/>
      <c r="E998" s="4423"/>
      <c r="F998" s="4425">
        <f>+F996</f>
        <v>109038461.95</v>
      </c>
      <c r="G998" s="3557"/>
    </row>
    <row r="999" spans="1:7" ht="14.25">
      <c r="A999" s="3436"/>
      <c r="B999" s="3437"/>
      <c r="C999" s="4294"/>
      <c r="D999" s="4295"/>
      <c r="E999" s="4279"/>
      <c r="F999" s="4279"/>
    </row>
    <row r="1000" spans="1:7" ht="14.25">
      <c r="A1000" s="3436"/>
      <c r="B1000" s="3437"/>
      <c r="C1000" s="4294"/>
      <c r="D1000" s="4295"/>
      <c r="E1000" s="4279"/>
      <c r="F1000" s="4279"/>
    </row>
    <row r="1001" spans="1:7" ht="14.25">
      <c r="A1001" s="4881" t="s">
        <v>463</v>
      </c>
      <c r="B1001" s="4881"/>
      <c r="C1001" s="4881" t="s">
        <v>464</v>
      </c>
      <c r="D1001" s="4881"/>
      <c r="E1001" s="4881"/>
      <c r="F1001" s="4881"/>
    </row>
    <row r="1002" spans="1:7" ht="14.25">
      <c r="A1002" s="3436"/>
      <c r="B1002" s="3437"/>
      <c r="C1002" s="4294"/>
      <c r="D1002" s="4295"/>
      <c r="E1002" s="4279"/>
      <c r="F1002" s="4279"/>
    </row>
    <row r="1003" spans="1:7" ht="14.25">
      <c r="A1003" s="3436"/>
      <c r="B1003" s="3437"/>
      <c r="C1003" s="4294"/>
      <c r="D1003" s="4295"/>
      <c r="E1003" s="4279"/>
      <c r="F1003" s="4279"/>
    </row>
    <row r="1004" spans="1:7" ht="14.25">
      <c r="A1004" s="3436"/>
      <c r="B1004" s="3437"/>
      <c r="C1004" s="4294"/>
      <c r="D1004" s="4295"/>
      <c r="E1004" s="4279"/>
      <c r="F1004" s="4279"/>
    </row>
    <row r="1005" spans="1:7" ht="14.25">
      <c r="A1005" s="4882"/>
      <c r="B1005" s="4882"/>
      <c r="C1005" s="4881"/>
      <c r="D1005" s="4881"/>
      <c r="E1005" s="4881"/>
      <c r="F1005" s="4881"/>
    </row>
    <row r="1006" spans="1:7" ht="14.25">
      <c r="A1006" s="4883" t="s">
        <v>465</v>
      </c>
      <c r="B1006" s="4883"/>
      <c r="C1006" s="4881" t="s">
        <v>466</v>
      </c>
      <c r="D1006" s="4881"/>
      <c r="E1006" s="4881"/>
      <c r="F1006" s="4881"/>
    </row>
    <row r="1007" spans="1:7" ht="14.25">
      <c r="A1007" s="3436"/>
      <c r="B1007" s="3437"/>
      <c r="C1007" s="4294"/>
      <c r="D1007" s="4295"/>
      <c r="E1007" s="4279"/>
      <c r="F1007" s="4279"/>
    </row>
    <row r="1008" spans="1:7" ht="14.25">
      <c r="A1008" s="3436"/>
      <c r="B1008" s="3437"/>
      <c r="C1008" s="4294"/>
      <c r="D1008" s="4295"/>
      <c r="E1008" s="4279"/>
      <c r="F1008" s="4279"/>
    </row>
    <row r="1009" spans="1:6" ht="14.25">
      <c r="A1009" s="3436"/>
      <c r="B1009" s="3437"/>
      <c r="C1009" s="4294"/>
      <c r="D1009" s="4295"/>
      <c r="E1009" s="4279"/>
      <c r="F1009" s="4279"/>
    </row>
    <row r="1010" spans="1:6" ht="14.25">
      <c r="A1010" s="3436"/>
      <c r="B1010" s="3437"/>
      <c r="C1010" s="4294"/>
      <c r="D1010" s="4295"/>
      <c r="E1010" s="4279"/>
      <c r="F1010" s="4279"/>
    </row>
    <row r="1011" spans="1:6" ht="14.25">
      <c r="A1011" s="3436"/>
      <c r="B1011" s="3437"/>
      <c r="C1011" s="4294"/>
      <c r="D1011" s="4295"/>
      <c r="E1011" s="4279"/>
      <c r="F1011" s="4279"/>
    </row>
    <row r="1012" spans="1:6" ht="14.25">
      <c r="A1012" s="3436"/>
      <c r="B1012" s="3437"/>
      <c r="C1012" s="4294"/>
      <c r="D1012" s="4295"/>
      <c r="E1012" s="4279"/>
      <c r="F1012" s="4279"/>
    </row>
    <row r="1013" spans="1:6" ht="14.25">
      <c r="A1013" s="3436"/>
      <c r="B1013" s="3437"/>
      <c r="C1013" s="4294"/>
      <c r="D1013" s="4295"/>
      <c r="E1013" s="4279"/>
      <c r="F1013" s="4279"/>
    </row>
    <row r="1014" spans="1:6" ht="14.25">
      <c r="A1014" s="4881" t="s">
        <v>467</v>
      </c>
      <c r="B1014" s="4881"/>
      <c r="C1014" s="4881" t="s">
        <v>468</v>
      </c>
      <c r="D1014" s="4881"/>
      <c r="E1014" s="4881"/>
      <c r="F1014" s="4881"/>
    </row>
    <row r="1015" spans="1:6" ht="14.25">
      <c r="A1015" s="3436"/>
      <c r="B1015" s="3437"/>
      <c r="C1015" s="4294"/>
      <c r="D1015" s="4295"/>
      <c r="E1015" s="4279"/>
      <c r="F1015" s="4279"/>
    </row>
    <row r="1016" spans="1:6" ht="14.25">
      <c r="A1016" s="3436"/>
      <c r="B1016" s="3437"/>
      <c r="C1016" s="4294"/>
      <c r="D1016" s="4295"/>
      <c r="E1016" s="4279"/>
      <c r="F1016" s="4279"/>
    </row>
    <row r="1017" spans="1:6" ht="14.25">
      <c r="A1017" s="4882"/>
      <c r="B1017" s="4882"/>
      <c r="C1017" s="4881"/>
      <c r="D1017" s="4881"/>
      <c r="E1017" s="4881"/>
      <c r="F1017" s="4881"/>
    </row>
    <row r="1018" spans="1:6" ht="14.25">
      <c r="A1018" s="4883" t="s">
        <v>471</v>
      </c>
      <c r="B1018" s="4883"/>
      <c r="C1018" s="4881" t="s">
        <v>472</v>
      </c>
      <c r="D1018" s="4881"/>
      <c r="E1018" s="4881"/>
      <c r="F1018" s="4881"/>
    </row>
    <row r="1019" spans="1:6" ht="14.25">
      <c r="A1019" s="3436"/>
      <c r="B1019" s="3437"/>
      <c r="C1019" s="4294"/>
      <c r="D1019" s="4295"/>
      <c r="E1019" s="4279"/>
      <c r="F1019" s="4279"/>
    </row>
    <row r="1020" spans="1:6" ht="14.25">
      <c r="A1020" s="3438"/>
      <c r="B1020" s="4296"/>
      <c r="C1020" s="4166"/>
      <c r="D1020" s="4256"/>
      <c r="E1020" s="4166"/>
      <c r="F1020" s="4166"/>
    </row>
  </sheetData>
  <autoFilter ref="A11:F1026"/>
  <mergeCells count="17">
    <mergeCell ref="A1017:B1017"/>
    <mergeCell ref="C1017:F1017"/>
    <mergeCell ref="A1018:B1018"/>
    <mergeCell ref="C1018:F1018"/>
    <mergeCell ref="A1005:B1005"/>
    <mergeCell ref="C1005:F1005"/>
    <mergeCell ref="A1006:B1006"/>
    <mergeCell ref="C1006:F1006"/>
    <mergeCell ref="A1014:B1014"/>
    <mergeCell ref="C1014:F1014"/>
    <mergeCell ref="A1001:B1001"/>
    <mergeCell ref="C1001:F1001"/>
    <mergeCell ref="A2:F2"/>
    <mergeCell ref="A3:F3"/>
    <mergeCell ref="A4:F4"/>
    <mergeCell ref="A5:F5"/>
    <mergeCell ref="B8:E8"/>
  </mergeCells>
  <conditionalFormatting sqref="F1">
    <cfRule type="cellIs" dxfId="2" priority="3" operator="lessThan">
      <formula>0</formula>
    </cfRule>
  </conditionalFormatting>
  <conditionalFormatting sqref="E1">
    <cfRule type="cellIs" dxfId="1" priority="1" operator="greaterThan">
      <formula>0</formula>
    </cfRule>
    <cfRule type="cellIs" dxfId="0"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L198"/>
  <sheetViews>
    <sheetView showGridLines="0" showZeros="0" tabSelected="1" view="pageBreakPreview" topLeftCell="A160" zoomScale="130" zoomScaleNormal="120" zoomScaleSheetLayoutView="130" workbookViewId="0">
      <selection activeCell="B164" sqref="B164"/>
    </sheetView>
  </sheetViews>
  <sheetFormatPr baseColWidth="10" defaultColWidth="11.42578125" defaultRowHeight="12.75"/>
  <cols>
    <col min="1" max="1" width="9.85546875" style="4708" customWidth="1"/>
    <col min="2" max="2" width="53.42578125" style="4551" customWidth="1"/>
    <col min="3" max="3" width="10.7109375" style="4552" customWidth="1"/>
    <col min="4" max="4" width="9" style="4553" customWidth="1"/>
    <col min="5" max="5" width="13" style="4710" customWidth="1"/>
    <col min="6" max="6" width="18.28515625" style="4710" customWidth="1"/>
    <col min="7" max="7" width="12.85546875" style="4532" bestFit="1" customWidth="1"/>
    <col min="8" max="16384" width="11.42578125" style="4236"/>
  </cols>
  <sheetData>
    <row r="1" spans="1:12">
      <c r="A1" s="4550"/>
      <c r="B1" s="4554"/>
      <c r="F1" s="4712"/>
    </row>
    <row r="2" spans="1:12" s="4240" customFormat="1">
      <c r="A2" s="4706"/>
      <c r="B2" s="4555"/>
      <c r="C2" s="4556"/>
      <c r="D2" s="4557"/>
      <c r="E2" s="4711"/>
      <c r="F2" s="4711"/>
      <c r="G2" s="4238"/>
    </row>
    <row r="3" spans="1:12" s="4240" customFormat="1" ht="26.25" customHeight="1">
      <c r="A3" s="4706" t="s">
        <v>2210</v>
      </c>
      <c r="B3" s="4887" t="s">
        <v>4130</v>
      </c>
      <c r="C3" s="4887"/>
      <c r="D3" s="4887"/>
      <c r="E3" s="4887"/>
      <c r="F3" s="4887"/>
      <c r="G3" s="4238"/>
    </row>
    <row r="4" spans="1:12" s="4240" customFormat="1">
      <c r="A4" s="4706" t="s">
        <v>4039</v>
      </c>
      <c r="B4" s="4707" t="s">
        <v>4040</v>
      </c>
      <c r="C4" s="4556"/>
      <c r="D4" s="4553" t="s">
        <v>4131</v>
      </c>
      <c r="E4" s="4711"/>
      <c r="F4" s="4711"/>
      <c r="G4" s="4238"/>
    </row>
    <row r="5" spans="1:12">
      <c r="A5" s="4886" t="s">
        <v>4132</v>
      </c>
      <c r="B5" s="4886"/>
      <c r="E5" s="4712"/>
      <c r="F5" s="4712"/>
    </row>
    <row r="6" spans="1:12" ht="2.25" customHeight="1">
      <c r="A6" s="4550"/>
      <c r="E6" s="4712"/>
      <c r="F6" s="4712"/>
    </row>
    <row r="7" spans="1:12" s="4529" customFormat="1">
      <c r="A7" s="4558" t="s">
        <v>4038</v>
      </c>
      <c r="B7" s="4559" t="s">
        <v>2936</v>
      </c>
      <c r="C7" s="4560" t="s">
        <v>286</v>
      </c>
      <c r="D7" s="4560" t="s">
        <v>976</v>
      </c>
      <c r="E7" s="4751" t="s">
        <v>534</v>
      </c>
      <c r="F7" s="4752" t="s">
        <v>4043</v>
      </c>
      <c r="G7" s="4235"/>
    </row>
    <row r="8" spans="1:12" s="4672" customFormat="1" ht="9.75" customHeight="1">
      <c r="A8" s="4561"/>
      <c r="B8" s="4681"/>
      <c r="C8" s="4563"/>
      <c r="D8" s="4564"/>
      <c r="E8" s="4713"/>
      <c r="F8" s="4940"/>
      <c r="G8" s="4744"/>
    </row>
    <row r="9" spans="1:12" s="4540" customFormat="1">
      <c r="A9" s="4561" t="s">
        <v>0</v>
      </c>
      <c r="B9" s="4562" t="s">
        <v>4082</v>
      </c>
      <c r="C9" s="4563"/>
      <c r="D9" s="4564"/>
      <c r="E9" s="4713"/>
      <c r="F9" s="4940"/>
      <c r="G9" s="4698"/>
    </row>
    <row r="10" spans="1:12" s="4672" customFormat="1" ht="18.75" customHeight="1">
      <c r="A10" s="4561"/>
      <c r="B10" s="4681"/>
      <c r="C10" s="4563"/>
      <c r="D10" s="4564"/>
      <c r="E10" s="4713"/>
      <c r="F10" s="4940"/>
      <c r="G10" s="4744"/>
    </row>
    <row r="11" spans="1:12" s="4733" customFormat="1" ht="25.5" customHeight="1">
      <c r="A11" s="4746">
        <v>1</v>
      </c>
      <c r="B11" s="4747" t="s">
        <v>4170</v>
      </c>
      <c r="C11" s="4748"/>
      <c r="D11" s="4749"/>
      <c r="E11" s="4753"/>
      <c r="F11" s="4941"/>
      <c r="G11" s="4745"/>
      <c r="H11" s="4732"/>
      <c r="I11" s="4672"/>
      <c r="J11" s="4672"/>
      <c r="K11" s="4672"/>
      <c r="L11" s="4672"/>
    </row>
    <row r="12" spans="1:12" s="4540" customFormat="1">
      <c r="A12" s="4565">
        <v>1.1000000000000001</v>
      </c>
      <c r="B12" s="4566" t="s">
        <v>2165</v>
      </c>
      <c r="C12" s="4734"/>
      <c r="D12" s="4567"/>
      <c r="E12" s="4714"/>
      <c r="F12" s="4942"/>
      <c r="G12" s="4698"/>
    </row>
    <row r="13" spans="1:12" s="4672" customFormat="1" ht="12.75" customHeight="1">
      <c r="A13" s="4670" t="s">
        <v>3914</v>
      </c>
      <c r="B13" s="4674" t="s">
        <v>4140</v>
      </c>
      <c r="C13" s="4599">
        <v>6600</v>
      </c>
      <c r="D13" s="4570" t="s">
        <v>11</v>
      </c>
      <c r="E13" s="4715"/>
      <c r="F13" s="4943">
        <f>ROUND(C13*E13,2)</f>
        <v>0</v>
      </c>
      <c r="G13" s="4698">
        <f>+E13*C13</f>
        <v>0</v>
      </c>
    </row>
    <row r="14" spans="1:12" s="4672" customFormat="1" ht="12.75" customHeight="1">
      <c r="A14" s="4670" t="s">
        <v>3915</v>
      </c>
      <c r="B14" s="4674" t="s">
        <v>4142</v>
      </c>
      <c r="C14" s="4599">
        <v>4</v>
      </c>
      <c r="D14" s="4570" t="s">
        <v>4031</v>
      </c>
      <c r="E14" s="4715"/>
      <c r="F14" s="4943">
        <f>ROUND(C14*E14,2)</f>
        <v>0</v>
      </c>
      <c r="G14" s="4698">
        <f t="shared" ref="G14:G78" si="0">+E14*C14</f>
        <v>0</v>
      </c>
    </row>
    <row r="15" spans="1:12" s="4540" customFormat="1" ht="12.75" customHeight="1">
      <c r="A15" s="4568"/>
      <c r="B15" s="4569"/>
      <c r="C15" s="4599"/>
      <c r="D15" s="4570"/>
      <c r="E15" s="4715"/>
      <c r="F15" s="4943">
        <f t="shared" ref="F15:F25" si="1">ROUND(C15*E15,2)</f>
        <v>0</v>
      </c>
      <c r="G15" s="4698">
        <f t="shared" si="0"/>
        <v>0</v>
      </c>
    </row>
    <row r="16" spans="1:12" s="4540" customFormat="1">
      <c r="A16" s="4565">
        <v>1.2</v>
      </c>
      <c r="B16" s="4566" t="s">
        <v>38</v>
      </c>
      <c r="C16" s="4734"/>
      <c r="D16" s="4567"/>
      <c r="E16" s="4714"/>
      <c r="F16" s="4942">
        <f t="shared" si="1"/>
        <v>0</v>
      </c>
      <c r="G16" s="4698">
        <f t="shared" si="0"/>
        <v>0</v>
      </c>
    </row>
    <row r="17" spans="1:27" s="4672" customFormat="1" ht="12.75" customHeight="1">
      <c r="A17" s="4670" t="s">
        <v>3905</v>
      </c>
      <c r="B17" s="4674" t="s">
        <v>4135</v>
      </c>
      <c r="C17" s="4599">
        <v>2640</v>
      </c>
      <c r="D17" s="4570" t="s">
        <v>3154</v>
      </c>
      <c r="E17" s="4715"/>
      <c r="F17" s="4943">
        <f t="shared" si="1"/>
        <v>0</v>
      </c>
      <c r="G17" s="4698">
        <f t="shared" si="0"/>
        <v>0</v>
      </c>
    </row>
    <row r="18" spans="1:27" s="4672" customFormat="1" ht="12.75" customHeight="1">
      <c r="A18" s="4670" t="s">
        <v>3906</v>
      </c>
      <c r="B18" s="4674" t="s">
        <v>4139</v>
      </c>
      <c r="C18" s="4599">
        <v>3168</v>
      </c>
      <c r="D18" s="4570" t="s">
        <v>3156</v>
      </c>
      <c r="E18" s="4715"/>
      <c r="F18" s="4943">
        <f t="shared" si="1"/>
        <v>0</v>
      </c>
      <c r="G18" s="4698">
        <f t="shared" si="0"/>
        <v>0</v>
      </c>
    </row>
    <row r="19" spans="1:27" s="4540" customFormat="1" ht="12.75" customHeight="1">
      <c r="A19" s="4568"/>
      <c r="B19" s="4569"/>
      <c r="C19" s="4599"/>
      <c r="D19" s="4570"/>
      <c r="E19" s="4715"/>
      <c r="F19" s="4943">
        <f t="shared" si="1"/>
        <v>0</v>
      </c>
      <c r="G19" s="4698">
        <f t="shared" si="0"/>
        <v>0</v>
      </c>
    </row>
    <row r="20" spans="1:27" s="4540" customFormat="1">
      <c r="A20" s="4565">
        <v>1.3</v>
      </c>
      <c r="B20" s="4566" t="s">
        <v>4136</v>
      </c>
      <c r="C20" s="4734"/>
      <c r="D20" s="4567"/>
      <c r="E20" s="4714"/>
      <c r="F20" s="4942">
        <f t="shared" si="1"/>
        <v>0</v>
      </c>
      <c r="G20" s="4698">
        <f t="shared" si="0"/>
        <v>0</v>
      </c>
    </row>
    <row r="21" spans="1:27" s="4672" customFormat="1" ht="24.75" customHeight="1">
      <c r="A21" s="4670" t="s">
        <v>3908</v>
      </c>
      <c r="B21" s="4674" t="s">
        <v>4143</v>
      </c>
      <c r="C21" s="4599">
        <v>3168</v>
      </c>
      <c r="D21" s="4570" t="s">
        <v>3156</v>
      </c>
      <c r="E21" s="4715"/>
      <c r="F21" s="4943">
        <f t="shared" si="1"/>
        <v>0</v>
      </c>
      <c r="G21" s="4698">
        <f t="shared" si="0"/>
        <v>0</v>
      </c>
    </row>
    <row r="22" spans="1:27" s="4672" customFormat="1" ht="12.75" customHeight="1">
      <c r="A22" s="4670" t="s">
        <v>3909</v>
      </c>
      <c r="B22" s="4674" t="s">
        <v>4137</v>
      </c>
      <c r="C22" s="4599">
        <v>3168</v>
      </c>
      <c r="D22" s="4570" t="s">
        <v>3156</v>
      </c>
      <c r="E22" s="4715"/>
      <c r="F22" s="4943">
        <f t="shared" si="1"/>
        <v>0</v>
      </c>
      <c r="G22" s="4698">
        <f t="shared" si="0"/>
        <v>0</v>
      </c>
    </row>
    <row r="23" spans="1:27" s="4672" customFormat="1" ht="12.75" customHeight="1">
      <c r="A23" s="4670" t="s">
        <v>3910</v>
      </c>
      <c r="B23" s="4674" t="s">
        <v>4138</v>
      </c>
      <c r="C23" s="4599">
        <v>3009.6</v>
      </c>
      <c r="D23" s="4570" t="s">
        <v>2431</v>
      </c>
      <c r="E23" s="4715"/>
      <c r="F23" s="4943">
        <f t="shared" si="1"/>
        <v>0</v>
      </c>
      <c r="G23" s="4698">
        <f t="shared" si="0"/>
        <v>0</v>
      </c>
    </row>
    <row r="24" spans="1:27" s="4672" customFormat="1" ht="12.75" customHeight="1">
      <c r="A24" s="4670" t="s">
        <v>3911</v>
      </c>
      <c r="B24" s="4674" t="s">
        <v>4101</v>
      </c>
      <c r="C24" s="4599">
        <v>2200</v>
      </c>
      <c r="D24" s="4570" t="s">
        <v>1</v>
      </c>
      <c r="E24" s="4715"/>
      <c r="F24" s="4943">
        <f t="shared" si="1"/>
        <v>0</v>
      </c>
      <c r="G24" s="4698">
        <f t="shared" si="0"/>
        <v>0</v>
      </c>
    </row>
    <row r="25" spans="1:27" s="4540" customFormat="1" ht="12.75" customHeight="1">
      <c r="A25" s="4568"/>
      <c r="B25" s="4569"/>
      <c r="C25" s="4599"/>
      <c r="D25" s="4570"/>
      <c r="E25" s="4715"/>
      <c r="F25" s="4943">
        <f t="shared" si="1"/>
        <v>0</v>
      </c>
      <c r="G25" s="4698">
        <f t="shared" si="0"/>
        <v>0</v>
      </c>
    </row>
    <row r="26" spans="1:27" s="4540" customFormat="1">
      <c r="A26" s="4565">
        <v>2</v>
      </c>
      <c r="B26" s="4566" t="s">
        <v>4095</v>
      </c>
      <c r="C26" s="4734"/>
      <c r="D26" s="4567"/>
      <c r="E26" s="4714"/>
      <c r="F26" s="4942"/>
      <c r="G26" s="4698">
        <f t="shared" si="0"/>
        <v>0</v>
      </c>
    </row>
    <row r="27" spans="1:27" s="4540" customFormat="1" ht="12.75" customHeight="1">
      <c r="A27" s="4568">
        <v>2.1</v>
      </c>
      <c r="B27" s="4569" t="s">
        <v>4141</v>
      </c>
      <c r="C27" s="4599">
        <v>40</v>
      </c>
      <c r="D27" s="4570" t="s">
        <v>4083</v>
      </c>
      <c r="E27" s="4715"/>
      <c r="F27" s="4943">
        <f>ROUND(C27*E27,2)</f>
        <v>0</v>
      </c>
      <c r="G27" s="4698">
        <f t="shared" si="0"/>
        <v>0</v>
      </c>
    </row>
    <row r="28" spans="1:27" s="4540" customFormat="1" ht="12.75" customHeight="1">
      <c r="A28" s="4568">
        <v>2.2000000000000002</v>
      </c>
      <c r="B28" s="4569" t="s">
        <v>4084</v>
      </c>
      <c r="C28" s="4599">
        <v>21.26</v>
      </c>
      <c r="D28" s="4570" t="s">
        <v>2430</v>
      </c>
      <c r="E28" s="4715"/>
      <c r="F28" s="4943">
        <f>ROUND(C28*E28,2)</f>
        <v>0</v>
      </c>
      <c r="G28" s="4698">
        <f t="shared" si="0"/>
        <v>0</v>
      </c>
    </row>
    <row r="29" spans="1:27" s="4540" customFormat="1">
      <c r="A29" s="4568">
        <v>2.2999999999999998</v>
      </c>
      <c r="B29" s="4569" t="s">
        <v>4085</v>
      </c>
      <c r="C29" s="4599">
        <v>240</v>
      </c>
      <c r="D29" s="4570" t="s">
        <v>4083</v>
      </c>
      <c r="E29" s="4715"/>
      <c r="F29" s="4943">
        <f>ROUND(C29*E29,2)</f>
        <v>0</v>
      </c>
      <c r="G29" s="4698">
        <f t="shared" si="0"/>
        <v>0</v>
      </c>
      <c r="H29" s="4698"/>
      <c r="I29" s="4698"/>
      <c r="J29" s="4698"/>
      <c r="K29" s="4698"/>
      <c r="L29" s="4698"/>
      <c r="M29" s="4698"/>
      <c r="N29" s="4698"/>
      <c r="O29" s="4698"/>
      <c r="P29" s="4698"/>
      <c r="Q29" s="4698"/>
      <c r="R29" s="4698"/>
      <c r="S29" s="4698"/>
      <c r="T29" s="4698"/>
      <c r="U29" s="4698"/>
      <c r="V29" s="4698"/>
      <c r="W29" s="4698"/>
      <c r="X29" s="4698"/>
      <c r="Y29" s="4698"/>
      <c r="Z29" s="4698"/>
      <c r="AA29" s="4698"/>
    </row>
    <row r="30" spans="1:27" s="4540" customFormat="1">
      <c r="A30" s="4568">
        <v>2.4</v>
      </c>
      <c r="B30" s="4571" t="s">
        <v>4096</v>
      </c>
      <c r="C30" s="4599">
        <v>3</v>
      </c>
      <c r="D30" s="4570" t="s">
        <v>2524</v>
      </c>
      <c r="E30" s="4715"/>
      <c r="F30" s="4943">
        <f>ROUND(C30*E30,2)</f>
        <v>0</v>
      </c>
      <c r="G30" s="4698">
        <f t="shared" si="0"/>
        <v>0</v>
      </c>
      <c r="H30" s="4698"/>
      <c r="I30" s="4698"/>
      <c r="J30" s="4698"/>
      <c r="K30" s="4698"/>
      <c r="L30" s="4698"/>
      <c r="M30" s="4698"/>
      <c r="N30" s="4698"/>
      <c r="O30" s="4698"/>
      <c r="P30" s="4698"/>
      <c r="Q30" s="4698"/>
      <c r="R30" s="4698"/>
      <c r="S30" s="4698"/>
      <c r="T30" s="4698"/>
      <c r="U30" s="4698"/>
      <c r="V30" s="4698"/>
      <c r="W30" s="4698"/>
      <c r="X30" s="4698"/>
      <c r="Y30" s="4698"/>
      <c r="Z30" s="4698"/>
      <c r="AA30" s="4698"/>
    </row>
    <row r="31" spans="1:27" s="4672" customFormat="1">
      <c r="A31" s="4670"/>
      <c r="B31" s="4671"/>
      <c r="C31" s="4572"/>
      <c r="D31" s="4573"/>
      <c r="E31" s="4716"/>
      <c r="F31" s="4944"/>
      <c r="G31" s="4698">
        <f t="shared" si="0"/>
        <v>0</v>
      </c>
      <c r="H31" s="4698"/>
      <c r="I31" s="4698"/>
      <c r="J31" s="4698"/>
      <c r="K31" s="4698"/>
      <c r="L31" s="4698"/>
      <c r="M31" s="4698"/>
      <c r="N31" s="4698"/>
      <c r="O31" s="4698"/>
      <c r="P31" s="4698"/>
      <c r="Q31" s="4698"/>
      <c r="R31" s="4698"/>
      <c r="S31" s="4698"/>
      <c r="T31" s="4698"/>
      <c r="U31" s="4698"/>
      <c r="V31" s="4698"/>
      <c r="W31" s="4698"/>
      <c r="X31" s="4698"/>
      <c r="Y31" s="4698"/>
      <c r="Z31" s="4698"/>
      <c r="AA31" s="4698"/>
    </row>
    <row r="32" spans="1:27" s="4540" customFormat="1">
      <c r="A32" s="4574">
        <v>3</v>
      </c>
      <c r="B32" s="4575" t="s">
        <v>4169</v>
      </c>
      <c r="C32" s="4576"/>
      <c r="D32" s="4577"/>
      <c r="E32" s="4717"/>
      <c r="F32" s="4945">
        <f t="shared" ref="F32:F37" si="2">ROUND(E32*C32,2)</f>
        <v>0</v>
      </c>
      <c r="G32" s="4698">
        <f t="shared" si="0"/>
        <v>0</v>
      </c>
      <c r="H32" s="4735"/>
      <c r="I32" s="4698"/>
      <c r="J32" s="4698"/>
      <c r="K32" s="4698"/>
      <c r="L32" s="4698"/>
      <c r="M32" s="4698"/>
      <c r="N32" s="4698"/>
      <c r="O32" s="4698"/>
      <c r="P32" s="4698"/>
      <c r="Q32" s="4698"/>
      <c r="R32" s="4698"/>
      <c r="S32" s="4698"/>
      <c r="T32" s="4698"/>
      <c r="U32" s="4698"/>
      <c r="V32" s="4698"/>
      <c r="W32" s="4698"/>
      <c r="X32" s="4698"/>
      <c r="Y32" s="4698"/>
      <c r="Z32" s="4698"/>
      <c r="AA32" s="4698"/>
    </row>
    <row r="33" spans="1:27" s="4672" customFormat="1" ht="25.5">
      <c r="A33" s="4670">
        <v>3.1</v>
      </c>
      <c r="B33" s="4674" t="s">
        <v>4144</v>
      </c>
      <c r="C33" s="4572">
        <v>707.3</v>
      </c>
      <c r="D33" s="4570" t="s">
        <v>2430</v>
      </c>
      <c r="E33" s="4716"/>
      <c r="F33" s="4944">
        <f t="shared" si="2"/>
        <v>0</v>
      </c>
      <c r="G33" s="4698">
        <f t="shared" si="0"/>
        <v>0</v>
      </c>
    </row>
    <row r="34" spans="1:27" s="4672" customFormat="1" ht="25.5">
      <c r="A34" s="4670">
        <v>3.2</v>
      </c>
      <c r="B34" s="4674" t="s">
        <v>4086</v>
      </c>
      <c r="C34" s="4572">
        <v>121.28</v>
      </c>
      <c r="D34" s="4570" t="s">
        <v>2431</v>
      </c>
      <c r="E34" s="4716"/>
      <c r="F34" s="4944">
        <f t="shared" si="2"/>
        <v>0</v>
      </c>
      <c r="G34" s="4698">
        <f t="shared" si="0"/>
        <v>0</v>
      </c>
    </row>
    <row r="35" spans="1:27" s="4672" customFormat="1" ht="25.5">
      <c r="A35" s="4670">
        <v>3.3</v>
      </c>
      <c r="B35" s="4674" t="s">
        <v>4145</v>
      </c>
      <c r="C35" s="4572">
        <v>145.54</v>
      </c>
      <c r="D35" s="4570" t="s">
        <v>3156</v>
      </c>
      <c r="E35" s="4716"/>
      <c r="F35" s="4944">
        <f t="shared" si="2"/>
        <v>0</v>
      </c>
      <c r="G35" s="4698">
        <f t="shared" si="0"/>
        <v>0</v>
      </c>
    </row>
    <row r="36" spans="1:27" s="4672" customFormat="1">
      <c r="A36" s="4742">
        <v>3.4</v>
      </c>
      <c r="B36" s="4743" t="s">
        <v>4139</v>
      </c>
      <c r="C36" s="4572">
        <v>732.53</v>
      </c>
      <c r="D36" s="4570" t="s">
        <v>3156</v>
      </c>
      <c r="E36" s="4716"/>
      <c r="F36" s="4944">
        <f t="shared" si="2"/>
        <v>0</v>
      </c>
      <c r="G36" s="4698">
        <f t="shared" si="0"/>
        <v>0</v>
      </c>
    </row>
    <row r="37" spans="1:27" s="4540" customFormat="1">
      <c r="A37" s="4578"/>
      <c r="B37" s="4571"/>
      <c r="C37" s="4572"/>
      <c r="D37" s="4573"/>
      <c r="E37" s="4716"/>
      <c r="F37" s="4944">
        <f t="shared" si="2"/>
        <v>0</v>
      </c>
      <c r="G37" s="4698">
        <f t="shared" si="0"/>
        <v>0</v>
      </c>
      <c r="H37" s="4698"/>
      <c r="I37" s="4698"/>
      <c r="J37" s="4698"/>
      <c r="K37" s="4698"/>
      <c r="L37" s="4698"/>
      <c r="M37" s="4698"/>
      <c r="N37" s="4698"/>
      <c r="O37" s="4698"/>
      <c r="P37" s="4698"/>
      <c r="Q37" s="4698"/>
      <c r="R37" s="4698"/>
      <c r="S37" s="4698"/>
      <c r="T37" s="4698"/>
      <c r="U37" s="4698"/>
      <c r="V37" s="4698"/>
      <c r="W37" s="4698"/>
      <c r="X37" s="4698"/>
      <c r="Y37" s="4698"/>
      <c r="Z37" s="4698"/>
      <c r="AA37" s="4698"/>
    </row>
    <row r="38" spans="1:27" s="4672" customFormat="1">
      <c r="A38" s="4741">
        <f>+A32+1</f>
        <v>4</v>
      </c>
      <c r="B38" s="4580" t="s">
        <v>4166</v>
      </c>
      <c r="C38" s="4572"/>
      <c r="D38" s="4573"/>
      <c r="E38" s="4716"/>
      <c r="F38" s="4944"/>
      <c r="G38" s="4698">
        <f t="shared" si="0"/>
        <v>0</v>
      </c>
    </row>
    <row r="39" spans="1:27" s="4672" customFormat="1" ht="14.25">
      <c r="A39" s="4741">
        <f>+A33+1</f>
        <v>4.0999999999999996</v>
      </c>
      <c r="B39" s="4580" t="s">
        <v>4167</v>
      </c>
      <c r="C39" s="4572"/>
      <c r="D39" s="4573"/>
      <c r="E39" s="4716"/>
      <c r="F39" s="4944"/>
      <c r="G39" s="4698">
        <f t="shared" ref="G39" si="3">+E39*C39</f>
        <v>0</v>
      </c>
    </row>
    <row r="40" spans="1:27" s="4540" customFormat="1">
      <c r="A40" s="4568" t="s">
        <v>592</v>
      </c>
      <c r="B40" s="4569" t="s">
        <v>4124</v>
      </c>
      <c r="C40" s="4572">
        <v>4.2</v>
      </c>
      <c r="D40" s="4570" t="s">
        <v>2430</v>
      </c>
      <c r="E40" s="4716"/>
      <c r="F40" s="4944">
        <f>ROUND(C40*E40,2)</f>
        <v>0</v>
      </c>
      <c r="G40" s="4698">
        <f t="shared" si="0"/>
        <v>0</v>
      </c>
      <c r="H40" s="4698"/>
      <c r="I40" s="4698"/>
      <c r="J40" s="4698"/>
      <c r="K40" s="4698"/>
      <c r="L40" s="4698"/>
      <c r="M40" s="4698"/>
      <c r="N40" s="4698"/>
      <c r="O40" s="4698"/>
      <c r="P40" s="4698"/>
      <c r="Q40" s="4698"/>
      <c r="R40" s="4698"/>
      <c r="S40" s="4698"/>
      <c r="T40" s="4698"/>
      <c r="U40" s="4698"/>
      <c r="V40" s="4698"/>
      <c r="W40" s="4698"/>
      <c r="X40" s="4698"/>
      <c r="Y40" s="4698"/>
      <c r="Z40" s="4698"/>
      <c r="AA40" s="4698"/>
    </row>
    <row r="41" spans="1:27" s="4540" customFormat="1">
      <c r="A41" s="4568" t="s">
        <v>594</v>
      </c>
      <c r="B41" s="4569" t="s">
        <v>4097</v>
      </c>
      <c r="C41" s="4572">
        <v>3.58</v>
      </c>
      <c r="D41" s="4570" t="s">
        <v>2430</v>
      </c>
      <c r="E41" s="4716"/>
      <c r="F41" s="4944">
        <f t="shared" ref="F41:F45" si="4">ROUND(C41*E41,2)</f>
        <v>0</v>
      </c>
      <c r="G41" s="4698">
        <f t="shared" si="0"/>
        <v>0</v>
      </c>
      <c r="H41" s="4698"/>
      <c r="I41" s="4698"/>
      <c r="J41" s="4698"/>
      <c r="K41" s="4698"/>
      <c r="L41" s="4698"/>
      <c r="M41" s="4698"/>
      <c r="N41" s="4698"/>
      <c r="O41" s="4698"/>
      <c r="P41" s="4698"/>
      <c r="Q41" s="4698"/>
      <c r="R41" s="4698"/>
      <c r="S41" s="4698"/>
      <c r="T41" s="4698"/>
      <c r="U41" s="4698"/>
      <c r="V41" s="4698"/>
      <c r="W41" s="4698"/>
      <c r="X41" s="4698"/>
      <c r="Y41" s="4698"/>
      <c r="Z41" s="4698"/>
      <c r="AA41" s="4698"/>
    </row>
    <row r="42" spans="1:27" s="4540" customFormat="1" ht="14.25">
      <c r="A42" s="4568" t="s">
        <v>596</v>
      </c>
      <c r="B42" s="4569" t="s">
        <v>4107</v>
      </c>
      <c r="C42" s="4572">
        <v>25.47</v>
      </c>
      <c r="D42" s="4570" t="s">
        <v>2430</v>
      </c>
      <c r="E42" s="4716"/>
      <c r="F42" s="4944">
        <f t="shared" si="4"/>
        <v>0</v>
      </c>
      <c r="G42" s="4698">
        <f t="shared" si="0"/>
        <v>0</v>
      </c>
      <c r="H42" s="4698"/>
      <c r="I42" s="4698"/>
      <c r="J42" s="4698"/>
      <c r="K42" s="4698"/>
      <c r="L42" s="4698"/>
      <c r="M42" s="4698"/>
      <c r="N42" s="4698"/>
      <c r="O42" s="4698"/>
      <c r="P42" s="4698"/>
      <c r="Q42" s="4698"/>
      <c r="R42" s="4698"/>
      <c r="S42" s="4698"/>
      <c r="T42" s="4698"/>
      <c r="U42" s="4698"/>
      <c r="V42" s="4698"/>
      <c r="W42" s="4698"/>
      <c r="X42" s="4698"/>
      <c r="Y42" s="4698"/>
      <c r="Z42" s="4698"/>
      <c r="AA42" s="4698"/>
    </row>
    <row r="43" spans="1:27" s="4540" customFormat="1" ht="14.25">
      <c r="A43" s="4568" t="s">
        <v>598</v>
      </c>
      <c r="B43" s="4569" t="s">
        <v>4129</v>
      </c>
      <c r="C43" s="4572">
        <v>20.93</v>
      </c>
      <c r="D43" s="4570" t="s">
        <v>2430</v>
      </c>
      <c r="E43" s="4716"/>
      <c r="F43" s="4944">
        <f t="shared" si="4"/>
        <v>0</v>
      </c>
      <c r="G43" s="4698">
        <f t="shared" si="0"/>
        <v>0</v>
      </c>
      <c r="H43" s="4698"/>
      <c r="I43" s="4698"/>
      <c r="J43" s="4698"/>
      <c r="K43" s="4698"/>
      <c r="L43" s="4698"/>
      <c r="M43" s="4698"/>
      <c r="N43" s="4698"/>
      <c r="O43" s="4698"/>
      <c r="P43" s="4698"/>
      <c r="Q43" s="4698"/>
      <c r="R43" s="4698"/>
      <c r="S43" s="4698"/>
      <c r="T43" s="4698"/>
      <c r="U43" s="4698"/>
      <c r="V43" s="4698"/>
      <c r="W43" s="4698"/>
      <c r="X43" s="4698"/>
      <c r="Y43" s="4698"/>
      <c r="Z43" s="4698"/>
      <c r="AA43" s="4698"/>
    </row>
    <row r="44" spans="1:27" s="4540" customFormat="1" ht="14.25">
      <c r="A44" s="4568" t="s">
        <v>2299</v>
      </c>
      <c r="B44" s="4569" t="s">
        <v>4108</v>
      </c>
      <c r="C44" s="4572">
        <v>19.77</v>
      </c>
      <c r="D44" s="4570" t="s">
        <v>2430</v>
      </c>
      <c r="E44" s="4716"/>
      <c r="F44" s="4944">
        <f t="shared" si="4"/>
        <v>0</v>
      </c>
      <c r="G44" s="4698">
        <f t="shared" si="0"/>
        <v>0</v>
      </c>
      <c r="H44" s="4698"/>
      <c r="I44" s="4698"/>
      <c r="J44" s="4698"/>
      <c r="K44" s="4698"/>
      <c r="L44" s="4698"/>
      <c r="M44" s="4698"/>
      <c r="N44" s="4698"/>
      <c r="O44" s="4698"/>
      <c r="P44" s="4698"/>
      <c r="Q44" s="4698"/>
      <c r="R44" s="4698"/>
      <c r="S44" s="4698"/>
      <c r="T44" s="4698"/>
      <c r="U44" s="4698"/>
      <c r="V44" s="4698"/>
      <c r="W44" s="4698"/>
      <c r="X44" s="4698"/>
      <c r="Y44" s="4698"/>
      <c r="Z44" s="4698"/>
      <c r="AA44" s="4698"/>
    </row>
    <row r="45" spans="1:27" s="4540" customFormat="1">
      <c r="A45" s="4568" t="s">
        <v>2300</v>
      </c>
      <c r="B45" s="4569" t="s">
        <v>4104</v>
      </c>
      <c r="C45" s="4572">
        <v>5.5</v>
      </c>
      <c r="D45" s="4570" t="s">
        <v>2430</v>
      </c>
      <c r="E45" s="4716"/>
      <c r="F45" s="4944">
        <f t="shared" si="4"/>
        <v>0</v>
      </c>
      <c r="G45" s="4698">
        <f t="shared" si="0"/>
        <v>0</v>
      </c>
      <c r="H45" s="4698"/>
      <c r="I45" s="4698"/>
      <c r="J45" s="4698"/>
      <c r="K45" s="4698"/>
      <c r="L45" s="4698"/>
      <c r="M45" s="4698"/>
      <c r="N45" s="4698"/>
      <c r="O45" s="4698"/>
      <c r="P45" s="4698"/>
      <c r="Q45" s="4698"/>
      <c r="R45" s="4698"/>
      <c r="S45" s="4698"/>
      <c r="T45" s="4698"/>
      <c r="U45" s="4698"/>
      <c r="V45" s="4698"/>
      <c r="W45" s="4698"/>
      <c r="X45" s="4698"/>
      <c r="Y45" s="4698"/>
      <c r="Z45" s="4698"/>
      <c r="AA45" s="4698"/>
    </row>
    <row r="46" spans="1:27" s="4672" customFormat="1">
      <c r="A46" s="4673"/>
      <c r="B46" s="4674"/>
      <c r="C46" s="4572"/>
      <c r="D46" s="4573"/>
      <c r="E46" s="4716"/>
      <c r="F46" s="4944"/>
      <c r="G46" s="4698">
        <f t="shared" si="0"/>
        <v>0</v>
      </c>
      <c r="H46" s="4698"/>
      <c r="I46" s="4698"/>
      <c r="J46" s="4698"/>
      <c r="K46" s="4698"/>
      <c r="L46" s="4698"/>
      <c r="M46" s="4698"/>
      <c r="N46" s="4698"/>
      <c r="O46" s="4698"/>
      <c r="P46" s="4698"/>
      <c r="Q46" s="4698"/>
      <c r="R46" s="4698"/>
      <c r="S46" s="4698"/>
      <c r="T46" s="4698"/>
      <c r="U46" s="4698"/>
      <c r="V46" s="4698"/>
      <c r="W46" s="4698"/>
      <c r="X46" s="4698"/>
      <c r="Y46" s="4698"/>
      <c r="Z46" s="4698"/>
      <c r="AA46" s="4698"/>
    </row>
    <row r="47" spans="1:27" s="4540" customFormat="1">
      <c r="A47" s="4574">
        <f>+A38+1</f>
        <v>5</v>
      </c>
      <c r="B47" s="4580" t="s">
        <v>4098</v>
      </c>
      <c r="C47" s="4572"/>
      <c r="D47" s="4573"/>
      <c r="E47" s="4716"/>
      <c r="F47" s="4944">
        <f t="shared" ref="F43:F75" si="5">ROUND(C47*E47,2)</f>
        <v>0</v>
      </c>
      <c r="G47" s="4698">
        <f t="shared" si="0"/>
        <v>0</v>
      </c>
      <c r="H47" s="4698"/>
      <c r="I47" s="4698"/>
      <c r="J47" s="4698"/>
      <c r="K47" s="4698"/>
      <c r="L47" s="4698"/>
      <c r="M47" s="4698"/>
      <c r="N47" s="4698"/>
      <c r="O47" s="4698"/>
      <c r="P47" s="4698"/>
      <c r="Q47" s="4698"/>
      <c r="R47" s="4698"/>
      <c r="S47" s="4698"/>
      <c r="T47" s="4698"/>
      <c r="U47" s="4698"/>
      <c r="V47" s="4698"/>
      <c r="W47" s="4698"/>
      <c r="X47" s="4698"/>
      <c r="Y47" s="4698"/>
      <c r="Z47" s="4698"/>
      <c r="AA47" s="4698"/>
    </row>
    <row r="48" spans="1:27" s="4540" customFormat="1">
      <c r="A48" s="4568">
        <f>+A47+0.1</f>
        <v>5.0999999999999996</v>
      </c>
      <c r="B48" s="4569" t="s">
        <v>4099</v>
      </c>
      <c r="C48" s="4572">
        <v>26.66</v>
      </c>
      <c r="D48" s="4570" t="s">
        <v>2430</v>
      </c>
      <c r="E48" s="4716"/>
      <c r="F48" s="4944">
        <f>ROUND(C48*E48,2)</f>
        <v>0</v>
      </c>
      <c r="G48" s="4698">
        <f t="shared" si="0"/>
        <v>0</v>
      </c>
      <c r="H48" s="4698"/>
      <c r="I48" s="4698"/>
      <c r="J48" s="4698"/>
      <c r="K48" s="4698"/>
      <c r="L48" s="4698"/>
      <c r="M48" s="4698"/>
      <c r="N48" s="4698"/>
      <c r="O48" s="4698"/>
      <c r="P48" s="4698"/>
      <c r="Q48" s="4698"/>
      <c r="R48" s="4698"/>
      <c r="S48" s="4698"/>
      <c r="T48" s="4698"/>
      <c r="U48" s="4698"/>
      <c r="V48" s="4698"/>
      <c r="W48" s="4698"/>
      <c r="X48" s="4698"/>
      <c r="Y48" s="4698"/>
      <c r="Z48" s="4698"/>
      <c r="AA48" s="4698"/>
    </row>
    <row r="49" spans="1:27" s="4540" customFormat="1">
      <c r="A49" s="4568">
        <f t="shared" ref="A49:A51" si="6">+A48+0.1</f>
        <v>5.2</v>
      </c>
      <c r="B49" s="4569" t="s">
        <v>4100</v>
      </c>
      <c r="C49" s="4572">
        <v>26.66</v>
      </c>
      <c r="D49" s="4570" t="s">
        <v>2430</v>
      </c>
      <c r="E49" s="4716"/>
      <c r="F49" s="4944">
        <f>ROUND(C49*E49,2)</f>
        <v>0</v>
      </c>
      <c r="G49" s="4698">
        <f t="shared" si="0"/>
        <v>0</v>
      </c>
      <c r="H49" s="4698"/>
      <c r="I49" s="4698"/>
      <c r="J49" s="4698"/>
      <c r="K49" s="4698"/>
      <c r="L49" s="4698"/>
      <c r="M49" s="4698"/>
      <c r="N49" s="4698"/>
      <c r="O49" s="4698"/>
      <c r="P49" s="4698"/>
      <c r="Q49" s="4698"/>
      <c r="R49" s="4698"/>
      <c r="S49" s="4698"/>
      <c r="T49" s="4698"/>
      <c r="U49" s="4698"/>
      <c r="V49" s="4698"/>
      <c r="W49" s="4698"/>
      <c r="X49" s="4698"/>
      <c r="Y49" s="4698"/>
      <c r="Z49" s="4698"/>
      <c r="AA49" s="4698"/>
    </row>
    <row r="50" spans="1:27" s="4540" customFormat="1">
      <c r="A50" s="4568">
        <f t="shared" si="6"/>
        <v>5.3</v>
      </c>
      <c r="B50" s="4581" t="s">
        <v>4101</v>
      </c>
      <c r="C50" s="4582">
        <v>19.04</v>
      </c>
      <c r="D50" s="4583" t="s">
        <v>1</v>
      </c>
      <c r="E50" s="4716"/>
      <c r="F50" s="4946">
        <f t="shared" ref="F50:F51" si="7">ROUND(C50*E50,2)</f>
        <v>0</v>
      </c>
      <c r="G50" s="4698">
        <f t="shared" si="0"/>
        <v>0</v>
      </c>
      <c r="H50" s="4698"/>
      <c r="I50" s="4698"/>
      <c r="J50" s="4698"/>
      <c r="K50" s="4698"/>
      <c r="L50" s="4698"/>
      <c r="M50" s="4698"/>
      <c r="N50" s="4698"/>
      <c r="O50" s="4698"/>
      <c r="P50" s="4698"/>
      <c r="Q50" s="4698"/>
      <c r="R50" s="4698"/>
      <c r="S50" s="4698"/>
      <c r="T50" s="4698"/>
      <c r="U50" s="4698"/>
      <c r="V50" s="4698"/>
      <c r="W50" s="4698"/>
      <c r="X50" s="4698"/>
      <c r="Y50" s="4698"/>
      <c r="Z50" s="4698"/>
      <c r="AA50" s="4698"/>
    </row>
    <row r="51" spans="1:27" s="4540" customFormat="1">
      <c r="A51" s="4568">
        <f t="shared" si="6"/>
        <v>5.4</v>
      </c>
      <c r="B51" s="4569" t="s">
        <v>4089</v>
      </c>
      <c r="C51" s="4572">
        <v>19.04</v>
      </c>
      <c r="D51" s="4549" t="s">
        <v>2432</v>
      </c>
      <c r="E51" s="4716"/>
      <c r="F51" s="4946">
        <f t="shared" si="7"/>
        <v>0</v>
      </c>
      <c r="G51" s="4698">
        <f t="shared" si="0"/>
        <v>0</v>
      </c>
      <c r="H51" s="4698"/>
      <c r="I51" s="4698"/>
      <c r="J51" s="4698"/>
      <c r="K51" s="4698"/>
      <c r="L51" s="4698"/>
      <c r="M51" s="4698"/>
      <c r="N51" s="4698"/>
      <c r="O51" s="4698"/>
      <c r="P51" s="4698"/>
      <c r="Q51" s="4698"/>
      <c r="R51" s="4698"/>
      <c r="S51" s="4698"/>
      <c r="T51" s="4698"/>
      <c r="U51" s="4698"/>
      <c r="V51" s="4698"/>
      <c r="W51" s="4698"/>
      <c r="X51" s="4698"/>
      <c r="Y51" s="4698"/>
      <c r="Z51" s="4698"/>
      <c r="AA51" s="4698"/>
    </row>
    <row r="52" spans="1:27" s="4540" customFormat="1">
      <c r="A52" s="4579"/>
      <c r="B52" s="4569"/>
      <c r="C52" s="4572"/>
      <c r="D52" s="4573"/>
      <c r="E52" s="4716"/>
      <c r="F52" s="4944">
        <f t="shared" si="5"/>
        <v>0</v>
      </c>
      <c r="G52" s="4698">
        <f t="shared" si="0"/>
        <v>0</v>
      </c>
      <c r="H52" s="4698"/>
      <c r="I52" s="4698"/>
      <c r="J52" s="4698"/>
      <c r="K52" s="4698"/>
      <c r="L52" s="4698"/>
      <c r="M52" s="4698"/>
      <c r="N52" s="4698"/>
      <c r="O52" s="4698"/>
      <c r="P52" s="4698"/>
      <c r="Q52" s="4698"/>
      <c r="R52" s="4698"/>
      <c r="S52" s="4698"/>
      <c r="T52" s="4698"/>
      <c r="U52" s="4698"/>
      <c r="V52" s="4698"/>
      <c r="W52" s="4698"/>
      <c r="X52" s="4698"/>
      <c r="Y52" s="4698"/>
      <c r="Z52" s="4698"/>
      <c r="AA52" s="4698"/>
    </row>
    <row r="53" spans="1:27" s="4540" customFormat="1">
      <c r="A53" s="4574">
        <f>+A47+1</f>
        <v>6</v>
      </c>
      <c r="B53" s="4584" t="s">
        <v>2278</v>
      </c>
      <c r="C53" s="4572"/>
      <c r="D53" s="4573"/>
      <c r="E53" s="4716"/>
      <c r="F53" s="4944">
        <f t="shared" si="5"/>
        <v>0</v>
      </c>
      <c r="G53" s="4698">
        <f t="shared" si="0"/>
        <v>0</v>
      </c>
      <c r="H53" s="4698"/>
      <c r="I53" s="4698"/>
      <c r="J53" s="4698"/>
      <c r="K53" s="4698"/>
      <c r="L53" s="4698"/>
      <c r="M53" s="4698"/>
      <c r="N53" s="4698"/>
      <c r="O53" s="4698"/>
      <c r="P53" s="4698"/>
      <c r="Q53" s="4698"/>
      <c r="R53" s="4698"/>
      <c r="S53" s="4698"/>
      <c r="T53" s="4698"/>
      <c r="U53" s="4698"/>
      <c r="V53" s="4698"/>
      <c r="W53" s="4698"/>
      <c r="X53" s="4698"/>
      <c r="Y53" s="4698"/>
      <c r="Z53" s="4698"/>
      <c r="AA53" s="4698"/>
    </row>
    <row r="54" spans="1:27" s="4672" customFormat="1" ht="14.25">
      <c r="A54" s="4739">
        <f>+A53+0.1</f>
        <v>6.1</v>
      </c>
      <c r="B54" s="4740" t="s">
        <v>4168</v>
      </c>
      <c r="C54" s="4572"/>
      <c r="D54" s="4573"/>
      <c r="E54" s="4716"/>
      <c r="F54" s="4944">
        <f t="shared" si="5"/>
        <v>0</v>
      </c>
      <c r="G54" s="4698">
        <f t="shared" si="0"/>
        <v>0</v>
      </c>
    </row>
    <row r="55" spans="1:27" s="4540" customFormat="1">
      <c r="A55" s="4568" t="s">
        <v>628</v>
      </c>
      <c r="B55" s="4569" t="s">
        <v>4124</v>
      </c>
      <c r="C55" s="4572">
        <v>1.85</v>
      </c>
      <c r="D55" s="4570" t="s">
        <v>2430</v>
      </c>
      <c r="E55" s="4716"/>
      <c r="F55" s="4944">
        <f>ROUND(C55*E55,2)</f>
        <v>0</v>
      </c>
      <c r="G55" s="4698">
        <f t="shared" si="0"/>
        <v>0</v>
      </c>
      <c r="H55" s="4698"/>
      <c r="I55" s="4698"/>
      <c r="J55" s="4698"/>
      <c r="K55" s="4698"/>
      <c r="L55" s="4698"/>
      <c r="M55" s="4698"/>
      <c r="N55" s="4698"/>
      <c r="O55" s="4698"/>
      <c r="P55" s="4698"/>
      <c r="Q55" s="4698"/>
      <c r="R55" s="4698"/>
      <c r="S55" s="4698"/>
      <c r="T55" s="4698"/>
      <c r="U55" s="4698"/>
      <c r="V55" s="4698"/>
      <c r="W55" s="4698"/>
      <c r="X55" s="4698"/>
      <c r="Y55" s="4698"/>
      <c r="Z55" s="4698"/>
      <c r="AA55" s="4698"/>
    </row>
    <row r="56" spans="1:27" s="4540" customFormat="1">
      <c r="A56" s="4568" t="s">
        <v>4147</v>
      </c>
      <c r="B56" s="4585" t="s">
        <v>4102</v>
      </c>
      <c r="C56" s="4572">
        <v>29.85</v>
      </c>
      <c r="D56" s="4570" t="s">
        <v>2430</v>
      </c>
      <c r="E56" s="4716"/>
      <c r="F56" s="4944">
        <f t="shared" si="5"/>
        <v>0</v>
      </c>
      <c r="G56" s="4698">
        <f t="shared" si="0"/>
        <v>0</v>
      </c>
      <c r="H56" s="4698"/>
      <c r="I56" s="4698"/>
      <c r="J56" s="4698"/>
      <c r="K56" s="4698"/>
      <c r="L56" s="4698"/>
      <c r="M56" s="4698"/>
      <c r="N56" s="4698"/>
      <c r="O56" s="4698"/>
      <c r="P56" s="4698"/>
      <c r="Q56" s="4698"/>
      <c r="R56" s="4698"/>
      <c r="S56" s="4698"/>
      <c r="T56" s="4698"/>
      <c r="U56" s="4698"/>
      <c r="V56" s="4698"/>
      <c r="W56" s="4698"/>
      <c r="X56" s="4698"/>
      <c r="Y56" s="4698"/>
      <c r="Z56" s="4698"/>
      <c r="AA56" s="4698"/>
    </row>
    <row r="57" spans="1:27" s="4540" customFormat="1" ht="27">
      <c r="A57" s="4568" t="s">
        <v>4148</v>
      </c>
      <c r="B57" s="4585" t="s">
        <v>4146</v>
      </c>
      <c r="C57" s="4572">
        <v>34.03</v>
      </c>
      <c r="D57" s="4570" t="s">
        <v>2430</v>
      </c>
      <c r="E57" s="4716"/>
      <c r="F57" s="4944">
        <f t="shared" si="5"/>
        <v>0</v>
      </c>
      <c r="G57" s="4698">
        <f t="shared" si="0"/>
        <v>0</v>
      </c>
      <c r="H57" s="4698"/>
      <c r="I57" s="4698"/>
      <c r="J57" s="4698"/>
      <c r="K57" s="4698"/>
      <c r="L57" s="4698"/>
      <c r="M57" s="4698"/>
      <c r="N57" s="4698"/>
      <c r="O57" s="4698"/>
      <c r="P57" s="4698"/>
      <c r="Q57" s="4698"/>
      <c r="R57" s="4698"/>
      <c r="S57" s="4698"/>
      <c r="T57" s="4698"/>
      <c r="U57" s="4698"/>
      <c r="V57" s="4698"/>
      <c r="W57" s="4698"/>
      <c r="X57" s="4698"/>
      <c r="Y57" s="4698"/>
      <c r="Z57" s="4698"/>
      <c r="AA57" s="4698"/>
    </row>
    <row r="58" spans="1:27" s="4540" customFormat="1" ht="14.25">
      <c r="A58" s="4568" t="s">
        <v>4149</v>
      </c>
      <c r="B58" s="4585" t="s">
        <v>4125</v>
      </c>
      <c r="C58" s="4572">
        <v>19.05</v>
      </c>
      <c r="D58" s="4570" t="s">
        <v>2430</v>
      </c>
      <c r="E58" s="4716"/>
      <c r="F58" s="4944">
        <f t="shared" si="5"/>
        <v>0</v>
      </c>
      <c r="G58" s="4698">
        <f t="shared" si="0"/>
        <v>0</v>
      </c>
      <c r="H58" s="4698"/>
      <c r="I58" s="4698"/>
      <c r="J58" s="4698"/>
      <c r="K58" s="4698"/>
      <c r="L58" s="4698"/>
      <c r="M58" s="4698"/>
      <c r="N58" s="4698"/>
      <c r="O58" s="4698"/>
      <c r="P58" s="4698"/>
      <c r="Q58" s="4698"/>
      <c r="R58" s="4698"/>
      <c r="S58" s="4698"/>
      <c r="T58" s="4698"/>
      <c r="U58" s="4698"/>
      <c r="V58" s="4698"/>
      <c r="W58" s="4698"/>
      <c r="X58" s="4698"/>
      <c r="Y58" s="4698"/>
      <c r="Z58" s="4698"/>
      <c r="AA58" s="4698"/>
    </row>
    <row r="59" spans="1:27" s="4540" customFormat="1" ht="14.25">
      <c r="A59" s="4568" t="s">
        <v>4150</v>
      </c>
      <c r="B59" s="4585" t="s">
        <v>4126</v>
      </c>
      <c r="C59" s="4572">
        <v>7.38</v>
      </c>
      <c r="D59" s="4570" t="s">
        <v>2430</v>
      </c>
      <c r="E59" s="4716"/>
      <c r="F59" s="4944">
        <f t="shared" si="5"/>
        <v>0</v>
      </c>
      <c r="G59" s="4698">
        <f t="shared" si="0"/>
        <v>0</v>
      </c>
      <c r="H59" s="4698"/>
      <c r="I59" s="4698"/>
      <c r="J59" s="4698"/>
      <c r="K59" s="4698"/>
      <c r="L59" s="4698"/>
      <c r="M59" s="4698"/>
      <c r="N59" s="4698"/>
      <c r="O59" s="4698"/>
      <c r="P59" s="4698"/>
      <c r="Q59" s="4698"/>
      <c r="R59" s="4698"/>
      <c r="S59" s="4698"/>
      <c r="T59" s="4698"/>
      <c r="U59" s="4698"/>
      <c r="V59" s="4698"/>
      <c r="W59" s="4698"/>
      <c r="X59" s="4698"/>
      <c r="Y59" s="4698"/>
      <c r="Z59" s="4698"/>
      <c r="AA59" s="4698"/>
    </row>
    <row r="60" spans="1:27" s="4540" customFormat="1" ht="14.25">
      <c r="A60" s="4568" t="s">
        <v>4151</v>
      </c>
      <c r="B60" s="4585" t="s">
        <v>4109</v>
      </c>
      <c r="C60" s="4572">
        <v>1.3</v>
      </c>
      <c r="D60" s="4570" t="s">
        <v>2430</v>
      </c>
      <c r="E60" s="4716"/>
      <c r="F60" s="4944">
        <f t="shared" si="5"/>
        <v>0</v>
      </c>
      <c r="G60" s="4698">
        <f t="shared" si="0"/>
        <v>0</v>
      </c>
      <c r="H60" s="4698"/>
      <c r="I60" s="4698"/>
      <c r="J60" s="4698"/>
      <c r="K60" s="4698"/>
      <c r="L60" s="4698"/>
      <c r="M60" s="4698"/>
      <c r="N60" s="4698"/>
      <c r="O60" s="4698"/>
      <c r="P60" s="4698"/>
      <c r="Q60" s="4698"/>
      <c r="R60" s="4698"/>
      <c r="S60" s="4698"/>
      <c r="T60" s="4698"/>
      <c r="U60" s="4698"/>
      <c r="V60" s="4698"/>
      <c r="W60" s="4698"/>
      <c r="X60" s="4698"/>
      <c r="Y60" s="4698"/>
      <c r="Z60" s="4698"/>
      <c r="AA60" s="4698"/>
    </row>
    <row r="61" spans="1:27" s="4540" customFormat="1" ht="14.25">
      <c r="A61" s="4568" t="s">
        <v>4152</v>
      </c>
      <c r="B61" s="4585" t="s">
        <v>4110</v>
      </c>
      <c r="C61" s="4572">
        <v>0.36</v>
      </c>
      <c r="D61" s="4570" t="s">
        <v>2430</v>
      </c>
      <c r="E61" s="4716"/>
      <c r="F61" s="4944">
        <f t="shared" si="5"/>
        <v>0</v>
      </c>
      <c r="G61" s="4698">
        <f t="shared" si="0"/>
        <v>0</v>
      </c>
      <c r="H61" s="4698"/>
      <c r="I61" s="4698"/>
      <c r="J61" s="4698"/>
      <c r="K61" s="4698"/>
      <c r="L61" s="4698"/>
      <c r="M61" s="4698"/>
      <c r="N61" s="4698"/>
      <c r="O61" s="4698"/>
      <c r="P61" s="4698"/>
      <c r="Q61" s="4698"/>
      <c r="R61" s="4698"/>
      <c r="S61" s="4698"/>
      <c r="T61" s="4698"/>
      <c r="U61" s="4698"/>
      <c r="V61" s="4698"/>
      <c r="W61" s="4698"/>
      <c r="X61" s="4698"/>
      <c r="Y61" s="4698"/>
      <c r="Z61" s="4698"/>
      <c r="AA61" s="4698"/>
    </row>
    <row r="62" spans="1:27" s="4540" customFormat="1">
      <c r="A62" s="4568" t="s">
        <v>4153</v>
      </c>
      <c r="B62" s="4585" t="s">
        <v>4105</v>
      </c>
      <c r="C62" s="4572">
        <v>0.83</v>
      </c>
      <c r="D62" s="4570" t="s">
        <v>2430</v>
      </c>
      <c r="E62" s="4716"/>
      <c r="F62" s="4944">
        <f t="shared" si="5"/>
        <v>0</v>
      </c>
      <c r="G62" s="4698">
        <f t="shared" si="0"/>
        <v>0</v>
      </c>
      <c r="H62" s="4698"/>
      <c r="I62" s="4698"/>
      <c r="J62" s="4698"/>
      <c r="K62" s="4698"/>
      <c r="L62" s="4698"/>
      <c r="M62" s="4698"/>
      <c r="N62" s="4698"/>
      <c r="O62" s="4698"/>
      <c r="P62" s="4698"/>
      <c r="Q62" s="4698"/>
      <c r="R62" s="4698"/>
      <c r="S62" s="4698"/>
      <c r="T62" s="4698"/>
      <c r="U62" s="4698"/>
      <c r="V62" s="4698"/>
      <c r="W62" s="4698"/>
      <c r="X62" s="4698"/>
      <c r="Y62" s="4698"/>
      <c r="Z62" s="4698"/>
      <c r="AA62" s="4698"/>
    </row>
    <row r="63" spans="1:27" s="4539" customFormat="1" ht="14.25">
      <c r="A63" s="4568" t="s">
        <v>4154</v>
      </c>
      <c r="B63" s="4585" t="s">
        <v>4111</v>
      </c>
      <c r="C63" s="4572">
        <v>6.37</v>
      </c>
      <c r="D63" s="4570" t="s">
        <v>2430</v>
      </c>
      <c r="E63" s="4716"/>
      <c r="F63" s="4944">
        <f t="shared" si="5"/>
        <v>0</v>
      </c>
      <c r="G63" s="4698">
        <f t="shared" si="0"/>
        <v>0</v>
      </c>
      <c r="H63" s="4699"/>
      <c r="I63" s="4699"/>
      <c r="J63" s="4699"/>
      <c r="K63" s="4699"/>
      <c r="L63" s="4699"/>
      <c r="M63" s="4699"/>
      <c r="N63" s="4699"/>
      <c r="O63" s="4699"/>
      <c r="P63" s="4699"/>
      <c r="Q63" s="4699"/>
      <c r="R63" s="4699"/>
      <c r="S63" s="4699"/>
      <c r="T63" s="4699"/>
      <c r="U63" s="4699"/>
      <c r="V63" s="4699"/>
      <c r="W63" s="4699"/>
      <c r="X63" s="4699"/>
      <c r="Y63" s="4699"/>
      <c r="Z63" s="4699"/>
      <c r="AA63" s="4699"/>
    </row>
    <row r="64" spans="1:27" s="4672" customFormat="1">
      <c r="A64" s="4673"/>
      <c r="B64" s="4674"/>
      <c r="C64" s="4572"/>
      <c r="D64" s="4573"/>
      <c r="E64" s="4716"/>
      <c r="F64" s="4944"/>
      <c r="G64" s="4698">
        <f t="shared" si="0"/>
        <v>0</v>
      </c>
      <c r="H64" s="4698"/>
      <c r="I64" s="4698"/>
      <c r="J64" s="4698"/>
      <c r="K64" s="4698"/>
      <c r="L64" s="4698"/>
      <c r="M64" s="4698"/>
      <c r="N64" s="4698"/>
      <c r="O64" s="4698"/>
      <c r="P64" s="4698"/>
      <c r="Q64" s="4698"/>
      <c r="R64" s="4698"/>
      <c r="S64" s="4698"/>
      <c r="T64" s="4698"/>
      <c r="U64" s="4698"/>
      <c r="V64" s="4698"/>
      <c r="W64" s="4698"/>
      <c r="X64" s="4698"/>
      <c r="Y64" s="4698"/>
      <c r="Z64" s="4698"/>
      <c r="AA64" s="4698"/>
    </row>
    <row r="65" spans="1:27" s="4542" customFormat="1" ht="15" customHeight="1">
      <c r="A65" s="4574">
        <v>7</v>
      </c>
      <c r="B65" s="4575" t="s">
        <v>4087</v>
      </c>
      <c r="C65" s="4586"/>
      <c r="D65" s="4587"/>
      <c r="E65" s="4718"/>
      <c r="F65" s="4944">
        <f t="shared" si="5"/>
        <v>0</v>
      </c>
      <c r="G65" s="4698">
        <f t="shared" si="0"/>
        <v>0</v>
      </c>
      <c r="H65" s="4698"/>
      <c r="I65" s="4698"/>
      <c r="J65" s="4698"/>
      <c r="K65" s="4698"/>
      <c r="L65" s="4698"/>
      <c r="M65" s="4698"/>
      <c r="N65" s="4698"/>
      <c r="O65" s="4698"/>
      <c r="P65" s="4698"/>
      <c r="Q65" s="4698"/>
      <c r="R65" s="4698"/>
      <c r="S65" s="4698"/>
      <c r="T65" s="4698"/>
      <c r="U65" s="4698"/>
      <c r="V65" s="4698"/>
      <c r="W65" s="4698"/>
      <c r="X65" s="4698"/>
      <c r="Y65" s="4698"/>
      <c r="Z65" s="4698"/>
      <c r="AA65" s="4698"/>
    </row>
    <row r="66" spans="1:27" s="4542" customFormat="1" ht="15" customHeight="1">
      <c r="A66" s="4568">
        <f>+A65+0.1</f>
        <v>7.1</v>
      </c>
      <c r="B66" s="4588" t="s">
        <v>2567</v>
      </c>
      <c r="C66" s="4572">
        <v>177.83</v>
      </c>
      <c r="D66" s="4573" t="s">
        <v>4112</v>
      </c>
      <c r="E66" s="4718"/>
      <c r="F66" s="4944">
        <f t="shared" si="5"/>
        <v>0</v>
      </c>
      <c r="G66" s="4698">
        <f t="shared" si="0"/>
        <v>0</v>
      </c>
      <c r="H66" s="4698"/>
      <c r="I66" s="4698"/>
      <c r="J66" s="4698"/>
      <c r="K66" s="4698"/>
      <c r="L66" s="4698"/>
      <c r="M66" s="4698"/>
      <c r="N66" s="4698"/>
      <c r="O66" s="4698"/>
      <c r="P66" s="4698"/>
      <c r="Q66" s="4698"/>
      <c r="R66" s="4698"/>
      <c r="S66" s="4698"/>
      <c r="T66" s="4698"/>
      <c r="U66" s="4698"/>
      <c r="V66" s="4698"/>
      <c r="W66" s="4698"/>
      <c r="X66" s="4698"/>
      <c r="Y66" s="4698"/>
      <c r="Z66" s="4698"/>
      <c r="AA66" s="4698"/>
    </row>
    <row r="67" spans="1:27" s="4540" customFormat="1" ht="14.25">
      <c r="A67" s="4568">
        <f t="shared" ref="A67:A69" si="8">+A66+0.1</f>
        <v>7.2</v>
      </c>
      <c r="B67" s="4569" t="s">
        <v>4103</v>
      </c>
      <c r="C67" s="4572">
        <v>177.83</v>
      </c>
      <c r="D67" s="4573" t="s">
        <v>4112</v>
      </c>
      <c r="E67" s="4718"/>
      <c r="F67" s="4944">
        <f t="shared" si="5"/>
        <v>0</v>
      </c>
      <c r="G67" s="4698">
        <f t="shared" si="0"/>
        <v>0</v>
      </c>
      <c r="H67" s="4698"/>
      <c r="I67" s="4698"/>
      <c r="J67" s="4698"/>
      <c r="K67" s="4698"/>
      <c r="L67" s="4698"/>
      <c r="M67" s="4698"/>
      <c r="N67" s="4698"/>
      <c r="O67" s="4698"/>
      <c r="P67" s="4698"/>
      <c r="Q67" s="4698"/>
      <c r="R67" s="4698"/>
      <c r="S67" s="4698"/>
      <c r="T67" s="4698"/>
      <c r="U67" s="4698"/>
      <c r="V67" s="4698"/>
      <c r="W67" s="4698"/>
      <c r="X67" s="4698"/>
      <c r="Y67" s="4698"/>
      <c r="Z67" s="4698"/>
      <c r="AA67" s="4698"/>
    </row>
    <row r="68" spans="1:27" s="4540" customFormat="1" ht="14.25">
      <c r="A68" s="4568">
        <f t="shared" si="8"/>
        <v>7.3</v>
      </c>
      <c r="B68" s="4569" t="s">
        <v>2435</v>
      </c>
      <c r="C68" s="4572">
        <v>78.680000000000007</v>
      </c>
      <c r="D68" s="4573" t="s">
        <v>4112</v>
      </c>
      <c r="E68" s="4718"/>
      <c r="F68" s="4944">
        <f t="shared" si="5"/>
        <v>0</v>
      </c>
      <c r="G68" s="4698">
        <f t="shared" si="0"/>
        <v>0</v>
      </c>
      <c r="H68" s="4698"/>
      <c r="I68" s="4698"/>
      <c r="J68" s="4698"/>
      <c r="K68" s="4698"/>
      <c r="L68" s="4698"/>
      <c r="M68" s="4698"/>
      <c r="N68" s="4698"/>
      <c r="O68" s="4698"/>
      <c r="P68" s="4698"/>
      <c r="Q68" s="4698"/>
      <c r="R68" s="4698"/>
      <c r="S68" s="4698"/>
      <c r="T68" s="4698"/>
      <c r="U68" s="4698"/>
      <c r="V68" s="4698"/>
      <c r="W68" s="4698"/>
      <c r="X68" s="4698"/>
      <c r="Y68" s="4698"/>
      <c r="Z68" s="4698"/>
      <c r="AA68" s="4698"/>
    </row>
    <row r="69" spans="1:27" s="4540" customFormat="1" ht="14.25">
      <c r="A69" s="4568">
        <f t="shared" si="8"/>
        <v>7.4</v>
      </c>
      <c r="B69" s="4569" t="s">
        <v>4088</v>
      </c>
      <c r="C69" s="4572">
        <v>52.3</v>
      </c>
      <c r="D69" s="4573" t="s">
        <v>4112</v>
      </c>
      <c r="E69" s="4718"/>
      <c r="F69" s="4944">
        <f t="shared" si="5"/>
        <v>0</v>
      </c>
      <c r="G69" s="4698">
        <f t="shared" si="0"/>
        <v>0</v>
      </c>
      <c r="H69" s="4698"/>
      <c r="I69" s="4698"/>
      <c r="J69" s="4698"/>
      <c r="K69" s="4698"/>
      <c r="L69" s="4698"/>
      <c r="M69" s="4698"/>
      <c r="N69" s="4698"/>
      <c r="O69" s="4698"/>
      <c r="P69" s="4698"/>
      <c r="Q69" s="4698"/>
      <c r="R69" s="4698"/>
      <c r="S69" s="4698"/>
      <c r="T69" s="4698"/>
      <c r="U69" s="4698"/>
      <c r="V69" s="4698"/>
      <c r="W69" s="4698"/>
      <c r="X69" s="4698"/>
      <c r="Y69" s="4698"/>
      <c r="Z69" s="4698"/>
      <c r="AA69" s="4698"/>
    </row>
    <row r="70" spans="1:27" s="4540" customFormat="1">
      <c r="A70" s="4568">
        <f>+A69+0.1</f>
        <v>7.5</v>
      </c>
      <c r="B70" s="4569" t="s">
        <v>3458</v>
      </c>
      <c r="C70" s="4572">
        <v>166.62</v>
      </c>
      <c r="D70" s="4573" t="s">
        <v>1</v>
      </c>
      <c r="E70" s="4718"/>
      <c r="F70" s="4944">
        <f t="shared" si="5"/>
        <v>0</v>
      </c>
      <c r="G70" s="4698">
        <f t="shared" si="0"/>
        <v>0</v>
      </c>
      <c r="H70" s="4698"/>
      <c r="I70" s="4698"/>
      <c r="J70" s="4698"/>
      <c r="K70" s="4698"/>
      <c r="L70" s="4698"/>
      <c r="M70" s="4698"/>
      <c r="N70" s="4698"/>
      <c r="O70" s="4698"/>
      <c r="P70" s="4698"/>
      <c r="Q70" s="4698"/>
      <c r="R70" s="4698"/>
      <c r="S70" s="4698"/>
      <c r="T70" s="4698"/>
      <c r="U70" s="4698"/>
      <c r="V70" s="4698"/>
      <c r="W70" s="4698"/>
      <c r="X70" s="4698"/>
      <c r="Y70" s="4698"/>
      <c r="Z70" s="4698"/>
      <c r="AA70" s="4698"/>
    </row>
    <row r="71" spans="1:27" s="4540" customFormat="1">
      <c r="A71" s="4589"/>
      <c r="B71" s="4569"/>
      <c r="C71" s="4572"/>
      <c r="D71" s="4573"/>
      <c r="E71" s="4716"/>
      <c r="F71" s="4944">
        <f t="shared" si="5"/>
        <v>0</v>
      </c>
      <c r="G71" s="4698">
        <f t="shared" si="0"/>
        <v>0</v>
      </c>
      <c r="H71" s="4698"/>
      <c r="I71" s="4698"/>
      <c r="J71" s="4698"/>
      <c r="K71" s="4698"/>
      <c r="L71" s="4698"/>
      <c r="M71" s="4698"/>
      <c r="N71" s="4698"/>
      <c r="O71" s="4698"/>
      <c r="P71" s="4698"/>
      <c r="Q71" s="4698"/>
      <c r="R71" s="4698"/>
      <c r="S71" s="4698"/>
      <c r="T71" s="4698"/>
      <c r="U71" s="4698"/>
      <c r="V71" s="4698"/>
      <c r="W71" s="4698"/>
      <c r="X71" s="4698"/>
      <c r="Y71" s="4698"/>
      <c r="Z71" s="4698"/>
      <c r="AA71" s="4698"/>
    </row>
    <row r="72" spans="1:27" s="4541" customFormat="1" ht="14.25" customHeight="1">
      <c r="A72" s="4574">
        <f>+A65+1</f>
        <v>8</v>
      </c>
      <c r="B72" s="4575" t="s">
        <v>4090</v>
      </c>
      <c r="C72" s="4572"/>
      <c r="D72" s="4573"/>
      <c r="E72" s="4716"/>
      <c r="F72" s="4944">
        <f t="shared" si="5"/>
        <v>0</v>
      </c>
      <c r="G72" s="4698">
        <f t="shared" si="0"/>
        <v>0</v>
      </c>
      <c r="H72" s="4698"/>
      <c r="I72" s="4698"/>
      <c r="J72" s="4698"/>
      <c r="K72" s="4698"/>
      <c r="L72" s="4698"/>
      <c r="M72" s="4698"/>
      <c r="N72" s="4698"/>
      <c r="O72" s="4698"/>
      <c r="P72" s="4698"/>
      <c r="Q72" s="4698"/>
      <c r="R72" s="4698"/>
      <c r="S72" s="4698"/>
      <c r="T72" s="4698"/>
      <c r="U72" s="4698"/>
      <c r="V72" s="4698"/>
      <c r="W72" s="4698"/>
      <c r="X72" s="4698"/>
      <c r="Y72" s="4698"/>
      <c r="Z72" s="4698"/>
      <c r="AA72" s="4698"/>
    </row>
    <row r="73" spans="1:27" s="4672" customFormat="1" ht="30" customHeight="1">
      <c r="A73" s="4670">
        <f>0.1+A72</f>
        <v>8.1</v>
      </c>
      <c r="B73" s="4674" t="s">
        <v>4161</v>
      </c>
      <c r="C73" s="4572">
        <v>5.79</v>
      </c>
      <c r="D73" s="4573" t="s">
        <v>1</v>
      </c>
      <c r="E73" s="4718"/>
      <c r="F73" s="4944">
        <f t="shared" si="5"/>
        <v>0</v>
      </c>
      <c r="G73" s="4698">
        <f t="shared" si="0"/>
        <v>0</v>
      </c>
      <c r="H73" s="4698"/>
      <c r="I73" s="4698"/>
      <c r="J73" s="4698"/>
      <c r="K73" s="4698"/>
      <c r="L73" s="4698"/>
      <c r="M73" s="4698"/>
      <c r="N73" s="4698"/>
      <c r="O73" s="4698"/>
      <c r="P73" s="4698"/>
      <c r="Q73" s="4698"/>
      <c r="R73" s="4698"/>
      <c r="S73" s="4698"/>
      <c r="T73" s="4698"/>
      <c r="U73" s="4698"/>
      <c r="V73" s="4698"/>
      <c r="W73" s="4698"/>
      <c r="X73" s="4698"/>
      <c r="Y73" s="4698"/>
      <c r="Z73" s="4698"/>
      <c r="AA73" s="4698"/>
    </row>
    <row r="74" spans="1:27" s="4541" customFormat="1">
      <c r="A74" s="4568">
        <f t="shared" ref="A74:A81" si="9">A73+0.1</f>
        <v>8.1999999999999993</v>
      </c>
      <c r="B74" s="4569" t="s">
        <v>4123</v>
      </c>
      <c r="C74" s="4572">
        <v>1</v>
      </c>
      <c r="D74" s="4573" t="s">
        <v>2433</v>
      </c>
      <c r="E74" s="4718"/>
      <c r="F74" s="4944">
        <f t="shared" si="5"/>
        <v>0</v>
      </c>
      <c r="G74" s="4698">
        <f t="shared" si="0"/>
        <v>0</v>
      </c>
      <c r="H74" s="4698"/>
      <c r="I74" s="4698"/>
      <c r="J74" s="4698"/>
      <c r="K74" s="4698"/>
      <c r="L74" s="4698"/>
      <c r="M74" s="4698"/>
      <c r="N74" s="4698"/>
      <c r="O74" s="4698"/>
      <c r="P74" s="4698"/>
      <c r="Q74" s="4698"/>
      <c r="R74" s="4698"/>
      <c r="S74" s="4698"/>
      <c r="T74" s="4698"/>
      <c r="U74" s="4698"/>
      <c r="V74" s="4698"/>
      <c r="W74" s="4698"/>
      <c r="X74" s="4698"/>
      <c r="Y74" s="4698"/>
      <c r="Z74" s="4698"/>
      <c r="AA74" s="4698"/>
    </row>
    <row r="75" spans="1:27" s="4672" customFormat="1" ht="26.25" customHeight="1">
      <c r="A75" s="4670">
        <f t="shared" si="9"/>
        <v>8.3000000000000007</v>
      </c>
      <c r="B75" s="4750" t="s">
        <v>4133</v>
      </c>
      <c r="C75" s="4572">
        <v>20</v>
      </c>
      <c r="D75" s="4573" t="s">
        <v>2433</v>
      </c>
      <c r="E75" s="4718"/>
      <c r="F75" s="4944">
        <f t="shared" si="5"/>
        <v>0</v>
      </c>
      <c r="G75" s="4698">
        <f t="shared" si="0"/>
        <v>0</v>
      </c>
    </row>
    <row r="76" spans="1:27" s="4672" customFormat="1" ht="16.5" customHeight="1">
      <c r="A76" s="4670">
        <f t="shared" si="9"/>
        <v>8.4</v>
      </c>
      <c r="B76" s="4674" t="s">
        <v>4156</v>
      </c>
      <c r="C76" s="4590">
        <v>2</v>
      </c>
      <c r="D76" s="4573" t="s">
        <v>2433</v>
      </c>
      <c r="E76" s="4718"/>
      <c r="F76" s="4947">
        <f>ROUND(E76*C76,2)</f>
        <v>0</v>
      </c>
      <c r="G76" s="4698">
        <f t="shared" si="0"/>
        <v>0</v>
      </c>
    </row>
    <row r="77" spans="1:27" s="4672" customFormat="1" ht="25.5">
      <c r="A77" s="4670">
        <f t="shared" si="9"/>
        <v>8.5</v>
      </c>
      <c r="B77" s="4674" t="s">
        <v>4157</v>
      </c>
      <c r="C77" s="4590">
        <v>1</v>
      </c>
      <c r="D77" s="4573" t="s">
        <v>2433</v>
      </c>
      <c r="E77" s="4718"/>
      <c r="F77" s="4947">
        <f>ROUND(E77*C77,2)</f>
        <v>0</v>
      </c>
      <c r="G77" s="4698">
        <f t="shared" si="0"/>
        <v>0</v>
      </c>
    </row>
    <row r="78" spans="1:27" s="4541" customFormat="1" ht="26.25" customHeight="1">
      <c r="A78" s="4568">
        <f t="shared" si="9"/>
        <v>8.6</v>
      </c>
      <c r="B78" s="4569" t="s">
        <v>4159</v>
      </c>
      <c r="C78" s="4572">
        <v>6</v>
      </c>
      <c r="D78" s="4573" t="s">
        <v>1</v>
      </c>
      <c r="E78" s="4718"/>
      <c r="F78" s="4944">
        <f>ROUND(C78*E78,2)</f>
        <v>0</v>
      </c>
      <c r="G78" s="4698">
        <f t="shared" si="0"/>
        <v>0</v>
      </c>
      <c r="H78" s="4698"/>
      <c r="I78" s="4698"/>
      <c r="J78" s="4698"/>
      <c r="K78" s="4698"/>
      <c r="L78" s="4698"/>
      <c r="M78" s="4698"/>
      <c r="N78" s="4698"/>
      <c r="O78" s="4698"/>
      <c r="P78" s="4698"/>
      <c r="Q78" s="4698"/>
      <c r="R78" s="4698"/>
      <c r="S78" s="4698"/>
      <c r="T78" s="4698"/>
      <c r="U78" s="4698"/>
      <c r="V78" s="4698"/>
      <c r="W78" s="4698"/>
      <c r="X78" s="4698"/>
      <c r="Y78" s="4698"/>
      <c r="Z78" s="4698"/>
      <c r="AA78" s="4698"/>
    </row>
    <row r="79" spans="1:27" s="4672" customFormat="1" ht="25.5" customHeight="1">
      <c r="A79" s="4675">
        <f t="shared" si="9"/>
        <v>8.6999999999999993</v>
      </c>
      <c r="B79" s="4674" t="s">
        <v>4158</v>
      </c>
      <c r="C79" s="4676">
        <v>6</v>
      </c>
      <c r="D79" s="4677" t="s">
        <v>1</v>
      </c>
      <c r="E79" s="4718"/>
      <c r="F79" s="4944">
        <f>ROUND(C79*E79,2)</f>
        <v>0</v>
      </c>
      <c r="G79" s="4698">
        <f t="shared" ref="G79:G144" si="10">+E79*C79</f>
        <v>0</v>
      </c>
      <c r="H79" s="4698"/>
      <c r="I79" s="4698"/>
      <c r="J79" s="4698"/>
      <c r="K79" s="4698"/>
      <c r="L79" s="4698"/>
      <c r="M79" s="4698"/>
      <c r="N79" s="4698"/>
      <c r="O79" s="4698"/>
      <c r="P79" s="4698"/>
      <c r="Q79" s="4698"/>
      <c r="R79" s="4698"/>
      <c r="S79" s="4698"/>
      <c r="T79" s="4698"/>
      <c r="U79" s="4698"/>
      <c r="V79" s="4698"/>
      <c r="W79" s="4698"/>
      <c r="X79" s="4698"/>
      <c r="Y79" s="4698"/>
      <c r="Z79" s="4698"/>
      <c r="AA79" s="4698"/>
    </row>
    <row r="80" spans="1:27" s="4541" customFormat="1" ht="26.25" customHeight="1">
      <c r="A80" s="4568">
        <f t="shared" si="9"/>
        <v>8.8000000000000007</v>
      </c>
      <c r="B80" s="4569" t="s">
        <v>4163</v>
      </c>
      <c r="C80" s="4572">
        <v>6</v>
      </c>
      <c r="D80" s="4573" t="s">
        <v>1</v>
      </c>
      <c r="E80" s="4718"/>
      <c r="F80" s="4944">
        <f>ROUND(E80*C80,2)</f>
        <v>0</v>
      </c>
      <c r="G80" s="4698">
        <f t="shared" si="10"/>
        <v>0</v>
      </c>
      <c r="H80" s="4698"/>
      <c r="I80" s="4698"/>
      <c r="J80" s="4698"/>
      <c r="K80" s="4698"/>
      <c r="L80" s="4698"/>
      <c r="M80" s="4698"/>
      <c r="N80" s="4698"/>
      <c r="O80" s="4698"/>
      <c r="P80" s="4698"/>
      <c r="Q80" s="4698"/>
      <c r="R80" s="4698"/>
      <c r="S80" s="4698"/>
      <c r="T80" s="4698"/>
      <c r="U80" s="4698"/>
      <c r="V80" s="4698"/>
      <c r="W80" s="4698"/>
      <c r="X80" s="4698"/>
      <c r="Y80" s="4698"/>
      <c r="Z80" s="4698"/>
      <c r="AA80" s="4698"/>
    </row>
    <row r="81" spans="1:27" s="4541" customFormat="1" ht="14.25" customHeight="1">
      <c r="A81" s="4568">
        <f t="shared" si="9"/>
        <v>8.9</v>
      </c>
      <c r="B81" s="4569" t="s">
        <v>4162</v>
      </c>
      <c r="C81" s="4572">
        <v>3</v>
      </c>
      <c r="D81" s="4573" t="s">
        <v>2433</v>
      </c>
      <c r="E81" s="4718"/>
      <c r="F81" s="4944">
        <f>ROUND(C81*E81,2)</f>
        <v>0</v>
      </c>
      <c r="G81" s="4698">
        <f t="shared" si="10"/>
        <v>0</v>
      </c>
      <c r="H81" s="4698"/>
      <c r="I81" s="4698"/>
      <c r="J81" s="4698"/>
      <c r="K81" s="4698"/>
      <c r="L81" s="4698"/>
      <c r="M81" s="4698"/>
      <c r="N81" s="4698"/>
      <c r="O81" s="4698"/>
      <c r="P81" s="4698"/>
      <c r="Q81" s="4698"/>
      <c r="R81" s="4698"/>
      <c r="S81" s="4698"/>
      <c r="T81" s="4698"/>
      <c r="U81" s="4698"/>
      <c r="V81" s="4698"/>
      <c r="W81" s="4698"/>
      <c r="X81" s="4698"/>
      <c r="Y81" s="4698"/>
      <c r="Z81" s="4698"/>
      <c r="AA81" s="4698"/>
    </row>
    <row r="82" spans="1:27" s="4541" customFormat="1">
      <c r="A82" s="4589">
        <v>8.1</v>
      </c>
      <c r="B82" s="4569" t="s">
        <v>4128</v>
      </c>
      <c r="C82" s="4572">
        <v>3</v>
      </c>
      <c r="D82" s="4573" t="s">
        <v>2433</v>
      </c>
      <c r="E82" s="4718"/>
      <c r="F82" s="4944">
        <f>ROUND(C82*E82,2)</f>
        <v>0</v>
      </c>
      <c r="G82" s="4698">
        <f t="shared" si="10"/>
        <v>0</v>
      </c>
      <c r="H82" s="4698"/>
      <c r="I82" s="4698"/>
      <c r="J82" s="4698"/>
      <c r="K82" s="4698"/>
      <c r="L82" s="4698"/>
      <c r="M82" s="4698"/>
      <c r="N82" s="4698"/>
      <c r="O82" s="4698"/>
      <c r="P82" s="4698"/>
      <c r="Q82" s="4698"/>
      <c r="R82" s="4698"/>
      <c r="S82" s="4698"/>
      <c r="T82" s="4698"/>
      <c r="U82" s="4698"/>
      <c r="V82" s="4698"/>
      <c r="W82" s="4698"/>
      <c r="X82" s="4698"/>
      <c r="Y82" s="4698"/>
      <c r="Z82" s="4698"/>
      <c r="AA82" s="4698"/>
    </row>
    <row r="83" spans="1:27" s="4543" customFormat="1" ht="14.25" customHeight="1">
      <c r="A83" s="4690"/>
      <c r="B83" s="4691" t="s">
        <v>4042</v>
      </c>
      <c r="C83" s="4692"/>
      <c r="D83" s="4693"/>
      <c r="E83" s="4719"/>
      <c r="F83" s="4948">
        <f>SUM(F9:F82)</f>
        <v>0</v>
      </c>
      <c r="G83" s="4698">
        <f t="shared" si="10"/>
        <v>0</v>
      </c>
      <c r="H83" s="4698"/>
      <c r="I83" s="4698"/>
      <c r="J83" s="4698"/>
      <c r="K83" s="4698"/>
      <c r="L83" s="4698"/>
      <c r="M83" s="4698"/>
      <c r="N83" s="4698"/>
      <c r="O83" s="4698"/>
      <c r="P83" s="4698"/>
      <c r="Q83" s="4698"/>
      <c r="R83" s="4698"/>
      <c r="S83" s="4698"/>
      <c r="T83" s="4698"/>
      <c r="U83" s="4698"/>
      <c r="V83" s="4698"/>
      <c r="W83" s="4698"/>
      <c r="X83" s="4698"/>
      <c r="Y83" s="4698"/>
      <c r="Z83" s="4698"/>
      <c r="AA83" s="4698"/>
    </row>
    <row r="84" spans="1:27">
      <c r="A84" s="4592"/>
      <c r="B84" s="4593"/>
      <c r="C84" s="4594"/>
      <c r="D84" s="4595"/>
      <c r="E84" s="4720"/>
      <c r="F84" s="4620"/>
      <c r="G84" s="4698">
        <f t="shared" si="10"/>
        <v>0</v>
      </c>
      <c r="H84" s="4532"/>
      <c r="I84" s="4532"/>
      <c r="J84" s="4532"/>
      <c r="K84" s="4532"/>
      <c r="L84" s="4532"/>
      <c r="M84" s="4532"/>
      <c r="N84" s="4532"/>
      <c r="O84" s="4532"/>
      <c r="P84" s="4532"/>
      <c r="Q84" s="4532"/>
      <c r="R84" s="4532"/>
      <c r="S84" s="4532"/>
      <c r="T84" s="4532"/>
      <c r="U84" s="4532"/>
      <c r="V84" s="4532"/>
      <c r="W84" s="4532"/>
      <c r="X84" s="4532"/>
      <c r="Y84" s="4532"/>
      <c r="Z84" s="4532"/>
      <c r="AA84" s="4532"/>
    </row>
    <row r="85" spans="1:27" s="4536" customFormat="1" ht="25.5">
      <c r="A85" s="4597" t="s">
        <v>9</v>
      </c>
      <c r="B85" s="4598" t="s">
        <v>4049</v>
      </c>
      <c r="C85" s="4599"/>
      <c r="D85" s="4600"/>
      <c r="E85" s="4721"/>
      <c r="F85" s="4949"/>
      <c r="G85" s="4698">
        <f t="shared" si="10"/>
        <v>0</v>
      </c>
      <c r="H85" s="4700"/>
      <c r="I85" s="4700"/>
      <c r="J85" s="4700"/>
      <c r="K85" s="4700"/>
      <c r="L85" s="4700"/>
      <c r="M85" s="4700"/>
      <c r="N85" s="4700"/>
      <c r="O85" s="4700"/>
      <c r="P85" s="4700"/>
      <c r="Q85" s="4700"/>
      <c r="R85" s="4700"/>
      <c r="S85" s="4700"/>
      <c r="T85" s="4700"/>
      <c r="U85" s="4700"/>
      <c r="V85" s="4700"/>
      <c r="W85" s="4700"/>
      <c r="X85" s="4700"/>
      <c r="Y85" s="4700"/>
      <c r="Z85" s="4700"/>
      <c r="AA85" s="4700"/>
    </row>
    <row r="86" spans="1:27">
      <c r="A86" s="4592"/>
      <c r="B86" s="4593"/>
      <c r="C86" s="4594"/>
      <c r="D86" s="4595"/>
      <c r="E86" s="4720"/>
      <c r="F86" s="4620"/>
      <c r="G86" s="4698">
        <f t="shared" si="10"/>
        <v>0</v>
      </c>
      <c r="H86" s="4532"/>
      <c r="I86" s="4532"/>
      <c r="J86" s="4532"/>
      <c r="K86" s="4532"/>
      <c r="L86" s="4532"/>
      <c r="M86" s="4532"/>
      <c r="N86" s="4532"/>
      <c r="O86" s="4532"/>
      <c r="P86" s="4532"/>
      <c r="Q86" s="4532"/>
      <c r="R86" s="4532"/>
      <c r="S86" s="4532"/>
      <c r="T86" s="4532"/>
      <c r="U86" s="4532"/>
      <c r="V86" s="4532"/>
      <c r="W86" s="4532"/>
      <c r="X86" s="4532"/>
      <c r="Y86" s="4532"/>
      <c r="Z86" s="4532"/>
      <c r="AA86" s="4532"/>
    </row>
    <row r="87" spans="1:27" s="4544" customFormat="1">
      <c r="A87" s="4601">
        <v>1</v>
      </c>
      <c r="B87" s="4602" t="s">
        <v>2165</v>
      </c>
      <c r="C87" s="4603"/>
      <c r="D87" s="4604"/>
      <c r="E87" s="4722"/>
      <c r="F87" s="4950"/>
      <c r="G87" s="4698">
        <f t="shared" si="10"/>
        <v>0</v>
      </c>
      <c r="H87" s="4532"/>
      <c r="I87" s="4532"/>
      <c r="J87" s="4532"/>
      <c r="K87" s="4532"/>
      <c r="L87" s="4532"/>
      <c r="M87" s="4532"/>
      <c r="N87" s="4532"/>
      <c r="O87" s="4532"/>
      <c r="P87" s="4532"/>
      <c r="Q87" s="4532"/>
      <c r="R87" s="4532"/>
      <c r="S87" s="4532"/>
      <c r="T87" s="4532"/>
      <c r="U87" s="4532"/>
      <c r="V87" s="4532"/>
      <c r="W87" s="4532"/>
      <c r="X87" s="4532"/>
      <c r="Y87" s="4532"/>
      <c r="Z87" s="4532"/>
      <c r="AA87" s="4532"/>
    </row>
    <row r="88" spans="1:27" s="4540" customFormat="1" ht="12.75" customHeight="1">
      <c r="A88" s="4605">
        <v>1.1000000000000001</v>
      </c>
      <c r="B88" s="4569" t="s">
        <v>4140</v>
      </c>
      <c r="C88" s="4599">
        <v>24000</v>
      </c>
      <c r="D88" s="4570" t="s">
        <v>11</v>
      </c>
      <c r="E88" s="4715"/>
      <c r="F88" s="4943">
        <f>ROUND(C88*E88,2)</f>
        <v>0</v>
      </c>
      <c r="G88" s="4698"/>
      <c r="H88" s="4700"/>
      <c r="I88" s="4700"/>
      <c r="J88" s="4700"/>
      <c r="K88" s="4700"/>
    </row>
    <row r="89" spans="1:27" s="4537" customFormat="1">
      <c r="A89" s="4605">
        <v>1.2</v>
      </c>
      <c r="B89" s="4606" t="s">
        <v>2353</v>
      </c>
      <c r="C89" s="4603">
        <v>8811.2999999999993</v>
      </c>
      <c r="D89" s="4604" t="s">
        <v>1</v>
      </c>
      <c r="E89" s="4715"/>
      <c r="F89" s="4943">
        <f t="shared" ref="F89:F147" si="11">ROUND(C89*E89,2)</f>
        <v>0</v>
      </c>
      <c r="G89" s="4698">
        <f t="shared" si="10"/>
        <v>0</v>
      </c>
      <c r="H89" s="4700"/>
      <c r="I89" s="4700"/>
      <c r="J89" s="4700"/>
      <c r="K89" s="4700"/>
      <c r="L89" s="4532"/>
      <c r="M89" s="4532"/>
      <c r="N89" s="4532"/>
      <c r="O89" s="4532"/>
      <c r="P89" s="4532"/>
      <c r="Q89" s="4532"/>
      <c r="R89" s="4532"/>
      <c r="S89" s="4532"/>
      <c r="T89" s="4532"/>
      <c r="U89" s="4532"/>
      <c r="V89" s="4532"/>
      <c r="W89" s="4532"/>
      <c r="X89" s="4532"/>
      <c r="Y89" s="4532"/>
      <c r="Z89" s="4532"/>
      <c r="AA89" s="4532"/>
    </row>
    <row r="90" spans="1:27" s="4544" customFormat="1">
      <c r="A90" s="4607"/>
      <c r="B90" s="4606"/>
      <c r="C90" s="4603"/>
      <c r="D90" s="4604"/>
      <c r="E90" s="4722"/>
      <c r="F90" s="4943">
        <f t="shared" si="11"/>
        <v>0</v>
      </c>
      <c r="G90" s="4698">
        <f t="shared" si="10"/>
        <v>0</v>
      </c>
      <c r="H90" s="4700"/>
      <c r="I90" s="4700"/>
      <c r="J90" s="4700"/>
      <c r="K90" s="4700"/>
      <c r="L90" s="4532"/>
      <c r="M90" s="4532"/>
      <c r="N90" s="4532"/>
      <c r="O90" s="4532"/>
      <c r="P90" s="4532"/>
      <c r="Q90" s="4532"/>
      <c r="R90" s="4532"/>
      <c r="S90" s="4532"/>
      <c r="T90" s="4532"/>
      <c r="U90" s="4532"/>
      <c r="V90" s="4532"/>
      <c r="W90" s="4532"/>
      <c r="X90" s="4532"/>
      <c r="Y90" s="4532"/>
      <c r="Z90" s="4532"/>
      <c r="AA90" s="4532"/>
    </row>
    <row r="91" spans="1:27">
      <c r="A91" s="4608">
        <f>A89+1</f>
        <v>2</v>
      </c>
      <c r="B91" s="4609" t="s">
        <v>38</v>
      </c>
      <c r="C91" s="4603"/>
      <c r="D91" s="4604"/>
      <c r="E91" s="4722"/>
      <c r="F91" s="4943">
        <f t="shared" si="11"/>
        <v>0</v>
      </c>
      <c r="G91" s="4698">
        <f t="shared" si="10"/>
        <v>0</v>
      </c>
      <c r="H91" s="4700"/>
      <c r="I91" s="4700"/>
      <c r="J91" s="4700"/>
      <c r="K91" s="4700"/>
      <c r="L91" s="4532"/>
      <c r="M91" s="4532"/>
      <c r="N91" s="4532"/>
      <c r="O91" s="4532"/>
      <c r="P91" s="4532"/>
      <c r="Q91" s="4532"/>
      <c r="R91" s="4532"/>
      <c r="S91" s="4532"/>
      <c r="T91" s="4532"/>
      <c r="U91" s="4532"/>
      <c r="V91" s="4532"/>
      <c r="W91" s="4532"/>
      <c r="X91" s="4532"/>
      <c r="Y91" s="4532"/>
      <c r="Z91" s="4532"/>
      <c r="AA91" s="4532"/>
    </row>
    <row r="92" spans="1:27" s="4266" customFormat="1" ht="25.5">
      <c r="A92" s="4678">
        <f>A91+0.1</f>
        <v>2.1</v>
      </c>
      <c r="B92" s="4737" t="s">
        <v>4164</v>
      </c>
      <c r="C92" s="4679">
        <v>1375.41</v>
      </c>
      <c r="D92" s="4610" t="s">
        <v>4091</v>
      </c>
      <c r="E92" s="4715"/>
      <c r="F92" s="4943">
        <f t="shared" si="11"/>
        <v>0</v>
      </c>
      <c r="G92" s="4698">
        <f t="shared" si="10"/>
        <v>0</v>
      </c>
      <c r="H92" s="4700"/>
      <c r="I92" s="4700"/>
      <c r="J92" s="4700"/>
      <c r="K92" s="4700"/>
      <c r="L92" s="4532"/>
      <c r="M92" s="4532"/>
      <c r="N92" s="4532"/>
      <c r="O92" s="4532"/>
      <c r="P92" s="4532"/>
      <c r="Q92" s="4532"/>
      <c r="R92" s="4532"/>
      <c r="S92" s="4532"/>
      <c r="T92" s="4532"/>
      <c r="U92" s="4532"/>
      <c r="V92" s="4532"/>
      <c r="W92" s="4532"/>
      <c r="X92" s="4532"/>
      <c r="Y92" s="4532"/>
      <c r="Z92" s="4532"/>
      <c r="AA92" s="4532"/>
    </row>
    <row r="93" spans="1:27" s="4266" customFormat="1" ht="25.5">
      <c r="A93" s="4678">
        <f>A92+0.1</f>
        <v>2.2000000000000002</v>
      </c>
      <c r="B93" s="4674" t="s">
        <v>4171</v>
      </c>
      <c r="C93" s="4679">
        <v>7793.98</v>
      </c>
      <c r="D93" s="4610" t="s">
        <v>4091</v>
      </c>
      <c r="E93" s="4715"/>
      <c r="F93" s="4943">
        <f t="shared" si="11"/>
        <v>0</v>
      </c>
      <c r="G93" s="4672">
        <f t="shared" ref="G93" si="12">+E93*C93</f>
        <v>0</v>
      </c>
    </row>
    <row r="94" spans="1:27" s="4266" customFormat="1">
      <c r="A94" s="4678">
        <f t="shared" ref="A94:A97" si="13">A93+0.1</f>
        <v>2.2999999999999998</v>
      </c>
      <c r="B94" s="4765" t="s">
        <v>4050</v>
      </c>
      <c r="C94" s="4611">
        <v>277.45999999999998</v>
      </c>
      <c r="D94" s="4600" t="s">
        <v>3177</v>
      </c>
      <c r="E94" s="4715"/>
      <c r="F94" s="4943">
        <f t="shared" si="11"/>
        <v>0</v>
      </c>
      <c r="G94" s="4672">
        <f t="shared" si="10"/>
        <v>0</v>
      </c>
      <c r="H94" s="4766"/>
    </row>
    <row r="95" spans="1:27" s="4672" customFormat="1" ht="24.75" customHeight="1">
      <c r="A95" s="4678">
        <f t="shared" si="13"/>
        <v>2.4</v>
      </c>
      <c r="B95" s="4737" t="s">
        <v>4165</v>
      </c>
      <c r="C95" s="4599">
        <v>1650.49</v>
      </c>
      <c r="D95" s="4570" t="s">
        <v>3156</v>
      </c>
      <c r="E95" s="4715"/>
      <c r="F95" s="4943">
        <f t="shared" si="11"/>
        <v>0</v>
      </c>
      <c r="G95" s="4672">
        <f t="shared" si="10"/>
        <v>0</v>
      </c>
      <c r="H95" s="4764"/>
    </row>
    <row r="96" spans="1:27" s="4266" customFormat="1" ht="25.5" customHeight="1">
      <c r="A96" s="4678">
        <f t="shared" si="13"/>
        <v>2.5</v>
      </c>
      <c r="B96" s="4674" t="s">
        <v>4051</v>
      </c>
      <c r="C96" s="4612">
        <v>8083.24</v>
      </c>
      <c r="D96" s="4610" t="s">
        <v>4092</v>
      </c>
      <c r="E96" s="4715"/>
      <c r="F96" s="4943">
        <f t="shared" si="11"/>
        <v>0</v>
      </c>
      <c r="G96" s="4672">
        <f t="shared" si="10"/>
        <v>0</v>
      </c>
    </row>
    <row r="97" spans="1:27" s="4266" customFormat="1" ht="25.5">
      <c r="A97" s="4678">
        <f t="shared" si="13"/>
        <v>2.6</v>
      </c>
      <c r="B97" s="4674" t="s">
        <v>4106</v>
      </c>
      <c r="C97" s="4612">
        <v>3160.18</v>
      </c>
      <c r="D97" s="4610" t="s">
        <v>4093</v>
      </c>
      <c r="E97" s="4715"/>
      <c r="F97" s="4943">
        <f t="shared" si="11"/>
        <v>0</v>
      </c>
      <c r="G97" s="4672">
        <f t="shared" si="10"/>
        <v>0</v>
      </c>
    </row>
    <row r="98" spans="1:27" s="4266" customFormat="1">
      <c r="A98" s="4767"/>
      <c r="B98" s="4768"/>
      <c r="C98" s="4603"/>
      <c r="D98" s="4604"/>
      <c r="E98" s="4722"/>
      <c r="F98" s="4943">
        <f t="shared" si="11"/>
        <v>0</v>
      </c>
      <c r="G98" s="4672">
        <f t="shared" si="10"/>
        <v>0</v>
      </c>
    </row>
    <row r="99" spans="1:27" s="4544" customFormat="1">
      <c r="A99" s="4608">
        <f>A91+1</f>
        <v>3</v>
      </c>
      <c r="B99" s="4614" t="s">
        <v>4052</v>
      </c>
      <c r="C99" s="4603"/>
      <c r="D99" s="4604"/>
      <c r="E99" s="4722"/>
      <c r="F99" s="4943">
        <f t="shared" si="11"/>
        <v>0</v>
      </c>
      <c r="G99" s="4698">
        <f t="shared" si="10"/>
        <v>0</v>
      </c>
      <c r="H99" s="4532"/>
      <c r="I99" s="4532"/>
      <c r="J99" s="4532"/>
      <c r="K99" s="4532"/>
      <c r="L99" s="4532"/>
      <c r="M99" s="4532"/>
      <c r="N99" s="4532"/>
      <c r="O99" s="4532"/>
      <c r="P99" s="4532"/>
      <c r="Q99" s="4532"/>
      <c r="R99" s="4532"/>
      <c r="S99" s="4532"/>
      <c r="T99" s="4532"/>
      <c r="U99" s="4532"/>
      <c r="V99" s="4532"/>
      <c r="W99" s="4532"/>
      <c r="X99" s="4532"/>
      <c r="Y99" s="4532"/>
      <c r="Z99" s="4532"/>
      <c r="AA99" s="4532"/>
    </row>
    <row r="100" spans="1:27" s="4537" customFormat="1">
      <c r="A100" s="4615">
        <f>A99+0.1</f>
        <v>3.1</v>
      </c>
      <c r="B100" s="4606" t="s">
        <v>4094</v>
      </c>
      <c r="C100" s="4603">
        <v>3572.26</v>
      </c>
      <c r="D100" s="4616" t="s">
        <v>1</v>
      </c>
      <c r="E100" s="4715"/>
      <c r="F100" s="4943">
        <f t="shared" si="11"/>
        <v>0</v>
      </c>
      <c r="G100" s="4698">
        <f t="shared" si="10"/>
        <v>0</v>
      </c>
      <c r="H100" s="4532"/>
      <c r="I100" s="4532"/>
      <c r="J100" s="4532"/>
      <c r="K100" s="4532"/>
      <c r="L100" s="4532"/>
      <c r="M100" s="4532"/>
      <c r="N100" s="4532"/>
      <c r="O100" s="4532"/>
      <c r="P100" s="4532"/>
      <c r="Q100" s="4532"/>
      <c r="R100" s="4532"/>
      <c r="S100" s="4532"/>
      <c r="T100" s="4532"/>
      <c r="U100" s="4532"/>
      <c r="V100" s="4532"/>
      <c r="W100" s="4532"/>
      <c r="X100" s="4532"/>
      <c r="Y100" s="4532"/>
      <c r="Z100" s="4532"/>
      <c r="AA100" s="4532"/>
    </row>
    <row r="101" spans="1:27" s="4537" customFormat="1">
      <c r="A101" s="4615">
        <f>A100+0.1</f>
        <v>3.2</v>
      </c>
      <c r="B101" s="4593" t="s">
        <v>4053</v>
      </c>
      <c r="C101" s="4617">
        <v>5343.09</v>
      </c>
      <c r="D101" s="4618" t="s">
        <v>1</v>
      </c>
      <c r="E101" s="4715"/>
      <c r="F101" s="4943">
        <f t="shared" si="11"/>
        <v>0</v>
      </c>
      <c r="G101" s="4698">
        <f t="shared" si="10"/>
        <v>0</v>
      </c>
      <c r="H101" s="4532"/>
      <c r="I101" s="4532"/>
      <c r="J101" s="4532"/>
      <c r="K101" s="4532"/>
      <c r="L101" s="4532"/>
      <c r="M101" s="4532"/>
      <c r="N101" s="4532"/>
      <c r="O101" s="4532"/>
      <c r="P101" s="4532"/>
      <c r="Q101" s="4532"/>
      <c r="R101" s="4532"/>
      <c r="S101" s="4532"/>
      <c r="T101" s="4532"/>
      <c r="U101" s="4532"/>
      <c r="V101" s="4532"/>
      <c r="W101" s="4532"/>
      <c r="X101" s="4532"/>
      <c r="Y101" s="4532"/>
      <c r="Z101" s="4532"/>
      <c r="AA101" s="4532"/>
    </row>
    <row r="102" spans="1:27">
      <c r="A102" s="4615"/>
      <c r="B102" s="4606"/>
      <c r="C102" s="4603"/>
      <c r="D102" s="4616"/>
      <c r="E102" s="4723"/>
      <c r="F102" s="4943">
        <f t="shared" si="11"/>
        <v>0</v>
      </c>
      <c r="G102" s="4698">
        <f t="shared" si="10"/>
        <v>0</v>
      </c>
      <c r="H102" s="4532"/>
      <c r="I102" s="4532"/>
      <c r="J102" s="4532"/>
      <c r="K102" s="4532"/>
      <c r="L102" s="4532"/>
      <c r="M102" s="4532"/>
      <c r="N102" s="4532"/>
      <c r="O102" s="4532"/>
      <c r="P102" s="4532"/>
      <c r="Q102" s="4532"/>
      <c r="R102" s="4532"/>
      <c r="S102" s="4532"/>
      <c r="T102" s="4532"/>
      <c r="U102" s="4532"/>
      <c r="V102" s="4532"/>
      <c r="W102" s="4532"/>
      <c r="X102" s="4532"/>
      <c r="Y102" s="4532"/>
      <c r="Z102" s="4532"/>
      <c r="AA102" s="4532"/>
    </row>
    <row r="103" spans="1:27">
      <c r="A103" s="4608">
        <f>A99+1</f>
        <v>4</v>
      </c>
      <c r="B103" s="4619" t="s">
        <v>4054</v>
      </c>
      <c r="C103" s="4603"/>
      <c r="D103" s="4604"/>
      <c r="E103" s="4723"/>
      <c r="F103" s="4943">
        <f t="shared" si="11"/>
        <v>0</v>
      </c>
      <c r="G103" s="4698">
        <f t="shared" si="10"/>
        <v>0</v>
      </c>
      <c r="H103" s="4532"/>
      <c r="I103" s="4532"/>
      <c r="J103" s="4532"/>
      <c r="K103" s="4532"/>
      <c r="L103" s="4532"/>
      <c r="M103" s="4532"/>
      <c r="N103" s="4532"/>
      <c r="O103" s="4532"/>
      <c r="P103" s="4532"/>
      <c r="Q103" s="4532"/>
      <c r="R103" s="4532"/>
      <c r="S103" s="4532"/>
      <c r="T103" s="4532"/>
      <c r="U103" s="4532"/>
      <c r="V103" s="4532"/>
      <c r="W103" s="4532"/>
      <c r="X103" s="4532"/>
      <c r="Y103" s="4532"/>
      <c r="Z103" s="4532"/>
      <c r="AA103" s="4532"/>
    </row>
    <row r="104" spans="1:27" s="4537" customFormat="1">
      <c r="A104" s="4615">
        <f>A103+0.1</f>
        <v>4.0999999999999996</v>
      </c>
      <c r="B104" s="4593" t="s">
        <v>4055</v>
      </c>
      <c r="C104" s="4603">
        <v>3468.21</v>
      </c>
      <c r="D104" s="4604" t="s">
        <v>1</v>
      </c>
      <c r="E104" s="4715"/>
      <c r="F104" s="4943">
        <f t="shared" si="11"/>
        <v>0</v>
      </c>
      <c r="G104" s="4698">
        <f t="shared" si="10"/>
        <v>0</v>
      </c>
      <c r="H104" s="4532"/>
      <c r="I104" s="4532"/>
      <c r="J104" s="4532"/>
      <c r="K104" s="4532"/>
      <c r="L104" s="4532"/>
      <c r="M104" s="4532"/>
      <c r="N104" s="4532"/>
      <c r="O104" s="4532"/>
      <c r="P104" s="4532"/>
      <c r="Q104" s="4532"/>
      <c r="R104" s="4532"/>
      <c r="S104" s="4532"/>
      <c r="T104" s="4532"/>
      <c r="U104" s="4532"/>
      <c r="V104" s="4532"/>
      <c r="W104" s="4532"/>
      <c r="X104" s="4532"/>
      <c r="Y104" s="4532"/>
      <c r="Z104" s="4532"/>
      <c r="AA104" s="4532"/>
    </row>
    <row r="105" spans="1:27" s="4537" customFormat="1">
      <c r="A105" s="4615">
        <f>A104+0.1</f>
        <v>4.2</v>
      </c>
      <c r="B105" s="4593" t="s">
        <v>4053</v>
      </c>
      <c r="C105" s="4617">
        <v>5343.09</v>
      </c>
      <c r="D105" s="4618" t="s">
        <v>1</v>
      </c>
      <c r="E105" s="4715"/>
      <c r="F105" s="4943">
        <f t="shared" si="11"/>
        <v>0</v>
      </c>
      <c r="G105" s="4698">
        <f t="shared" si="10"/>
        <v>0</v>
      </c>
      <c r="H105" s="4532"/>
      <c r="I105" s="4532"/>
      <c r="J105" s="4532"/>
      <c r="K105" s="4532"/>
      <c r="L105" s="4532"/>
      <c r="M105" s="4532"/>
      <c r="N105" s="4532"/>
      <c r="O105" s="4532"/>
      <c r="P105" s="4532"/>
      <c r="Q105" s="4532"/>
      <c r="R105" s="4532"/>
      <c r="S105" s="4532"/>
      <c r="T105" s="4532"/>
      <c r="U105" s="4532"/>
      <c r="V105" s="4532"/>
      <c r="W105" s="4532"/>
      <c r="X105" s="4532"/>
      <c r="Y105" s="4532"/>
      <c r="Z105" s="4532"/>
      <c r="AA105" s="4532"/>
    </row>
    <row r="106" spans="1:27">
      <c r="A106" s="4608"/>
      <c r="B106" s="4609"/>
      <c r="C106" s="4603"/>
      <c r="D106" s="4604"/>
      <c r="E106" s="4723"/>
      <c r="F106" s="4943">
        <f t="shared" si="11"/>
        <v>0</v>
      </c>
      <c r="G106" s="4698">
        <f t="shared" si="10"/>
        <v>0</v>
      </c>
      <c r="H106" s="4532"/>
      <c r="I106" s="4532"/>
      <c r="J106" s="4532"/>
      <c r="K106" s="4532"/>
      <c r="L106" s="4532"/>
      <c r="M106" s="4532"/>
      <c r="N106" s="4532"/>
      <c r="O106" s="4532"/>
      <c r="P106" s="4532"/>
      <c r="Q106" s="4532"/>
      <c r="R106" s="4532"/>
      <c r="S106" s="4532"/>
      <c r="T106" s="4532"/>
      <c r="U106" s="4532"/>
      <c r="V106" s="4532"/>
      <c r="W106" s="4532"/>
      <c r="X106" s="4532"/>
      <c r="Y106" s="4532"/>
      <c r="Z106" s="4532"/>
      <c r="AA106" s="4532"/>
    </row>
    <row r="107" spans="1:27" s="4260" customFormat="1" ht="25.5" customHeight="1">
      <c r="A107" s="4608">
        <f>A103+1</f>
        <v>5</v>
      </c>
      <c r="B107" s="4602" t="s">
        <v>4056</v>
      </c>
      <c r="C107" s="4620"/>
      <c r="D107" s="4621"/>
      <c r="E107" s="4668"/>
      <c r="F107" s="4943">
        <f t="shared" si="11"/>
        <v>0</v>
      </c>
      <c r="G107" s="4698">
        <f t="shared" si="10"/>
        <v>0</v>
      </c>
      <c r="H107" s="4259"/>
      <c r="I107" s="4259"/>
      <c r="J107" s="4259"/>
      <c r="K107" s="4259"/>
      <c r="L107" s="4259"/>
      <c r="M107" s="4259"/>
      <c r="N107" s="4259"/>
      <c r="O107" s="4259"/>
      <c r="P107" s="4259"/>
      <c r="Q107" s="4259"/>
      <c r="R107" s="4259"/>
      <c r="S107" s="4259"/>
      <c r="T107" s="4259"/>
      <c r="U107" s="4259"/>
      <c r="V107" s="4259"/>
      <c r="W107" s="4259"/>
      <c r="X107" s="4259"/>
      <c r="Y107" s="4259"/>
      <c r="Z107" s="4259"/>
      <c r="AA107" s="4259"/>
    </row>
    <row r="108" spans="1:27" s="4537" customFormat="1">
      <c r="A108" s="4615">
        <f t="shared" ref="A108:A116" si="14">A107+0.1</f>
        <v>5.0999999999999996</v>
      </c>
      <c r="B108" s="4593" t="s">
        <v>4057</v>
      </c>
      <c r="C108" s="4596">
        <v>37</v>
      </c>
      <c r="D108" s="4622" t="s">
        <v>2433</v>
      </c>
      <c r="E108" s="4715"/>
      <c r="F108" s="4943">
        <f t="shared" si="11"/>
        <v>0</v>
      </c>
      <c r="G108" s="4698">
        <f t="shared" si="10"/>
        <v>0</v>
      </c>
      <c r="H108" s="4532"/>
      <c r="I108" s="4532"/>
      <c r="J108" s="4532"/>
      <c r="K108" s="4532"/>
      <c r="L108" s="4532"/>
      <c r="M108" s="4532"/>
      <c r="N108" s="4532"/>
      <c r="O108" s="4532"/>
      <c r="P108" s="4532"/>
      <c r="Q108" s="4532"/>
      <c r="R108" s="4532"/>
      <c r="S108" s="4532"/>
      <c r="T108" s="4532"/>
      <c r="U108" s="4532"/>
      <c r="V108" s="4532"/>
      <c r="W108" s="4532"/>
      <c r="X108" s="4532"/>
      <c r="Y108" s="4532"/>
      <c r="Z108" s="4532"/>
      <c r="AA108" s="4532"/>
    </row>
    <row r="109" spans="1:27" s="4537" customFormat="1">
      <c r="A109" s="4615">
        <f t="shared" si="14"/>
        <v>5.2</v>
      </c>
      <c r="B109" s="4593" t="s">
        <v>4058</v>
      </c>
      <c r="C109" s="4596">
        <v>29</v>
      </c>
      <c r="D109" s="4622" t="s">
        <v>2433</v>
      </c>
      <c r="E109" s="4715"/>
      <c r="F109" s="4943">
        <f t="shared" si="11"/>
        <v>0</v>
      </c>
      <c r="G109" s="4698">
        <f t="shared" si="10"/>
        <v>0</v>
      </c>
      <c r="H109" s="4532"/>
      <c r="I109" s="4532"/>
      <c r="J109" s="4532"/>
      <c r="K109" s="4532"/>
      <c r="L109" s="4532"/>
      <c r="M109" s="4532"/>
      <c r="N109" s="4532"/>
      <c r="O109" s="4532"/>
      <c r="P109" s="4532"/>
      <c r="Q109" s="4532"/>
      <c r="R109" s="4532"/>
      <c r="S109" s="4532"/>
      <c r="T109" s="4532"/>
      <c r="U109" s="4532"/>
      <c r="V109" s="4532"/>
      <c r="W109" s="4532"/>
      <c r="X109" s="4532"/>
      <c r="Y109" s="4532"/>
      <c r="Z109" s="4532"/>
      <c r="AA109" s="4532"/>
    </row>
    <row r="110" spans="1:27" s="4537" customFormat="1">
      <c r="A110" s="4615">
        <f t="shared" si="14"/>
        <v>5.3</v>
      </c>
      <c r="B110" s="4593" t="s">
        <v>4059</v>
      </c>
      <c r="C110" s="4596">
        <v>15</v>
      </c>
      <c r="D110" s="4622" t="s">
        <v>2433</v>
      </c>
      <c r="E110" s="4715"/>
      <c r="F110" s="4943">
        <f t="shared" si="11"/>
        <v>0</v>
      </c>
      <c r="G110" s="4698">
        <f t="shared" si="10"/>
        <v>0</v>
      </c>
      <c r="H110" s="4532"/>
      <c r="I110" s="4532"/>
      <c r="J110" s="4532"/>
      <c r="K110" s="4532"/>
      <c r="L110" s="4532"/>
      <c r="M110" s="4532"/>
      <c r="N110" s="4532"/>
      <c r="O110" s="4532"/>
      <c r="P110" s="4532"/>
      <c r="Q110" s="4532"/>
      <c r="R110" s="4532"/>
      <c r="S110" s="4532"/>
      <c r="T110" s="4532"/>
      <c r="U110" s="4532"/>
      <c r="V110" s="4532"/>
      <c r="W110" s="4532"/>
      <c r="X110" s="4532"/>
      <c r="Y110" s="4532"/>
      <c r="Z110" s="4532"/>
      <c r="AA110" s="4532"/>
    </row>
    <row r="111" spans="1:27" s="4537" customFormat="1">
      <c r="A111" s="4615">
        <f t="shared" si="14"/>
        <v>5.4</v>
      </c>
      <c r="B111" s="4593" t="s">
        <v>4060</v>
      </c>
      <c r="C111" s="4596">
        <v>9</v>
      </c>
      <c r="D111" s="4622" t="s">
        <v>2433</v>
      </c>
      <c r="E111" s="4715"/>
      <c r="F111" s="4943">
        <f t="shared" si="11"/>
        <v>0</v>
      </c>
      <c r="G111" s="4698">
        <f t="shared" si="10"/>
        <v>0</v>
      </c>
      <c r="H111" s="4532"/>
      <c r="I111" s="4532"/>
      <c r="J111" s="4532"/>
      <c r="K111" s="4532"/>
      <c r="L111" s="4532"/>
      <c r="M111" s="4532"/>
      <c r="N111" s="4532"/>
      <c r="O111" s="4532"/>
      <c r="P111" s="4532"/>
      <c r="Q111" s="4532"/>
      <c r="R111" s="4532"/>
      <c r="S111" s="4532"/>
      <c r="T111" s="4532"/>
      <c r="U111" s="4532"/>
      <c r="V111" s="4532"/>
      <c r="W111" s="4532"/>
      <c r="X111" s="4532"/>
      <c r="Y111" s="4532"/>
      <c r="Z111" s="4532"/>
      <c r="AA111" s="4532"/>
    </row>
    <row r="112" spans="1:27" s="4537" customFormat="1">
      <c r="A112" s="4615">
        <f t="shared" si="14"/>
        <v>5.5</v>
      </c>
      <c r="B112" s="4593" t="s">
        <v>4061</v>
      </c>
      <c r="C112" s="4596">
        <v>4</v>
      </c>
      <c r="D112" s="4622" t="s">
        <v>2433</v>
      </c>
      <c r="E112" s="4715"/>
      <c r="F112" s="4943">
        <f t="shared" si="11"/>
        <v>0</v>
      </c>
      <c r="G112" s="4698">
        <f t="shared" si="10"/>
        <v>0</v>
      </c>
      <c r="H112" s="4532"/>
      <c r="I112" s="4532"/>
      <c r="J112" s="4532"/>
      <c r="K112" s="4532"/>
      <c r="L112" s="4532"/>
      <c r="M112" s="4532"/>
      <c r="N112" s="4532"/>
      <c r="O112" s="4532"/>
      <c r="P112" s="4532"/>
      <c r="Q112" s="4532"/>
      <c r="R112" s="4532"/>
      <c r="S112" s="4532"/>
      <c r="T112" s="4532"/>
      <c r="U112" s="4532"/>
      <c r="V112" s="4532"/>
      <c r="W112" s="4532"/>
      <c r="X112" s="4532"/>
      <c r="Y112" s="4532"/>
      <c r="Z112" s="4532"/>
      <c r="AA112" s="4532"/>
    </row>
    <row r="113" spans="1:27" s="4537" customFormat="1">
      <c r="A113" s="4615">
        <f t="shared" si="14"/>
        <v>5.6</v>
      </c>
      <c r="B113" s="4593" t="s">
        <v>4062</v>
      </c>
      <c r="C113" s="4596">
        <v>2</v>
      </c>
      <c r="D113" s="4622" t="s">
        <v>2433</v>
      </c>
      <c r="E113" s="4715"/>
      <c r="F113" s="4943">
        <f t="shared" si="11"/>
        <v>0</v>
      </c>
      <c r="G113" s="4698">
        <f t="shared" si="10"/>
        <v>0</v>
      </c>
      <c r="H113" s="4532"/>
      <c r="I113" s="4532"/>
      <c r="J113" s="4532"/>
      <c r="K113" s="4532"/>
      <c r="L113" s="4532"/>
      <c r="M113" s="4532"/>
      <c r="N113" s="4532"/>
      <c r="O113" s="4532"/>
      <c r="P113" s="4532"/>
      <c r="Q113" s="4532"/>
      <c r="R113" s="4532"/>
      <c r="S113" s="4532"/>
      <c r="T113" s="4532"/>
      <c r="U113" s="4532"/>
      <c r="V113" s="4532"/>
      <c r="W113" s="4532"/>
      <c r="X113" s="4532"/>
      <c r="Y113" s="4532"/>
      <c r="Z113" s="4532"/>
      <c r="AA113" s="4532"/>
    </row>
    <row r="114" spans="1:27" s="4537" customFormat="1">
      <c r="A114" s="4615">
        <f t="shared" si="14"/>
        <v>5.7</v>
      </c>
      <c r="B114" s="4593" t="s">
        <v>4063</v>
      </c>
      <c r="C114" s="4596">
        <v>20</v>
      </c>
      <c r="D114" s="4622" t="s">
        <v>2433</v>
      </c>
      <c r="E114" s="4715"/>
      <c r="F114" s="4943">
        <f t="shared" si="11"/>
        <v>0</v>
      </c>
      <c r="G114" s="4698">
        <f t="shared" si="10"/>
        <v>0</v>
      </c>
      <c r="H114" s="4532"/>
      <c r="I114" s="4532"/>
      <c r="J114" s="4532"/>
      <c r="K114" s="4532"/>
      <c r="L114" s="4532"/>
      <c r="M114" s="4532"/>
      <c r="N114" s="4532"/>
      <c r="O114" s="4532"/>
      <c r="P114" s="4532"/>
      <c r="Q114" s="4532"/>
      <c r="R114" s="4532"/>
      <c r="S114" s="4532"/>
      <c r="T114" s="4532"/>
      <c r="U114" s="4532"/>
      <c r="V114" s="4532"/>
      <c r="W114" s="4532"/>
      <c r="X114" s="4532"/>
      <c r="Y114" s="4532"/>
      <c r="Z114" s="4532"/>
      <c r="AA114" s="4532"/>
    </row>
    <row r="115" spans="1:27" s="4537" customFormat="1">
      <c r="A115" s="4615">
        <f t="shared" si="14"/>
        <v>5.8</v>
      </c>
      <c r="B115" s="4593" t="s">
        <v>4064</v>
      </c>
      <c r="C115" s="4596">
        <v>18</v>
      </c>
      <c r="D115" s="4622" t="s">
        <v>2433</v>
      </c>
      <c r="E115" s="4715"/>
      <c r="F115" s="4943">
        <f t="shared" si="11"/>
        <v>0</v>
      </c>
      <c r="G115" s="4698">
        <f t="shared" si="10"/>
        <v>0</v>
      </c>
      <c r="H115" s="4532"/>
      <c r="I115" s="4532"/>
      <c r="J115" s="4532"/>
      <c r="K115" s="4532"/>
      <c r="L115" s="4532"/>
      <c r="M115" s="4532"/>
      <c r="N115" s="4532"/>
      <c r="O115" s="4532"/>
      <c r="P115" s="4532"/>
      <c r="Q115" s="4532"/>
      <c r="R115" s="4532"/>
      <c r="S115" s="4532"/>
      <c r="T115" s="4532"/>
      <c r="U115" s="4532"/>
      <c r="V115" s="4532"/>
      <c r="W115" s="4532"/>
      <c r="X115" s="4532"/>
      <c r="Y115" s="4532"/>
      <c r="Z115" s="4532"/>
      <c r="AA115" s="4532"/>
    </row>
    <row r="116" spans="1:27" s="4537" customFormat="1">
      <c r="A116" s="4615">
        <f t="shared" si="14"/>
        <v>5.9</v>
      </c>
      <c r="B116" s="4593" t="s">
        <v>4065</v>
      </c>
      <c r="C116" s="4596">
        <v>15</v>
      </c>
      <c r="D116" s="4622" t="s">
        <v>2433</v>
      </c>
      <c r="E116" s="4715"/>
      <c r="F116" s="4943">
        <f t="shared" si="11"/>
        <v>0</v>
      </c>
      <c r="G116" s="4698">
        <f t="shared" si="10"/>
        <v>0</v>
      </c>
      <c r="H116" s="4532"/>
      <c r="I116" s="4532"/>
      <c r="J116" s="4532"/>
      <c r="K116" s="4532"/>
      <c r="L116" s="4532"/>
      <c r="M116" s="4532"/>
      <c r="N116" s="4532"/>
      <c r="O116" s="4532"/>
      <c r="P116" s="4532"/>
      <c r="Q116" s="4532"/>
      <c r="R116" s="4532"/>
      <c r="S116" s="4532"/>
      <c r="T116" s="4532"/>
      <c r="U116" s="4532"/>
      <c r="V116" s="4532"/>
      <c r="W116" s="4532"/>
      <c r="X116" s="4532"/>
      <c r="Y116" s="4532"/>
      <c r="Z116" s="4532"/>
      <c r="AA116" s="4532"/>
    </row>
    <row r="117" spans="1:27" s="4537" customFormat="1">
      <c r="A117" s="4682">
        <v>5.0999999999999996</v>
      </c>
      <c r="B117" s="4593" t="s">
        <v>4066</v>
      </c>
      <c r="C117" s="4596">
        <v>9</v>
      </c>
      <c r="D117" s="4622" t="s">
        <v>2433</v>
      </c>
      <c r="E117" s="4715"/>
      <c r="F117" s="4943">
        <f t="shared" si="11"/>
        <v>0</v>
      </c>
      <c r="G117" s="4698">
        <f t="shared" si="10"/>
        <v>0</v>
      </c>
      <c r="H117" s="4532"/>
      <c r="I117" s="4532"/>
      <c r="J117" s="4532"/>
      <c r="K117" s="4532"/>
      <c r="L117" s="4532"/>
      <c r="M117" s="4532"/>
      <c r="N117" s="4532"/>
      <c r="O117" s="4532"/>
      <c r="P117" s="4532"/>
      <c r="Q117" s="4532"/>
      <c r="R117" s="4532"/>
      <c r="S117" s="4532"/>
      <c r="T117" s="4532"/>
      <c r="U117" s="4532"/>
      <c r="V117" s="4532"/>
      <c r="W117" s="4532"/>
      <c r="X117" s="4532"/>
      <c r="Y117" s="4532"/>
      <c r="Z117" s="4532"/>
      <c r="AA117" s="4532"/>
    </row>
    <row r="118" spans="1:27" s="4537" customFormat="1">
      <c r="A118" s="4682">
        <v>5.1100000000000003</v>
      </c>
      <c r="B118" s="4593" t="s">
        <v>4067</v>
      </c>
      <c r="C118" s="4596">
        <v>8</v>
      </c>
      <c r="D118" s="4622" t="s">
        <v>2433</v>
      </c>
      <c r="E118" s="4715"/>
      <c r="F118" s="4943">
        <f t="shared" si="11"/>
        <v>0</v>
      </c>
      <c r="G118" s="4698">
        <f t="shared" si="10"/>
        <v>0</v>
      </c>
      <c r="H118" s="4532"/>
      <c r="I118" s="4532"/>
      <c r="J118" s="4532"/>
      <c r="K118" s="4532"/>
      <c r="L118" s="4532"/>
      <c r="M118" s="4532"/>
      <c r="N118" s="4532"/>
      <c r="O118" s="4532"/>
      <c r="P118" s="4532"/>
      <c r="Q118" s="4532"/>
      <c r="R118" s="4532"/>
      <c r="S118" s="4532"/>
      <c r="T118" s="4532"/>
      <c r="U118" s="4532"/>
      <c r="V118" s="4532"/>
      <c r="W118" s="4532"/>
      <c r="X118" s="4532"/>
      <c r="Y118" s="4532"/>
      <c r="Z118" s="4532"/>
      <c r="AA118" s="4532"/>
    </row>
    <row r="119" spans="1:27" s="4537" customFormat="1">
      <c r="A119" s="4682">
        <v>5.12</v>
      </c>
      <c r="B119" s="4593" t="s">
        <v>4068</v>
      </c>
      <c r="C119" s="4596">
        <v>8</v>
      </c>
      <c r="D119" s="4622" t="s">
        <v>2433</v>
      </c>
      <c r="E119" s="4715"/>
      <c r="F119" s="4943">
        <f t="shared" si="11"/>
        <v>0</v>
      </c>
      <c r="G119" s="4698">
        <f t="shared" si="10"/>
        <v>0</v>
      </c>
      <c r="H119" s="4532"/>
      <c r="I119" s="4532"/>
      <c r="J119" s="4532"/>
      <c r="K119" s="4532"/>
      <c r="L119" s="4532"/>
      <c r="M119" s="4532"/>
      <c r="N119" s="4532"/>
      <c r="O119" s="4532"/>
      <c r="P119" s="4532"/>
      <c r="Q119" s="4532"/>
      <c r="R119" s="4532"/>
      <c r="S119" s="4532"/>
      <c r="T119" s="4532"/>
      <c r="U119" s="4532"/>
      <c r="V119" s="4532"/>
      <c r="W119" s="4532"/>
      <c r="X119" s="4532"/>
      <c r="Y119" s="4532"/>
      <c r="Z119" s="4532"/>
      <c r="AA119" s="4532"/>
    </row>
    <row r="120" spans="1:27" s="4537" customFormat="1">
      <c r="A120" s="4682">
        <v>5.13</v>
      </c>
      <c r="B120" s="4593" t="s">
        <v>4069</v>
      </c>
      <c r="C120" s="4596">
        <v>6</v>
      </c>
      <c r="D120" s="4622" t="s">
        <v>2433</v>
      </c>
      <c r="E120" s="4715"/>
      <c r="F120" s="4943">
        <f t="shared" si="11"/>
        <v>0</v>
      </c>
      <c r="G120" s="4698">
        <f t="shared" si="10"/>
        <v>0</v>
      </c>
      <c r="H120" s="4532"/>
      <c r="I120" s="4532"/>
      <c r="J120" s="4532"/>
      <c r="K120" s="4532"/>
      <c r="L120" s="4532"/>
      <c r="M120" s="4532"/>
      <c r="N120" s="4532"/>
      <c r="O120" s="4532"/>
      <c r="P120" s="4532"/>
      <c r="Q120" s="4532"/>
      <c r="R120" s="4532"/>
      <c r="S120" s="4532"/>
      <c r="T120" s="4532"/>
      <c r="U120" s="4532"/>
      <c r="V120" s="4532"/>
      <c r="W120" s="4532"/>
      <c r="X120" s="4532"/>
      <c r="Y120" s="4532"/>
      <c r="Z120" s="4532"/>
      <c r="AA120" s="4532"/>
    </row>
    <row r="121" spans="1:27" s="4537" customFormat="1">
      <c r="A121" s="4682">
        <v>5.14</v>
      </c>
      <c r="B121" s="4593" t="s">
        <v>4070</v>
      </c>
      <c r="C121" s="4596">
        <v>4</v>
      </c>
      <c r="D121" s="4622" t="s">
        <v>2433</v>
      </c>
      <c r="E121" s="4715"/>
      <c r="F121" s="4943">
        <f t="shared" si="11"/>
        <v>0</v>
      </c>
      <c r="G121" s="4698">
        <f t="shared" si="10"/>
        <v>0</v>
      </c>
      <c r="H121" s="4532"/>
      <c r="I121" s="4532"/>
      <c r="J121" s="4532"/>
      <c r="K121" s="4532"/>
      <c r="L121" s="4532"/>
      <c r="M121" s="4532"/>
      <c r="N121" s="4532"/>
      <c r="O121" s="4532"/>
      <c r="P121" s="4532"/>
      <c r="Q121" s="4532"/>
      <c r="R121" s="4532"/>
      <c r="S121" s="4532"/>
      <c r="T121" s="4532"/>
      <c r="U121" s="4532"/>
      <c r="V121" s="4532"/>
      <c r="W121" s="4532"/>
      <c r="X121" s="4532"/>
      <c r="Y121" s="4532"/>
      <c r="Z121" s="4532"/>
      <c r="AA121" s="4532"/>
    </row>
    <row r="122" spans="1:27" s="4537" customFormat="1">
      <c r="A122" s="4682">
        <v>5.15</v>
      </c>
      <c r="B122" s="4593" t="s">
        <v>4071</v>
      </c>
      <c r="C122" s="4596">
        <v>1</v>
      </c>
      <c r="D122" s="4622" t="s">
        <v>2433</v>
      </c>
      <c r="E122" s="4715"/>
      <c r="F122" s="4943">
        <f t="shared" si="11"/>
        <v>0</v>
      </c>
      <c r="G122" s="4698">
        <f t="shared" si="10"/>
        <v>0</v>
      </c>
      <c r="H122" s="4532"/>
      <c r="I122" s="4532"/>
      <c r="J122" s="4532"/>
      <c r="K122" s="4532"/>
      <c r="L122" s="4532"/>
      <c r="M122" s="4532"/>
      <c r="N122" s="4532"/>
      <c r="O122" s="4532"/>
      <c r="P122" s="4532"/>
      <c r="Q122" s="4532"/>
      <c r="R122" s="4532"/>
      <c r="S122" s="4532"/>
      <c r="T122" s="4532"/>
      <c r="U122" s="4532"/>
      <c r="V122" s="4532"/>
      <c r="W122" s="4532"/>
      <c r="X122" s="4532"/>
      <c r="Y122" s="4532"/>
      <c r="Z122" s="4532"/>
      <c r="AA122" s="4532"/>
    </row>
    <row r="123" spans="1:27" s="4537" customFormat="1">
      <c r="A123" s="4682">
        <v>5.16</v>
      </c>
      <c r="B123" s="4593" t="s">
        <v>4072</v>
      </c>
      <c r="C123" s="4596">
        <v>1</v>
      </c>
      <c r="D123" s="4622" t="s">
        <v>2433</v>
      </c>
      <c r="E123" s="4715"/>
      <c r="F123" s="4943">
        <f t="shared" si="11"/>
        <v>0</v>
      </c>
      <c r="G123" s="4698">
        <f t="shared" si="10"/>
        <v>0</v>
      </c>
      <c r="H123" s="4532"/>
      <c r="I123" s="4532"/>
      <c r="J123" s="4532"/>
      <c r="K123" s="4532"/>
      <c r="L123" s="4532"/>
      <c r="M123" s="4532"/>
      <c r="N123" s="4532"/>
      <c r="O123" s="4532"/>
      <c r="P123" s="4532"/>
      <c r="Q123" s="4532"/>
      <c r="R123" s="4532"/>
      <c r="S123" s="4532"/>
      <c r="T123" s="4532"/>
      <c r="U123" s="4532"/>
      <c r="V123" s="4532"/>
      <c r="W123" s="4532"/>
      <c r="X123" s="4532"/>
      <c r="Y123" s="4532"/>
      <c r="Z123" s="4532"/>
      <c r="AA123" s="4532"/>
    </row>
    <row r="124" spans="1:27" s="4537" customFormat="1">
      <c r="A124" s="4682">
        <v>5.17</v>
      </c>
      <c r="B124" s="4593" t="s">
        <v>4073</v>
      </c>
      <c r="C124" s="4623">
        <v>171</v>
      </c>
      <c r="D124" s="4622" t="s">
        <v>2433</v>
      </c>
      <c r="E124" s="4715"/>
      <c r="F124" s="4943">
        <f t="shared" si="11"/>
        <v>0</v>
      </c>
      <c r="G124" s="4698">
        <f t="shared" si="10"/>
        <v>0</v>
      </c>
      <c r="H124" s="4532"/>
      <c r="I124" s="4532"/>
      <c r="J124" s="4532"/>
      <c r="K124" s="4532"/>
      <c r="L124" s="4532"/>
      <c r="M124" s="4532"/>
      <c r="N124" s="4532"/>
      <c r="O124" s="4532"/>
      <c r="P124" s="4532"/>
      <c r="Q124" s="4532"/>
      <c r="R124" s="4532"/>
      <c r="S124" s="4532"/>
      <c r="T124" s="4532"/>
      <c r="U124" s="4532"/>
      <c r="V124" s="4532"/>
      <c r="W124" s="4532"/>
      <c r="X124" s="4532"/>
      <c r="Y124" s="4532"/>
      <c r="Z124" s="4532"/>
      <c r="AA124" s="4532"/>
    </row>
    <row r="125" spans="1:27" s="4537" customFormat="1" ht="25.5">
      <c r="A125" s="4682">
        <v>5.1800000000000104</v>
      </c>
      <c r="B125" s="4593" t="s">
        <v>4074</v>
      </c>
      <c r="C125" s="4596">
        <v>9.41</v>
      </c>
      <c r="D125" s="4622" t="s">
        <v>2430</v>
      </c>
      <c r="E125" s="4715"/>
      <c r="F125" s="4943">
        <f t="shared" si="11"/>
        <v>0</v>
      </c>
      <c r="G125" s="4698">
        <f t="shared" si="10"/>
        <v>0</v>
      </c>
      <c r="H125" s="4532"/>
      <c r="I125" s="4532"/>
      <c r="J125" s="4532"/>
      <c r="K125" s="4532"/>
      <c r="L125" s="4532"/>
      <c r="M125" s="4532"/>
      <c r="N125" s="4532"/>
      <c r="O125" s="4532"/>
      <c r="P125" s="4532"/>
      <c r="Q125" s="4532"/>
      <c r="R125" s="4532"/>
      <c r="S125" s="4532"/>
      <c r="T125" s="4532"/>
      <c r="U125" s="4532"/>
      <c r="V125" s="4532"/>
      <c r="W125" s="4532"/>
      <c r="X125" s="4532"/>
      <c r="Y125" s="4532"/>
      <c r="Z125" s="4532"/>
      <c r="AA125" s="4532"/>
    </row>
    <row r="126" spans="1:27" s="4544" customFormat="1">
      <c r="A126" s="4624"/>
      <c r="B126" s="4625"/>
      <c r="C126" s="4626"/>
      <c r="D126" s="4604"/>
      <c r="E126" s="4668"/>
      <c r="F126" s="4943">
        <f t="shared" si="11"/>
        <v>0</v>
      </c>
      <c r="G126" s="4698">
        <f t="shared" si="10"/>
        <v>0</v>
      </c>
      <c r="H126" s="4532"/>
      <c r="I126" s="4532"/>
      <c r="J126" s="4532"/>
      <c r="K126" s="4532"/>
      <c r="L126" s="4532"/>
      <c r="M126" s="4532"/>
      <c r="N126" s="4532"/>
      <c r="O126" s="4532"/>
      <c r="P126" s="4532"/>
      <c r="Q126" s="4532"/>
      <c r="R126" s="4532"/>
      <c r="S126" s="4532"/>
      <c r="T126" s="4532"/>
      <c r="U126" s="4532"/>
      <c r="V126" s="4532"/>
      <c r="W126" s="4532"/>
      <c r="X126" s="4532"/>
      <c r="Y126" s="4532"/>
      <c r="Z126" s="4532"/>
      <c r="AA126" s="4532"/>
    </row>
    <row r="127" spans="1:27" s="4266" customFormat="1" ht="14.25" customHeight="1">
      <c r="A127" s="4608">
        <f>A107+1</f>
        <v>6</v>
      </c>
      <c r="B127" s="4602" t="s">
        <v>4075</v>
      </c>
      <c r="C127" s="4596"/>
      <c r="D127" s="4627"/>
      <c r="E127" s="4724"/>
      <c r="F127" s="4943">
        <f t="shared" si="11"/>
        <v>0</v>
      </c>
      <c r="G127" s="4698">
        <f t="shared" si="10"/>
        <v>0</v>
      </c>
      <c r="H127" s="4532"/>
      <c r="I127" s="4532"/>
      <c r="J127" s="4532"/>
      <c r="K127" s="4532"/>
      <c r="L127" s="4532"/>
      <c r="M127" s="4532"/>
      <c r="N127" s="4532"/>
      <c r="O127" s="4532"/>
      <c r="P127" s="4532"/>
      <c r="Q127" s="4532"/>
      <c r="R127" s="4532"/>
      <c r="S127" s="4532"/>
      <c r="T127" s="4532"/>
      <c r="U127" s="4532"/>
      <c r="V127" s="4532"/>
      <c r="W127" s="4532"/>
      <c r="X127" s="4532"/>
      <c r="Y127" s="4532"/>
      <c r="Z127" s="4532"/>
      <c r="AA127" s="4532"/>
    </row>
    <row r="128" spans="1:27" s="4545" customFormat="1" ht="42.75" customHeight="1">
      <c r="A128" s="4628">
        <f t="shared" ref="A128:A136" si="15">A127+0.1</f>
        <v>6.1</v>
      </c>
      <c r="B128" s="4680" t="s">
        <v>4076</v>
      </c>
      <c r="C128" s="4611">
        <v>1</v>
      </c>
      <c r="D128" s="4600" t="s">
        <v>2433</v>
      </c>
      <c r="E128" s="4715"/>
      <c r="F128" s="4943">
        <f t="shared" si="11"/>
        <v>0</v>
      </c>
      <c r="G128" s="4698">
        <f t="shared" si="10"/>
        <v>0</v>
      </c>
      <c r="H128" s="4701"/>
      <c r="I128" s="4701"/>
      <c r="J128" s="4701"/>
      <c r="K128" s="4701"/>
      <c r="L128" s="4701"/>
      <c r="M128" s="4701"/>
      <c r="N128" s="4701"/>
      <c r="O128" s="4701"/>
      <c r="P128" s="4701"/>
      <c r="Q128" s="4701"/>
      <c r="R128" s="4701"/>
      <c r="S128" s="4701"/>
      <c r="T128" s="4701"/>
      <c r="U128" s="4701"/>
      <c r="V128" s="4701"/>
      <c r="W128" s="4701"/>
      <c r="X128" s="4701"/>
      <c r="Y128" s="4701"/>
      <c r="Z128" s="4701"/>
      <c r="AA128" s="4701"/>
    </row>
    <row r="129" spans="1:27" s="4545" customFormat="1" ht="39" customHeight="1">
      <c r="A129" s="4628">
        <f t="shared" si="15"/>
        <v>6.2</v>
      </c>
      <c r="B129" s="4680" t="s">
        <v>4077</v>
      </c>
      <c r="C129" s="4611">
        <v>2</v>
      </c>
      <c r="D129" s="4600" t="s">
        <v>2433</v>
      </c>
      <c r="E129" s="4715"/>
      <c r="F129" s="4943">
        <f t="shared" si="11"/>
        <v>0</v>
      </c>
      <c r="G129" s="4698">
        <f t="shared" si="10"/>
        <v>0</v>
      </c>
      <c r="H129" s="4701"/>
      <c r="I129" s="4701"/>
      <c r="J129" s="4701"/>
      <c r="K129" s="4701"/>
      <c r="L129" s="4701"/>
      <c r="M129" s="4701"/>
      <c r="N129" s="4701"/>
      <c r="O129" s="4701"/>
      <c r="P129" s="4701"/>
      <c r="Q129" s="4701"/>
      <c r="R129" s="4701"/>
      <c r="S129" s="4701"/>
      <c r="T129" s="4701"/>
      <c r="U129" s="4701"/>
      <c r="V129" s="4701"/>
      <c r="W129" s="4701"/>
      <c r="X129" s="4701"/>
      <c r="Y129" s="4701"/>
      <c r="Z129" s="4701"/>
      <c r="AA129" s="4701"/>
    </row>
    <row r="130" spans="1:27" s="4545" customFormat="1" ht="40.5" customHeight="1">
      <c r="A130" s="4628">
        <f t="shared" si="15"/>
        <v>6.3</v>
      </c>
      <c r="B130" s="4680" t="s">
        <v>4113</v>
      </c>
      <c r="C130" s="4611">
        <v>1</v>
      </c>
      <c r="D130" s="4600" t="s">
        <v>2433</v>
      </c>
      <c r="E130" s="4715"/>
      <c r="F130" s="4943">
        <f t="shared" si="11"/>
        <v>0</v>
      </c>
      <c r="G130" s="4698">
        <f t="shared" si="10"/>
        <v>0</v>
      </c>
      <c r="H130" s="4701"/>
      <c r="I130" s="4701"/>
      <c r="J130" s="4701"/>
      <c r="K130" s="4701"/>
      <c r="L130" s="4701"/>
      <c r="M130" s="4701"/>
      <c r="N130" s="4701"/>
      <c r="O130" s="4701"/>
      <c r="P130" s="4701"/>
      <c r="Q130" s="4701"/>
      <c r="R130" s="4701"/>
      <c r="S130" s="4701"/>
      <c r="T130" s="4701"/>
      <c r="U130" s="4701"/>
      <c r="V130" s="4701"/>
      <c r="W130" s="4701"/>
      <c r="X130" s="4701"/>
      <c r="Y130" s="4701"/>
      <c r="Z130" s="4701"/>
      <c r="AA130" s="4701"/>
    </row>
    <row r="131" spans="1:27" s="4545" customFormat="1" ht="41.25" customHeight="1">
      <c r="A131" s="4628">
        <f t="shared" si="15"/>
        <v>6.4</v>
      </c>
      <c r="B131" s="4680" t="s">
        <v>4114</v>
      </c>
      <c r="C131" s="4611">
        <v>3</v>
      </c>
      <c r="D131" s="4600" t="s">
        <v>2433</v>
      </c>
      <c r="E131" s="4715"/>
      <c r="F131" s="4943">
        <f t="shared" si="11"/>
        <v>0</v>
      </c>
      <c r="G131" s="4698">
        <f t="shared" si="10"/>
        <v>0</v>
      </c>
      <c r="H131" s="4701"/>
      <c r="I131" s="4701"/>
      <c r="J131" s="4701"/>
      <c r="K131" s="4701"/>
      <c r="L131" s="4701"/>
      <c r="M131" s="4701"/>
      <c r="N131" s="4701"/>
      <c r="O131" s="4701"/>
      <c r="P131" s="4701"/>
      <c r="Q131" s="4701"/>
      <c r="R131" s="4701"/>
      <c r="S131" s="4701"/>
      <c r="T131" s="4701"/>
      <c r="U131" s="4701"/>
      <c r="V131" s="4701"/>
      <c r="W131" s="4701"/>
      <c r="X131" s="4701"/>
      <c r="Y131" s="4701"/>
      <c r="Z131" s="4701"/>
      <c r="AA131" s="4701"/>
    </row>
    <row r="132" spans="1:27" s="4545" customFormat="1" ht="43.5" customHeight="1">
      <c r="A132" s="4628">
        <f t="shared" si="15"/>
        <v>6.5</v>
      </c>
      <c r="B132" s="4680" t="s">
        <v>4115</v>
      </c>
      <c r="C132" s="4629">
        <v>10</v>
      </c>
      <c r="D132" s="4630" t="s">
        <v>2433</v>
      </c>
      <c r="E132" s="4715"/>
      <c r="F132" s="4943">
        <f t="shared" si="11"/>
        <v>0</v>
      </c>
      <c r="G132" s="4698">
        <f t="shared" si="10"/>
        <v>0</v>
      </c>
      <c r="H132" s="4701"/>
      <c r="I132" s="4701"/>
      <c r="J132" s="4701"/>
      <c r="K132" s="4701"/>
      <c r="L132" s="4701"/>
      <c r="M132" s="4701"/>
      <c r="N132" s="4701"/>
      <c r="O132" s="4701"/>
      <c r="P132" s="4701"/>
      <c r="Q132" s="4701"/>
      <c r="R132" s="4701"/>
      <c r="S132" s="4701"/>
      <c r="T132" s="4701"/>
      <c r="U132" s="4701"/>
      <c r="V132" s="4701"/>
      <c r="W132" s="4701"/>
      <c r="X132" s="4701"/>
      <c r="Y132" s="4701"/>
      <c r="Z132" s="4701"/>
      <c r="AA132" s="4701"/>
    </row>
    <row r="133" spans="1:27" s="4545" customFormat="1" ht="38.25">
      <c r="A133" s="4628">
        <f t="shared" si="15"/>
        <v>6.6</v>
      </c>
      <c r="B133" s="4680" t="s">
        <v>4116</v>
      </c>
      <c r="C133" s="4611">
        <v>3</v>
      </c>
      <c r="D133" s="4600" t="s">
        <v>2433</v>
      </c>
      <c r="E133" s="4715"/>
      <c r="F133" s="4943">
        <f t="shared" si="11"/>
        <v>0</v>
      </c>
      <c r="G133" s="4698">
        <f t="shared" si="10"/>
        <v>0</v>
      </c>
      <c r="H133" s="4701"/>
      <c r="I133" s="4701"/>
      <c r="J133" s="4701"/>
      <c r="K133" s="4701"/>
      <c r="L133" s="4701"/>
      <c r="M133" s="4701"/>
      <c r="N133" s="4701"/>
      <c r="O133" s="4701"/>
      <c r="P133" s="4701"/>
      <c r="Q133" s="4701"/>
      <c r="R133" s="4701"/>
      <c r="S133" s="4701"/>
      <c r="T133" s="4701"/>
      <c r="U133" s="4701"/>
      <c r="V133" s="4701"/>
      <c r="W133" s="4701"/>
      <c r="X133" s="4701"/>
      <c r="Y133" s="4701"/>
      <c r="Z133" s="4701"/>
      <c r="AA133" s="4701"/>
    </row>
    <row r="134" spans="1:27" s="4545" customFormat="1" ht="42.75" customHeight="1">
      <c r="A134" s="4628">
        <f t="shared" si="15"/>
        <v>6.7</v>
      </c>
      <c r="B134" s="4680" t="s">
        <v>4117</v>
      </c>
      <c r="C134" s="4611">
        <v>1</v>
      </c>
      <c r="D134" s="4600" t="s">
        <v>2433</v>
      </c>
      <c r="E134" s="4715"/>
      <c r="F134" s="4943">
        <f t="shared" si="11"/>
        <v>0</v>
      </c>
      <c r="G134" s="4698">
        <f t="shared" si="10"/>
        <v>0</v>
      </c>
      <c r="H134" s="4701"/>
      <c r="I134" s="4701"/>
      <c r="J134" s="4701"/>
      <c r="K134" s="4701"/>
      <c r="L134" s="4701"/>
      <c r="M134" s="4701"/>
      <c r="N134" s="4701"/>
      <c r="O134" s="4701"/>
      <c r="P134" s="4701"/>
      <c r="Q134" s="4701"/>
      <c r="R134" s="4701"/>
      <c r="S134" s="4701"/>
      <c r="T134" s="4701"/>
      <c r="U134" s="4701"/>
      <c r="V134" s="4701"/>
      <c r="W134" s="4701"/>
      <c r="X134" s="4701"/>
      <c r="Y134" s="4701"/>
      <c r="Z134" s="4701"/>
      <c r="AA134" s="4701"/>
    </row>
    <row r="135" spans="1:27" s="4538" customFormat="1" ht="38.25" customHeight="1">
      <c r="A135" s="4628">
        <f t="shared" si="15"/>
        <v>6.8</v>
      </c>
      <c r="B135" s="4680" t="s">
        <v>4118</v>
      </c>
      <c r="C135" s="4611">
        <v>2</v>
      </c>
      <c r="D135" s="4600" t="s">
        <v>2433</v>
      </c>
      <c r="E135" s="4715"/>
      <c r="F135" s="4943">
        <f t="shared" si="11"/>
        <v>0</v>
      </c>
      <c r="G135" s="4698">
        <f t="shared" si="10"/>
        <v>0</v>
      </c>
      <c r="H135" s="4701"/>
      <c r="I135" s="4701"/>
      <c r="J135" s="4701"/>
      <c r="K135" s="4701"/>
      <c r="L135" s="4701"/>
      <c r="M135" s="4701"/>
      <c r="N135" s="4701"/>
      <c r="O135" s="4701"/>
      <c r="P135" s="4701"/>
      <c r="Q135" s="4701"/>
      <c r="R135" s="4701"/>
      <c r="S135" s="4701"/>
      <c r="T135" s="4701"/>
      <c r="U135" s="4701"/>
      <c r="V135" s="4701"/>
      <c r="W135" s="4701"/>
      <c r="X135" s="4701"/>
      <c r="Y135" s="4701"/>
      <c r="Z135" s="4701"/>
      <c r="AA135" s="4701"/>
    </row>
    <row r="136" spans="1:27" s="4538" customFormat="1" ht="38.25" customHeight="1">
      <c r="A136" s="4628">
        <f t="shared" si="15"/>
        <v>6.9</v>
      </c>
      <c r="B136" s="4680" t="s">
        <v>4119</v>
      </c>
      <c r="C136" s="4611">
        <v>1</v>
      </c>
      <c r="D136" s="4600" t="s">
        <v>2433</v>
      </c>
      <c r="E136" s="4715"/>
      <c r="F136" s="4943">
        <f t="shared" si="11"/>
        <v>0</v>
      </c>
      <c r="G136" s="4698">
        <f t="shared" si="10"/>
        <v>0</v>
      </c>
      <c r="H136" s="4701"/>
      <c r="I136" s="4701"/>
      <c r="J136" s="4701"/>
      <c r="K136" s="4701"/>
      <c r="L136" s="4701"/>
      <c r="M136" s="4701"/>
      <c r="N136" s="4701"/>
      <c r="O136" s="4701"/>
      <c r="P136" s="4701"/>
      <c r="Q136" s="4701"/>
      <c r="R136" s="4701"/>
      <c r="S136" s="4701"/>
      <c r="T136" s="4701"/>
      <c r="U136" s="4701"/>
      <c r="V136" s="4701"/>
      <c r="W136" s="4701"/>
      <c r="X136" s="4701"/>
      <c r="Y136" s="4701"/>
      <c r="Z136" s="4701"/>
      <c r="AA136" s="4701"/>
    </row>
    <row r="137" spans="1:27" s="4538" customFormat="1" ht="38.25" customHeight="1">
      <c r="A137" s="4631">
        <v>6.1</v>
      </c>
      <c r="B137" s="4680" t="s">
        <v>4120</v>
      </c>
      <c r="C137" s="4611">
        <v>3</v>
      </c>
      <c r="D137" s="4600" t="s">
        <v>2433</v>
      </c>
      <c r="E137" s="4715"/>
      <c r="F137" s="4943">
        <f t="shared" si="11"/>
        <v>0</v>
      </c>
      <c r="G137" s="4698">
        <f t="shared" si="10"/>
        <v>0</v>
      </c>
      <c r="H137" s="4701"/>
      <c r="I137" s="4701"/>
      <c r="J137" s="4701"/>
      <c r="K137" s="4701"/>
      <c r="L137" s="4701"/>
      <c r="M137" s="4701"/>
      <c r="N137" s="4701"/>
      <c r="O137" s="4701"/>
      <c r="P137" s="4701"/>
      <c r="Q137" s="4701"/>
      <c r="R137" s="4701"/>
      <c r="S137" s="4701"/>
      <c r="T137" s="4701"/>
      <c r="U137" s="4701"/>
      <c r="V137" s="4701"/>
      <c r="W137" s="4701"/>
      <c r="X137" s="4701"/>
      <c r="Y137" s="4701"/>
      <c r="Z137" s="4701"/>
      <c r="AA137" s="4701"/>
    </row>
    <row r="138" spans="1:27" s="4538" customFormat="1" ht="38.25" customHeight="1">
      <c r="A138" s="4631">
        <f>A137+0.01</f>
        <v>6.11</v>
      </c>
      <c r="B138" s="4680" t="s">
        <v>4121</v>
      </c>
      <c r="C138" s="4611">
        <v>1</v>
      </c>
      <c r="D138" s="4600" t="s">
        <v>2433</v>
      </c>
      <c r="E138" s="4715"/>
      <c r="F138" s="4943">
        <f t="shared" si="11"/>
        <v>0</v>
      </c>
      <c r="G138" s="4698">
        <f t="shared" si="10"/>
        <v>0</v>
      </c>
      <c r="H138" s="4701"/>
      <c r="I138" s="4701"/>
      <c r="J138" s="4701"/>
      <c r="K138" s="4701"/>
      <c r="L138" s="4701"/>
      <c r="M138" s="4701"/>
      <c r="N138" s="4701"/>
      <c r="O138" s="4701"/>
      <c r="P138" s="4701"/>
      <c r="Q138" s="4701"/>
      <c r="R138" s="4701"/>
      <c r="S138" s="4701"/>
      <c r="T138" s="4701"/>
      <c r="U138" s="4701"/>
      <c r="V138" s="4701"/>
      <c r="W138" s="4701"/>
      <c r="X138" s="4701"/>
      <c r="Y138" s="4701"/>
      <c r="Z138" s="4701"/>
      <c r="AA138" s="4701"/>
    </row>
    <row r="139" spans="1:27" s="4538" customFormat="1" ht="38.25" customHeight="1">
      <c r="A139" s="4631">
        <f t="shared" ref="A139:A142" si="16">A138+0.01</f>
        <v>6.12</v>
      </c>
      <c r="B139" s="4680" t="s">
        <v>4122</v>
      </c>
      <c r="C139" s="4611">
        <v>9</v>
      </c>
      <c r="D139" s="4600" t="s">
        <v>2433</v>
      </c>
      <c r="E139" s="4715"/>
      <c r="F139" s="4943">
        <f t="shared" si="11"/>
        <v>0</v>
      </c>
      <c r="G139" s="4698">
        <f t="shared" si="10"/>
        <v>0</v>
      </c>
      <c r="H139" s="4701"/>
      <c r="I139" s="4701"/>
      <c r="J139" s="4701"/>
      <c r="K139" s="4701"/>
      <c r="L139" s="4701"/>
      <c r="M139" s="4701"/>
      <c r="N139" s="4701"/>
      <c r="O139" s="4701"/>
      <c r="P139" s="4701"/>
      <c r="Q139" s="4701"/>
      <c r="R139" s="4701"/>
      <c r="S139" s="4701"/>
      <c r="T139" s="4701"/>
      <c r="U139" s="4701"/>
      <c r="V139" s="4701"/>
      <c r="W139" s="4701"/>
      <c r="X139" s="4701"/>
      <c r="Y139" s="4701"/>
      <c r="Z139" s="4701"/>
      <c r="AA139" s="4701"/>
    </row>
    <row r="140" spans="1:27" s="4533" customFormat="1" ht="30.75" customHeight="1">
      <c r="A140" s="4631">
        <f t="shared" si="16"/>
        <v>6.13</v>
      </c>
      <c r="B140" s="4680" t="s">
        <v>4172</v>
      </c>
      <c r="C140" s="4596">
        <v>2</v>
      </c>
      <c r="D140" s="4627" t="s">
        <v>2433</v>
      </c>
      <c r="E140" s="4715"/>
      <c r="F140" s="4943">
        <f t="shared" si="11"/>
        <v>0</v>
      </c>
      <c r="G140" s="4698">
        <f t="shared" si="10"/>
        <v>0</v>
      </c>
      <c r="H140" s="4259"/>
      <c r="I140" s="4259"/>
      <c r="J140" s="4259"/>
      <c r="K140" s="4259"/>
      <c r="L140" s="4259"/>
      <c r="M140" s="4259"/>
      <c r="N140" s="4259"/>
      <c r="O140" s="4259"/>
      <c r="P140" s="4259"/>
      <c r="Q140" s="4259"/>
      <c r="R140" s="4259"/>
      <c r="S140" s="4259"/>
      <c r="T140" s="4259"/>
      <c r="U140" s="4259"/>
      <c r="V140" s="4259"/>
      <c r="W140" s="4259"/>
      <c r="X140" s="4259"/>
      <c r="Y140" s="4259"/>
      <c r="Z140" s="4259"/>
      <c r="AA140" s="4259"/>
    </row>
    <row r="141" spans="1:27" s="4537" customFormat="1" ht="25.5" customHeight="1">
      <c r="A141" s="4631">
        <f t="shared" si="16"/>
        <v>6.14</v>
      </c>
      <c r="B141" s="4680" t="s">
        <v>4078</v>
      </c>
      <c r="C141" s="4611">
        <v>19</v>
      </c>
      <c r="D141" s="4600" t="s">
        <v>2433</v>
      </c>
      <c r="E141" s="4715"/>
      <c r="F141" s="4943">
        <f t="shared" si="11"/>
        <v>0</v>
      </c>
      <c r="G141" s="4698">
        <f t="shared" si="10"/>
        <v>0</v>
      </c>
      <c r="H141" s="4532"/>
      <c r="I141" s="4532"/>
      <c r="J141" s="4532"/>
      <c r="K141" s="4532"/>
      <c r="L141" s="4532"/>
      <c r="M141" s="4532"/>
      <c r="N141" s="4532"/>
      <c r="O141" s="4532"/>
      <c r="P141" s="4532"/>
      <c r="Q141" s="4532"/>
      <c r="R141" s="4532"/>
      <c r="S141" s="4532"/>
      <c r="T141" s="4532"/>
      <c r="U141" s="4532"/>
      <c r="V141" s="4532"/>
      <c r="W141" s="4532"/>
      <c r="X141" s="4532"/>
      <c r="Y141" s="4532"/>
      <c r="Z141" s="4532"/>
      <c r="AA141" s="4532"/>
    </row>
    <row r="142" spans="1:27" s="4544" customFormat="1" ht="25.5" customHeight="1">
      <c r="A142" s="4631">
        <f t="shared" si="16"/>
        <v>6.15</v>
      </c>
      <c r="B142" s="4680" t="s">
        <v>4079</v>
      </c>
      <c r="C142" s="4611">
        <v>20</v>
      </c>
      <c r="D142" s="4600" t="s">
        <v>2433</v>
      </c>
      <c r="E142" s="4715"/>
      <c r="F142" s="4943">
        <f t="shared" si="11"/>
        <v>0</v>
      </c>
      <c r="G142" s="4698">
        <f t="shared" si="10"/>
        <v>0</v>
      </c>
      <c r="H142" s="4532"/>
      <c r="I142" s="4532"/>
      <c r="J142" s="4532"/>
      <c r="K142" s="4532"/>
      <c r="L142" s="4532"/>
      <c r="M142" s="4532"/>
      <c r="N142" s="4532"/>
      <c r="O142" s="4532"/>
      <c r="P142" s="4532"/>
      <c r="Q142" s="4532"/>
      <c r="R142" s="4532"/>
      <c r="S142" s="4532"/>
      <c r="T142" s="4532"/>
      <c r="U142" s="4532"/>
      <c r="V142" s="4532"/>
      <c r="W142" s="4532"/>
      <c r="X142" s="4532"/>
      <c r="Y142" s="4532"/>
      <c r="Z142" s="4532"/>
      <c r="AA142" s="4532"/>
    </row>
    <row r="143" spans="1:27" s="4544" customFormat="1" ht="12.75" customHeight="1">
      <c r="A143" s="4632"/>
      <c r="B143" s="4593"/>
      <c r="C143" s="4611"/>
      <c r="D143" s="4600"/>
      <c r="E143" s="4723"/>
      <c r="F143" s="4943">
        <f t="shared" si="11"/>
        <v>0</v>
      </c>
      <c r="G143" s="4698">
        <f t="shared" si="10"/>
        <v>0</v>
      </c>
      <c r="H143" s="4532"/>
      <c r="I143" s="4532"/>
      <c r="J143" s="4532"/>
      <c r="K143" s="4532"/>
      <c r="L143" s="4532"/>
      <c r="M143" s="4532"/>
      <c r="N143" s="4532"/>
      <c r="O143" s="4532"/>
      <c r="P143" s="4532"/>
      <c r="Q143" s="4532"/>
      <c r="R143" s="4532"/>
      <c r="S143" s="4532"/>
      <c r="T143" s="4532"/>
      <c r="U143" s="4532"/>
      <c r="V143" s="4532"/>
      <c r="W143" s="4532"/>
      <c r="X143" s="4532"/>
      <c r="Y143" s="4532"/>
      <c r="Z143" s="4532"/>
      <c r="AA143" s="4532"/>
    </row>
    <row r="144" spans="1:27" s="4537" customFormat="1" ht="12.75" customHeight="1">
      <c r="A144" s="4608">
        <f>A127+1</f>
        <v>7</v>
      </c>
      <c r="B144" s="4633" t="s">
        <v>4080</v>
      </c>
      <c r="C144" s="4603"/>
      <c r="D144" s="4604"/>
      <c r="E144" s="4725"/>
      <c r="F144" s="4943">
        <f t="shared" si="11"/>
        <v>0</v>
      </c>
      <c r="G144" s="4698">
        <f t="shared" si="10"/>
        <v>0</v>
      </c>
      <c r="H144" s="4532"/>
      <c r="I144" s="4532"/>
      <c r="J144" s="4532"/>
      <c r="K144" s="4532"/>
      <c r="L144" s="4532"/>
      <c r="M144" s="4532"/>
      <c r="N144" s="4532"/>
      <c r="O144" s="4532"/>
      <c r="P144" s="4532"/>
      <c r="Q144" s="4532"/>
      <c r="R144" s="4532"/>
      <c r="S144" s="4532"/>
      <c r="T144" s="4532"/>
      <c r="U144" s="4532"/>
      <c r="V144" s="4532"/>
      <c r="W144" s="4532"/>
      <c r="X144" s="4532"/>
      <c r="Y144" s="4532"/>
      <c r="Z144" s="4532"/>
      <c r="AA144" s="4532"/>
    </row>
    <row r="145" spans="1:142" s="4537" customFormat="1" ht="12.75" customHeight="1">
      <c r="A145" s="4605">
        <f>A144+0.1</f>
        <v>7.1</v>
      </c>
      <c r="B145" s="4593" t="s">
        <v>4134</v>
      </c>
      <c r="C145" s="4603">
        <v>3468.21</v>
      </c>
      <c r="D145" s="4604" t="s">
        <v>1</v>
      </c>
      <c r="E145" s="4715"/>
      <c r="F145" s="4943">
        <f t="shared" si="11"/>
        <v>0</v>
      </c>
      <c r="G145" s="4698">
        <f t="shared" ref="G145:G158" si="17">+E145*C145</f>
        <v>0</v>
      </c>
      <c r="H145" s="4532"/>
      <c r="I145" s="4532"/>
      <c r="J145" s="4532"/>
      <c r="K145" s="4532"/>
      <c r="L145" s="4532"/>
      <c r="M145" s="4532"/>
      <c r="N145" s="4532"/>
      <c r="O145" s="4532"/>
      <c r="P145" s="4532"/>
      <c r="Q145" s="4532"/>
      <c r="R145" s="4532"/>
      <c r="S145" s="4532"/>
      <c r="T145" s="4532"/>
      <c r="U145" s="4532"/>
      <c r="V145" s="4532"/>
      <c r="W145" s="4532"/>
      <c r="X145" s="4532"/>
      <c r="Y145" s="4532"/>
      <c r="Z145" s="4532"/>
      <c r="AA145" s="4532"/>
    </row>
    <row r="146" spans="1:142" ht="12.75" customHeight="1">
      <c r="A146" s="4608"/>
      <c r="B146" s="4633"/>
      <c r="C146" s="4603"/>
      <c r="D146" s="4604"/>
      <c r="E146" s="4725"/>
      <c r="F146" s="4943">
        <f t="shared" si="11"/>
        <v>0</v>
      </c>
      <c r="G146" s="4698">
        <f t="shared" si="17"/>
        <v>0</v>
      </c>
      <c r="H146" s="4532"/>
      <c r="I146" s="4532"/>
      <c r="J146" s="4532"/>
      <c r="K146" s="4532"/>
      <c r="L146" s="4532"/>
      <c r="M146" s="4532"/>
      <c r="N146" s="4532"/>
      <c r="O146" s="4532"/>
      <c r="P146" s="4532"/>
      <c r="Q146" s="4532"/>
      <c r="R146" s="4532"/>
      <c r="S146" s="4532"/>
      <c r="T146" s="4532"/>
      <c r="U146" s="4532"/>
      <c r="V146" s="4532"/>
      <c r="W146" s="4532"/>
      <c r="X146" s="4532"/>
      <c r="Y146" s="4532"/>
      <c r="Z146" s="4532"/>
      <c r="AA146" s="4532"/>
    </row>
    <row r="147" spans="1:142" s="4546" customFormat="1" ht="27" customHeight="1">
      <c r="A147" s="4634">
        <f>A144+1</f>
        <v>8</v>
      </c>
      <c r="B147" s="4593" t="s">
        <v>4081</v>
      </c>
      <c r="C147" s="4594">
        <v>8811.2999999999993</v>
      </c>
      <c r="D147" s="4604" t="s">
        <v>1</v>
      </c>
      <c r="E147" s="4715"/>
      <c r="F147" s="4943">
        <f t="shared" si="11"/>
        <v>0</v>
      </c>
      <c r="G147" s="4698">
        <f t="shared" si="17"/>
        <v>0</v>
      </c>
      <c r="H147" s="4532"/>
      <c r="I147" s="4532"/>
      <c r="J147" s="4532"/>
      <c r="K147" s="4532"/>
      <c r="L147" s="4532"/>
      <c r="M147" s="4532"/>
      <c r="N147" s="4532"/>
      <c r="O147" s="4532"/>
      <c r="P147" s="4532"/>
      <c r="Q147" s="4532"/>
      <c r="R147" s="4532"/>
      <c r="S147" s="4532"/>
      <c r="T147" s="4532"/>
      <c r="U147" s="4532"/>
      <c r="V147" s="4532"/>
      <c r="W147" s="4532"/>
      <c r="X147" s="4532"/>
      <c r="Y147" s="4532"/>
      <c r="Z147" s="4532"/>
      <c r="AA147" s="4532"/>
    </row>
    <row r="148" spans="1:142" s="4547" customFormat="1" ht="12.75" customHeight="1">
      <c r="A148" s="4694"/>
      <c r="B148" s="4695" t="s">
        <v>4041</v>
      </c>
      <c r="C148" s="4696"/>
      <c r="D148" s="4697"/>
      <c r="E148" s="4726"/>
      <c r="F148" s="4951">
        <f>SUM(F87:F147)</f>
        <v>0</v>
      </c>
      <c r="G148" s="4698">
        <f t="shared" si="17"/>
        <v>0</v>
      </c>
      <c r="H148" s="4532"/>
      <c r="I148" s="4532"/>
      <c r="J148" s="4532"/>
      <c r="K148" s="4532"/>
      <c r="L148" s="4532"/>
      <c r="M148" s="4532"/>
      <c r="N148" s="4532"/>
      <c r="O148" s="4532"/>
      <c r="P148" s="4532"/>
      <c r="Q148" s="4532"/>
      <c r="R148" s="4532"/>
      <c r="S148" s="4532"/>
      <c r="T148" s="4532"/>
      <c r="U148" s="4532"/>
      <c r="V148" s="4532"/>
      <c r="W148" s="4532"/>
      <c r="X148" s="4532"/>
      <c r="Y148" s="4532"/>
      <c r="Z148" s="4532"/>
      <c r="AA148" s="4532"/>
      <c r="AB148" s="4530"/>
      <c r="AC148" s="4530"/>
      <c r="AD148" s="4530"/>
      <c r="AE148" s="4530"/>
      <c r="AF148" s="4530"/>
      <c r="AG148" s="4530"/>
      <c r="AH148" s="4530"/>
      <c r="AI148" s="4530"/>
      <c r="AJ148" s="4530"/>
      <c r="AK148" s="4530"/>
      <c r="AL148" s="4530"/>
      <c r="AM148" s="4530"/>
      <c r="AN148" s="4530"/>
      <c r="AO148" s="4530"/>
      <c r="AP148" s="4530"/>
      <c r="AQ148" s="4530"/>
      <c r="AR148" s="4530"/>
      <c r="AS148" s="4530"/>
      <c r="AT148" s="4530"/>
      <c r="AU148" s="4530"/>
      <c r="AV148" s="4530"/>
      <c r="AW148" s="4530"/>
      <c r="AX148" s="4530"/>
      <c r="AY148" s="4530"/>
      <c r="AZ148" s="4530"/>
      <c r="BA148" s="4530"/>
      <c r="BB148" s="4530"/>
      <c r="BC148" s="4530"/>
      <c r="BD148" s="4530"/>
      <c r="BE148" s="4530"/>
      <c r="BF148" s="4530"/>
      <c r="BG148" s="4530"/>
      <c r="BH148" s="4530"/>
      <c r="BI148" s="4530"/>
      <c r="BJ148" s="4530"/>
      <c r="BK148" s="4530"/>
      <c r="BL148" s="4530"/>
      <c r="BM148" s="4530"/>
      <c r="BN148" s="4530"/>
      <c r="BO148" s="4530"/>
      <c r="BP148" s="4530"/>
      <c r="BQ148" s="4530"/>
      <c r="BR148" s="4530"/>
      <c r="BS148" s="4530"/>
      <c r="BT148" s="4530"/>
      <c r="BU148" s="4530"/>
      <c r="BV148" s="4530"/>
      <c r="BW148" s="4530"/>
      <c r="BX148" s="4530"/>
      <c r="BY148" s="4530"/>
      <c r="BZ148" s="4530"/>
      <c r="CA148" s="4530"/>
      <c r="CB148" s="4530"/>
      <c r="CC148" s="4530"/>
      <c r="CD148" s="4530"/>
      <c r="CE148" s="4530"/>
      <c r="CF148" s="4530"/>
      <c r="CG148" s="4530"/>
      <c r="CH148" s="4530"/>
      <c r="CI148" s="4530"/>
      <c r="CJ148" s="4530"/>
      <c r="CK148" s="4530"/>
      <c r="CL148" s="4530"/>
      <c r="CM148" s="4530"/>
      <c r="CN148" s="4530"/>
      <c r="CO148" s="4530"/>
      <c r="CP148" s="4530"/>
      <c r="CQ148" s="4530"/>
      <c r="CR148" s="4530"/>
      <c r="CS148" s="4530"/>
      <c r="CT148" s="4530"/>
      <c r="CU148" s="4530"/>
      <c r="CV148" s="4530"/>
      <c r="CW148" s="4530"/>
      <c r="CX148" s="4530"/>
      <c r="CY148" s="4530"/>
      <c r="CZ148" s="4530"/>
      <c r="DA148" s="4530"/>
      <c r="DB148" s="4530"/>
      <c r="DC148" s="4530"/>
      <c r="DD148" s="4530"/>
      <c r="DE148" s="4530"/>
      <c r="DF148" s="4530"/>
      <c r="DG148" s="4530"/>
      <c r="DH148" s="4530"/>
      <c r="DI148" s="4530"/>
      <c r="DJ148" s="4530"/>
      <c r="DK148" s="4530"/>
      <c r="DL148" s="4530"/>
      <c r="DM148" s="4530"/>
      <c r="DN148" s="4530"/>
      <c r="DO148" s="4530"/>
      <c r="DP148" s="4530"/>
      <c r="DQ148" s="4530"/>
      <c r="DR148" s="4530"/>
      <c r="DS148" s="4530"/>
      <c r="DT148" s="4530"/>
      <c r="DU148" s="4530"/>
      <c r="DV148" s="4530"/>
      <c r="DW148" s="4530"/>
      <c r="DX148" s="4530"/>
      <c r="DY148" s="4530"/>
      <c r="DZ148" s="4530"/>
      <c r="EA148" s="4530"/>
      <c r="EB148" s="4530"/>
      <c r="EC148" s="4530"/>
      <c r="ED148" s="4530"/>
      <c r="EE148" s="4530"/>
      <c r="EF148" s="4530"/>
      <c r="EG148" s="4530"/>
      <c r="EH148" s="4530"/>
      <c r="EI148" s="4530"/>
      <c r="EJ148" s="4530"/>
      <c r="EK148" s="4530"/>
      <c r="EL148" s="4530"/>
    </row>
    <row r="149" spans="1:142" s="4266" customFormat="1" ht="7.5" customHeight="1">
      <c r="A149" s="4635"/>
      <c r="B149" s="4581"/>
      <c r="C149" s="4636"/>
      <c r="D149" s="4637"/>
      <c r="E149" s="4669"/>
      <c r="F149" s="4620"/>
      <c r="G149" s="4698">
        <f t="shared" si="17"/>
        <v>0</v>
      </c>
      <c r="H149" s="4532"/>
      <c r="I149" s="4532"/>
      <c r="J149" s="4532"/>
      <c r="K149" s="4532"/>
      <c r="L149" s="4532"/>
      <c r="M149" s="4532"/>
      <c r="N149" s="4532"/>
      <c r="O149" s="4532"/>
      <c r="P149" s="4532"/>
      <c r="Q149" s="4532"/>
      <c r="R149" s="4532"/>
      <c r="S149" s="4532"/>
      <c r="T149" s="4532"/>
      <c r="U149" s="4532"/>
      <c r="V149" s="4532"/>
      <c r="W149" s="4532"/>
      <c r="X149" s="4532"/>
      <c r="Y149" s="4532"/>
      <c r="Z149" s="4532"/>
      <c r="AA149" s="4532"/>
    </row>
    <row r="150" spans="1:142">
      <c r="A150" s="4638" t="s">
        <v>32</v>
      </c>
      <c r="B150" s="4639" t="s">
        <v>3705</v>
      </c>
      <c r="C150" s="4640"/>
      <c r="D150" s="4641"/>
      <c r="E150" s="4669"/>
      <c r="F150" s="4620"/>
      <c r="G150" s="4698">
        <f t="shared" si="17"/>
        <v>0</v>
      </c>
      <c r="H150" s="4532"/>
      <c r="I150" s="4532"/>
      <c r="J150" s="4532"/>
      <c r="K150" s="4532"/>
      <c r="L150" s="4532"/>
      <c r="M150" s="4532"/>
      <c r="N150" s="4532"/>
      <c r="O150" s="4532"/>
      <c r="P150" s="4532"/>
      <c r="Q150" s="4532"/>
      <c r="R150" s="4532"/>
      <c r="S150" s="4532"/>
      <c r="T150" s="4532"/>
      <c r="U150" s="4532"/>
      <c r="V150" s="4532"/>
      <c r="W150" s="4532"/>
      <c r="X150" s="4532"/>
      <c r="Y150" s="4532"/>
      <c r="Z150" s="4532"/>
      <c r="AA150" s="4532"/>
    </row>
    <row r="151" spans="1:142" s="4266" customFormat="1" ht="51">
      <c r="A151" s="4736">
        <v>1</v>
      </c>
      <c r="B151" s="4737" t="s">
        <v>4160</v>
      </c>
      <c r="C151" s="4613">
        <v>2</v>
      </c>
      <c r="D151" s="4570" t="s">
        <v>2433</v>
      </c>
      <c r="E151" s="4669"/>
      <c r="F151" s="4943">
        <f t="shared" ref="F151:F153" si="18">ROUND(C151*E151,2)</f>
        <v>0</v>
      </c>
      <c r="G151" s="4698">
        <f t="shared" si="17"/>
        <v>0</v>
      </c>
    </row>
    <row r="152" spans="1:142" s="4266" customFormat="1">
      <c r="A152" s="4736"/>
      <c r="B152" s="4737"/>
      <c r="C152" s="4613"/>
      <c r="D152" s="4570"/>
      <c r="E152" s="4669"/>
      <c r="F152" s="4943">
        <f t="shared" si="18"/>
        <v>0</v>
      </c>
      <c r="G152" s="4698">
        <f t="shared" si="17"/>
        <v>0</v>
      </c>
    </row>
    <row r="153" spans="1:142" s="4266" customFormat="1" ht="25.5">
      <c r="A153" s="4736">
        <v>2</v>
      </c>
      <c r="B153" s="4738" t="s">
        <v>4155</v>
      </c>
      <c r="C153" s="4667"/>
      <c r="D153" s="4570" t="s">
        <v>4036</v>
      </c>
      <c r="E153" s="4669"/>
      <c r="F153" s="4943">
        <f t="shared" si="18"/>
        <v>0</v>
      </c>
      <c r="G153" s="4698">
        <f t="shared" si="17"/>
        <v>0</v>
      </c>
    </row>
    <row r="154" spans="1:142">
      <c r="A154" s="4642"/>
      <c r="B154" s="4643"/>
      <c r="C154" s="4613"/>
      <c r="D154" s="4570"/>
      <c r="E154" s="4669"/>
      <c r="F154" s="4620"/>
      <c r="G154" s="4698">
        <f t="shared" si="17"/>
        <v>0</v>
      </c>
      <c r="H154" s="4532"/>
      <c r="I154" s="4532"/>
      <c r="J154" s="4532"/>
      <c r="K154" s="4532"/>
      <c r="L154" s="4532"/>
      <c r="M154" s="4532"/>
      <c r="N154" s="4532"/>
      <c r="O154" s="4532"/>
      <c r="P154" s="4532"/>
      <c r="Q154" s="4532"/>
      <c r="R154" s="4532"/>
      <c r="S154" s="4532"/>
      <c r="T154" s="4532"/>
      <c r="U154" s="4532"/>
      <c r="V154" s="4532"/>
      <c r="W154" s="4532"/>
      <c r="X154" s="4532"/>
      <c r="Y154" s="4532"/>
      <c r="Z154" s="4532"/>
      <c r="AA154" s="4532"/>
    </row>
    <row r="155" spans="1:142" s="4548" customFormat="1">
      <c r="A155" s="4683"/>
      <c r="B155" s="4684" t="s">
        <v>34</v>
      </c>
      <c r="C155" s="4685"/>
      <c r="D155" s="4686"/>
      <c r="E155" s="4754"/>
      <c r="F155" s="4952">
        <f>SUM(F151:F154)</f>
        <v>0</v>
      </c>
      <c r="G155" s="4698">
        <f t="shared" si="17"/>
        <v>0</v>
      </c>
      <c r="H155" s="4532"/>
      <c r="I155" s="4532"/>
      <c r="J155" s="4532"/>
      <c r="K155" s="4532"/>
      <c r="L155" s="4532"/>
      <c r="M155" s="4532"/>
      <c r="N155" s="4532"/>
      <c r="O155" s="4532"/>
      <c r="P155" s="4532"/>
      <c r="Q155" s="4532"/>
      <c r="R155" s="4532"/>
      <c r="S155" s="4532"/>
      <c r="T155" s="4532"/>
      <c r="U155" s="4532"/>
      <c r="V155" s="4532"/>
      <c r="W155" s="4532"/>
      <c r="X155" s="4532"/>
      <c r="Y155" s="4532"/>
      <c r="Z155" s="4532"/>
      <c r="AA155" s="4532"/>
    </row>
    <row r="156" spans="1:142" s="4532" customFormat="1">
      <c r="A156" s="4535"/>
      <c r="B156" s="4644"/>
      <c r="C156" s="4645"/>
      <c r="D156" s="4646"/>
      <c r="E156" s="4755"/>
      <c r="F156" s="4953"/>
      <c r="G156" s="4698">
        <f t="shared" si="17"/>
        <v>0</v>
      </c>
    </row>
    <row r="157" spans="1:142" s="4548" customFormat="1">
      <c r="A157" s="4687"/>
      <c r="B157" s="4688" t="s">
        <v>15</v>
      </c>
      <c r="C157" s="4689"/>
      <c r="D157" s="4684"/>
      <c r="E157" s="4756"/>
      <c r="F157" s="4952">
        <f>F155+F148+F83</f>
        <v>0</v>
      </c>
      <c r="G157" s="4698">
        <f t="shared" si="17"/>
        <v>0</v>
      </c>
      <c r="H157" s="4532"/>
      <c r="I157" s="4532"/>
      <c r="J157" s="4532"/>
      <c r="K157" s="4532"/>
      <c r="L157" s="4532"/>
      <c r="M157" s="4532"/>
      <c r="N157" s="4532"/>
      <c r="O157" s="4532"/>
      <c r="P157" s="4532"/>
      <c r="Q157" s="4532"/>
      <c r="R157" s="4532"/>
      <c r="S157" s="4532"/>
      <c r="T157" s="4532"/>
      <c r="U157" s="4532"/>
      <c r="V157" s="4532"/>
      <c r="W157" s="4532"/>
      <c r="X157" s="4532"/>
      <c r="Y157" s="4532"/>
      <c r="Z157" s="4532"/>
      <c r="AA157" s="4532"/>
    </row>
    <row r="158" spans="1:142" s="4532" customFormat="1" ht="6.75" customHeight="1">
      <c r="A158" s="4535"/>
      <c r="B158" s="4644"/>
      <c r="C158" s="4645"/>
      <c r="D158" s="4646"/>
      <c r="E158" s="4755"/>
      <c r="F158" s="4953"/>
      <c r="G158" s="4698">
        <f t="shared" si="17"/>
        <v>0</v>
      </c>
    </row>
    <row r="159" spans="1:142" s="4548" customFormat="1">
      <c r="A159" s="4687"/>
      <c r="B159" s="4688" t="s">
        <v>15</v>
      </c>
      <c r="C159" s="4689"/>
      <c r="D159" s="4684"/>
      <c r="E159" s="4756"/>
      <c r="F159" s="4952">
        <f>+F157</f>
        <v>0</v>
      </c>
      <c r="G159" s="4702">
        <f>SUM(G13:G158)</f>
        <v>0</v>
      </c>
      <c r="H159" s="4532"/>
      <c r="I159" s="4532"/>
      <c r="J159" s="4532"/>
      <c r="K159" s="4532"/>
      <c r="L159" s="4532"/>
      <c r="M159" s="4532"/>
      <c r="N159" s="4532"/>
      <c r="O159" s="4532"/>
      <c r="P159" s="4532"/>
      <c r="Q159" s="4532"/>
      <c r="R159" s="4532"/>
      <c r="S159" s="4532"/>
      <c r="T159" s="4532"/>
      <c r="U159" s="4532"/>
      <c r="V159" s="4532"/>
      <c r="W159" s="4532"/>
      <c r="X159" s="4532"/>
      <c r="Y159" s="4532"/>
      <c r="Z159" s="4532"/>
      <c r="AA159" s="4532"/>
    </row>
    <row r="160" spans="1:142" ht="4.5" customHeight="1">
      <c r="A160" s="4531"/>
      <c r="B160" s="4569"/>
      <c r="C160" s="4647"/>
      <c r="D160" s="4648"/>
      <c r="E160" s="4757"/>
      <c r="F160" s="4954" t="str">
        <f t="shared" ref="F160" si="19">IF(C160&gt;0,(ROUND((E160*C160),2))," ")</f>
        <v xml:space="preserve"> </v>
      </c>
      <c r="H160" s="4532"/>
      <c r="I160" s="4532"/>
      <c r="J160" s="4532"/>
      <c r="K160" s="4532"/>
      <c r="L160" s="4532"/>
      <c r="M160" s="4532"/>
      <c r="N160" s="4532"/>
      <c r="O160" s="4532"/>
      <c r="P160" s="4532"/>
      <c r="Q160" s="4532"/>
      <c r="R160" s="4532"/>
      <c r="S160" s="4532"/>
      <c r="T160" s="4532"/>
      <c r="U160" s="4532"/>
      <c r="V160" s="4532"/>
      <c r="W160" s="4532"/>
      <c r="X160" s="4532"/>
      <c r="Y160" s="4532"/>
      <c r="Z160" s="4532"/>
      <c r="AA160" s="4532"/>
    </row>
    <row r="161" spans="1:27">
      <c r="A161" s="4649"/>
      <c r="B161" s="4650" t="s">
        <v>16</v>
      </c>
      <c r="C161" s="4639"/>
      <c r="D161" s="4651"/>
      <c r="E161" s="4758"/>
      <c r="F161" s="4955"/>
      <c r="H161" s="4532"/>
      <c r="I161" s="4532"/>
      <c r="J161" s="4532"/>
      <c r="K161" s="4532"/>
      <c r="L161" s="4532"/>
      <c r="M161" s="4532"/>
      <c r="N161" s="4532"/>
      <c r="O161" s="4532"/>
      <c r="P161" s="4532"/>
      <c r="Q161" s="4532"/>
      <c r="R161" s="4532"/>
      <c r="S161" s="4532"/>
      <c r="T161" s="4532"/>
      <c r="U161" s="4532"/>
      <c r="V161" s="4532"/>
      <c r="W161" s="4532"/>
      <c r="X161" s="4532"/>
      <c r="Y161" s="4532"/>
      <c r="Z161" s="4532"/>
      <c r="AA161" s="4532"/>
    </row>
    <row r="162" spans="1:27" s="4534" customFormat="1">
      <c r="A162" s="4652"/>
      <c r="B162" s="4653" t="s">
        <v>3562</v>
      </c>
      <c r="C162" s="4654">
        <v>0.1</v>
      </c>
      <c r="D162" s="4655"/>
      <c r="E162" s="4759"/>
      <c r="F162" s="4956">
        <f t="shared" ref="F162:F167" si="20">ROUND($F$157*C162,2)</f>
        <v>0</v>
      </c>
      <c r="G162" s="4703"/>
      <c r="H162" s="4703"/>
      <c r="I162" s="4703"/>
      <c r="J162" s="4703"/>
      <c r="K162" s="4703"/>
      <c r="L162" s="4703"/>
      <c r="M162" s="4703"/>
      <c r="N162" s="4703"/>
      <c r="O162" s="4703"/>
      <c r="P162" s="4703"/>
      <c r="Q162" s="4703"/>
      <c r="R162" s="4703"/>
      <c r="S162" s="4703"/>
      <c r="T162" s="4703"/>
      <c r="U162" s="4703"/>
      <c r="V162" s="4703"/>
      <c r="W162" s="4703"/>
      <c r="X162" s="4703"/>
      <c r="Y162" s="4703"/>
      <c r="Z162" s="4703"/>
      <c r="AA162" s="4703"/>
    </row>
    <row r="163" spans="1:27" s="4534" customFormat="1">
      <c r="A163" s="4652"/>
      <c r="B163" s="4653" t="s">
        <v>3564</v>
      </c>
      <c r="C163" s="4654">
        <v>0.03</v>
      </c>
      <c r="D163" s="4655"/>
      <c r="E163" s="4759"/>
      <c r="F163" s="4956">
        <f t="shared" si="20"/>
        <v>0</v>
      </c>
      <c r="G163" s="4703"/>
      <c r="H163" s="4703"/>
      <c r="I163" s="4703"/>
      <c r="J163" s="4703"/>
      <c r="K163" s="4703"/>
      <c r="L163" s="4703"/>
      <c r="M163" s="4703"/>
      <c r="N163" s="4703"/>
      <c r="O163" s="4703"/>
      <c r="P163" s="4703"/>
      <c r="Q163" s="4703"/>
      <c r="R163" s="4703"/>
      <c r="S163" s="4703"/>
      <c r="T163" s="4703"/>
      <c r="U163" s="4703"/>
      <c r="V163" s="4703"/>
      <c r="W163" s="4703"/>
      <c r="X163" s="4703"/>
      <c r="Y163" s="4703"/>
      <c r="Z163" s="4703"/>
      <c r="AA163" s="4703"/>
    </row>
    <row r="164" spans="1:27" s="4534" customFormat="1">
      <c r="A164" s="4652"/>
      <c r="B164" s="4653" t="s">
        <v>4037</v>
      </c>
      <c r="C164" s="4654">
        <v>0.04</v>
      </c>
      <c r="D164" s="4655"/>
      <c r="E164" s="4759"/>
      <c r="F164" s="4956">
        <f t="shared" si="20"/>
        <v>0</v>
      </c>
      <c r="G164" s="4703"/>
      <c r="H164" s="4703"/>
      <c r="I164" s="4703"/>
      <c r="J164" s="4703"/>
      <c r="K164" s="4703"/>
      <c r="L164" s="4703"/>
      <c r="M164" s="4703"/>
      <c r="N164" s="4703"/>
      <c r="O164" s="4703"/>
      <c r="P164" s="4703"/>
      <c r="Q164" s="4703"/>
      <c r="R164" s="4703"/>
      <c r="S164" s="4703"/>
      <c r="T164" s="4703"/>
      <c r="U164" s="4703"/>
      <c r="V164" s="4703"/>
      <c r="W164" s="4703"/>
      <c r="X164" s="4703"/>
      <c r="Y164" s="4703"/>
      <c r="Z164" s="4703"/>
      <c r="AA164" s="4703"/>
    </row>
    <row r="165" spans="1:27" s="4534" customFormat="1">
      <c r="A165" s="4652"/>
      <c r="B165" s="4653" t="s">
        <v>4044</v>
      </c>
      <c r="C165" s="4654">
        <v>0.03</v>
      </c>
      <c r="D165" s="4655"/>
      <c r="E165" s="4759"/>
      <c r="F165" s="4956">
        <f t="shared" si="20"/>
        <v>0</v>
      </c>
      <c r="G165" s="4703"/>
      <c r="H165" s="4703"/>
      <c r="I165" s="4703"/>
      <c r="J165" s="4703"/>
      <c r="K165" s="4703"/>
      <c r="L165" s="4703"/>
      <c r="M165" s="4703"/>
      <c r="N165" s="4703"/>
      <c r="O165" s="4703"/>
      <c r="P165" s="4703"/>
      <c r="Q165" s="4703"/>
      <c r="R165" s="4703"/>
      <c r="S165" s="4703"/>
      <c r="T165" s="4703"/>
      <c r="U165" s="4703"/>
      <c r="V165" s="4703"/>
      <c r="W165" s="4703"/>
      <c r="X165" s="4703"/>
      <c r="Y165" s="4703"/>
      <c r="Z165" s="4703"/>
      <c r="AA165" s="4703"/>
    </row>
    <row r="166" spans="1:27" s="4534" customFormat="1">
      <c r="A166" s="4652"/>
      <c r="B166" s="4653" t="s">
        <v>4045</v>
      </c>
      <c r="C166" s="4654">
        <v>0.05</v>
      </c>
      <c r="D166" s="4655"/>
      <c r="E166" s="4759"/>
      <c r="F166" s="4956">
        <f t="shared" si="20"/>
        <v>0</v>
      </c>
      <c r="G166" s="4703"/>
      <c r="H166" s="4703"/>
      <c r="I166" s="4703"/>
      <c r="J166" s="4703"/>
      <c r="K166" s="4703"/>
      <c r="L166" s="4703"/>
      <c r="M166" s="4703"/>
      <c r="N166" s="4703"/>
      <c r="O166" s="4703"/>
      <c r="P166" s="4703"/>
      <c r="Q166" s="4703"/>
      <c r="R166" s="4703"/>
      <c r="S166" s="4703"/>
      <c r="T166" s="4703"/>
      <c r="U166" s="4703"/>
      <c r="V166" s="4703"/>
      <c r="W166" s="4703"/>
      <c r="X166" s="4703"/>
      <c r="Y166" s="4703"/>
      <c r="Z166" s="4703"/>
      <c r="AA166" s="4703"/>
    </row>
    <row r="167" spans="1:27" s="4534" customFormat="1">
      <c r="A167" s="4652"/>
      <c r="B167" s="4653" t="s">
        <v>4046</v>
      </c>
      <c r="C167" s="4654">
        <v>1.4999999999999999E-2</v>
      </c>
      <c r="D167" s="4655"/>
      <c r="E167" s="4759"/>
      <c r="F167" s="4956">
        <f t="shared" si="20"/>
        <v>0</v>
      </c>
      <c r="G167" s="4703"/>
      <c r="H167" s="4703"/>
      <c r="I167" s="4703"/>
      <c r="J167" s="4703"/>
      <c r="K167" s="4703"/>
      <c r="L167" s="4703"/>
      <c r="M167" s="4703"/>
      <c r="N167" s="4703"/>
      <c r="O167" s="4703"/>
      <c r="P167" s="4703"/>
      <c r="Q167" s="4703"/>
      <c r="R167" s="4703"/>
      <c r="S167" s="4703"/>
      <c r="T167" s="4703"/>
      <c r="U167" s="4703"/>
      <c r="V167" s="4703"/>
      <c r="W167" s="4703"/>
      <c r="X167" s="4703"/>
      <c r="Y167" s="4703"/>
      <c r="Z167" s="4703"/>
      <c r="AA167" s="4703"/>
    </row>
    <row r="168" spans="1:27" s="4534" customFormat="1">
      <c r="A168" s="4652"/>
      <c r="B168" s="4653" t="s">
        <v>4127</v>
      </c>
      <c r="C168" s="4656">
        <v>0.18</v>
      </c>
      <c r="D168" s="4655"/>
      <c r="E168" s="4759"/>
      <c r="F168" s="4956">
        <f>ROUND($F$162*C168,2)</f>
        <v>0</v>
      </c>
      <c r="G168" s="4703"/>
      <c r="H168" s="4703"/>
      <c r="I168" s="4703"/>
      <c r="J168" s="4703"/>
      <c r="K168" s="4703"/>
      <c r="L168" s="4703"/>
      <c r="M168" s="4703"/>
      <c r="N168" s="4703"/>
      <c r="O168" s="4703"/>
      <c r="P168" s="4703"/>
      <c r="Q168" s="4703"/>
      <c r="R168" s="4703"/>
      <c r="S168" s="4703"/>
      <c r="T168" s="4703"/>
      <c r="U168" s="4703"/>
      <c r="V168" s="4703"/>
      <c r="W168" s="4703"/>
      <c r="X168" s="4703"/>
      <c r="Y168" s="4703"/>
      <c r="Z168" s="4703"/>
      <c r="AA168" s="4703"/>
    </row>
    <row r="169" spans="1:27" s="4534" customFormat="1">
      <c r="A169" s="4652"/>
      <c r="B169" s="4653" t="s">
        <v>3567</v>
      </c>
      <c r="C169" s="4654">
        <v>0.01</v>
      </c>
      <c r="D169" s="4657"/>
      <c r="E169" s="4760"/>
      <c r="F169" s="4956">
        <f>ROUND($F$157*C169,2)</f>
        <v>0</v>
      </c>
      <c r="G169" s="4703"/>
      <c r="H169" s="4703"/>
      <c r="I169" s="4703"/>
      <c r="J169" s="4703"/>
      <c r="K169" s="4703"/>
      <c r="L169" s="4703"/>
      <c r="M169" s="4703"/>
      <c r="N169" s="4703"/>
      <c r="O169" s="4703"/>
      <c r="P169" s="4703"/>
      <c r="Q169" s="4703"/>
      <c r="R169" s="4703"/>
      <c r="S169" s="4703"/>
      <c r="T169" s="4703"/>
      <c r="U169" s="4703"/>
      <c r="V169" s="4703"/>
      <c r="W169" s="4703"/>
      <c r="X169" s="4703"/>
      <c r="Y169" s="4703"/>
      <c r="Z169" s="4703"/>
      <c r="AA169" s="4703"/>
    </row>
    <row r="170" spans="1:27" s="4534" customFormat="1">
      <c r="A170" s="4652"/>
      <c r="B170" s="4653" t="s">
        <v>4047</v>
      </c>
      <c r="C170" s="4654">
        <v>1E-3</v>
      </c>
      <c r="D170" s="4655"/>
      <c r="E170" s="4759"/>
      <c r="F170" s="4956">
        <f>ROUND($F$157*C170,2)</f>
        <v>0</v>
      </c>
      <c r="G170" s="4703"/>
      <c r="H170" s="4703"/>
      <c r="I170" s="4703"/>
      <c r="J170" s="4703"/>
      <c r="K170" s="4703"/>
      <c r="L170" s="4703"/>
      <c r="M170" s="4703"/>
      <c r="N170" s="4703"/>
      <c r="O170" s="4703"/>
      <c r="P170" s="4703"/>
      <c r="Q170" s="4703"/>
      <c r="R170" s="4703"/>
      <c r="S170" s="4703"/>
      <c r="T170" s="4703"/>
      <c r="U170" s="4703"/>
      <c r="V170" s="4703"/>
      <c r="W170" s="4703"/>
      <c r="X170" s="4703"/>
      <c r="Y170" s="4703"/>
      <c r="Z170" s="4703"/>
      <c r="AA170" s="4703"/>
    </row>
    <row r="171" spans="1:27" s="4534" customFormat="1">
      <c r="A171" s="4652"/>
      <c r="B171" s="4658" t="s">
        <v>3570</v>
      </c>
      <c r="C171" s="4654">
        <v>0.05</v>
      </c>
      <c r="D171" s="4655"/>
      <c r="E171" s="4759"/>
      <c r="F171" s="4956">
        <f>ROUND($F$157*C171,2)</f>
        <v>0</v>
      </c>
      <c r="G171" s="4703"/>
      <c r="H171" s="4703"/>
      <c r="I171" s="4703"/>
      <c r="J171" s="4703"/>
      <c r="K171" s="4703"/>
      <c r="L171" s="4703"/>
      <c r="M171" s="4703"/>
      <c r="N171" s="4703"/>
      <c r="O171" s="4703"/>
      <c r="P171" s="4703"/>
      <c r="Q171" s="4703"/>
      <c r="R171" s="4703"/>
      <c r="S171" s="4703"/>
      <c r="T171" s="4703"/>
      <c r="U171" s="4703"/>
      <c r="V171" s="4703"/>
      <c r="W171" s="4703"/>
      <c r="X171" s="4703"/>
      <c r="Y171" s="4703"/>
      <c r="Z171" s="4703"/>
      <c r="AA171" s="4703"/>
    </row>
    <row r="172" spans="1:27">
      <c r="A172" s="4659"/>
      <c r="B172" s="4660" t="s">
        <v>23</v>
      </c>
      <c r="C172" s="4661"/>
      <c r="D172" s="4591"/>
      <c r="E172" s="4761"/>
      <c r="F172" s="4957">
        <f>SUBTOTAL(9,F162:F171)</f>
        <v>0</v>
      </c>
      <c r="H172" s="4532"/>
      <c r="I172" s="4532"/>
      <c r="J172" s="4532"/>
      <c r="K172" s="4532"/>
      <c r="L172" s="4532"/>
      <c r="M172" s="4532"/>
      <c r="N172" s="4532"/>
      <c r="O172" s="4532"/>
      <c r="P172" s="4532"/>
      <c r="Q172" s="4532"/>
      <c r="R172" s="4532"/>
      <c r="S172" s="4532"/>
      <c r="T172" s="4532"/>
      <c r="U172" s="4532"/>
      <c r="V172" s="4532"/>
      <c r="W172" s="4532"/>
      <c r="X172" s="4532"/>
      <c r="Y172" s="4532"/>
      <c r="Z172" s="4532"/>
      <c r="AA172" s="4532"/>
    </row>
    <row r="173" spans="1:27" ht="5.25" customHeight="1">
      <c r="A173" s="4662"/>
      <c r="B173" s="4650"/>
      <c r="C173" s="4639"/>
      <c r="D173" s="4651"/>
      <c r="E173" s="4762"/>
      <c r="F173" s="4958"/>
      <c r="H173" s="4532"/>
      <c r="I173" s="4532"/>
      <c r="J173" s="4532"/>
      <c r="K173" s="4532"/>
      <c r="L173" s="4532"/>
      <c r="M173" s="4532"/>
      <c r="N173" s="4532"/>
      <c r="O173" s="4532"/>
      <c r="P173" s="4532"/>
      <c r="Q173" s="4532"/>
      <c r="R173" s="4532"/>
      <c r="S173" s="4532"/>
      <c r="T173" s="4532"/>
      <c r="U173" s="4532"/>
      <c r="V173" s="4532"/>
      <c r="W173" s="4532"/>
      <c r="X173" s="4532"/>
      <c r="Y173" s="4532"/>
      <c r="Z173" s="4532"/>
      <c r="AA173" s="4532"/>
    </row>
    <row r="174" spans="1:27" s="4530" customFormat="1">
      <c r="A174" s="4663"/>
      <c r="B174" s="4664" t="s">
        <v>4048</v>
      </c>
      <c r="C174" s="4665"/>
      <c r="D174" s="4666"/>
      <c r="E174" s="4763"/>
      <c r="F174" s="4959">
        <f>+F172+F157</f>
        <v>0</v>
      </c>
      <c r="G174" s="4532"/>
      <c r="H174" s="4532"/>
      <c r="I174" s="4532"/>
      <c r="J174" s="4532"/>
      <c r="K174" s="4532"/>
      <c r="L174" s="4532"/>
      <c r="M174" s="4532"/>
      <c r="N174" s="4532"/>
      <c r="O174" s="4532"/>
      <c r="P174" s="4532"/>
      <c r="Q174" s="4532"/>
      <c r="R174" s="4532"/>
      <c r="S174" s="4532"/>
      <c r="T174" s="4532"/>
      <c r="U174" s="4532"/>
      <c r="V174" s="4532"/>
      <c r="W174" s="4532"/>
      <c r="X174" s="4532"/>
      <c r="Y174" s="4532"/>
      <c r="Z174" s="4532"/>
      <c r="AA174" s="4532"/>
    </row>
    <row r="175" spans="1:27">
      <c r="H175" s="4532"/>
      <c r="I175" s="4532"/>
      <c r="J175" s="4532"/>
      <c r="K175" s="4532"/>
      <c r="L175" s="4532"/>
      <c r="M175" s="4532"/>
      <c r="N175" s="4532"/>
      <c r="O175" s="4532"/>
      <c r="P175" s="4532"/>
      <c r="Q175" s="4532"/>
      <c r="R175" s="4532"/>
      <c r="S175" s="4532"/>
      <c r="T175" s="4532"/>
      <c r="U175" s="4532"/>
      <c r="V175" s="4532"/>
      <c r="W175" s="4532"/>
      <c r="X175" s="4532"/>
      <c r="Y175" s="4532"/>
      <c r="Z175" s="4532"/>
      <c r="AA175" s="4532"/>
    </row>
    <row r="176" spans="1:27">
      <c r="H176" s="4532"/>
      <c r="I176" s="4532"/>
      <c r="J176" s="4532"/>
      <c r="K176" s="4532"/>
      <c r="L176" s="4532"/>
      <c r="M176" s="4532"/>
      <c r="N176" s="4532"/>
      <c r="O176" s="4532"/>
      <c r="P176" s="4532"/>
      <c r="Q176" s="4532"/>
      <c r="R176" s="4532"/>
      <c r="S176" s="4532"/>
      <c r="T176" s="4532"/>
      <c r="U176" s="4532"/>
      <c r="V176" s="4532"/>
      <c r="W176" s="4532"/>
      <c r="X176" s="4532"/>
      <c r="Y176" s="4532"/>
      <c r="Z176" s="4532"/>
      <c r="AA176" s="4532"/>
    </row>
    <row r="177" spans="1:27">
      <c r="H177" s="4532"/>
      <c r="I177" s="4532"/>
      <c r="J177" s="4532"/>
      <c r="K177" s="4532"/>
      <c r="L177" s="4532"/>
      <c r="M177" s="4532"/>
      <c r="N177" s="4532"/>
      <c r="O177" s="4532"/>
      <c r="P177" s="4532"/>
      <c r="Q177" s="4532"/>
      <c r="R177" s="4532"/>
      <c r="S177" s="4532"/>
      <c r="T177" s="4532"/>
      <c r="U177" s="4532"/>
      <c r="V177" s="4532"/>
      <c r="W177" s="4532"/>
      <c r="X177" s="4532"/>
      <c r="Y177" s="4532"/>
      <c r="Z177" s="4532"/>
      <c r="AA177" s="4532"/>
    </row>
    <row r="178" spans="1:27">
      <c r="H178" s="4532"/>
      <c r="I178" s="4532"/>
      <c r="J178" s="4532"/>
      <c r="K178" s="4532"/>
      <c r="L178" s="4532"/>
      <c r="M178" s="4532"/>
      <c r="N178" s="4532"/>
      <c r="O178" s="4532"/>
      <c r="P178" s="4532"/>
      <c r="Q178" s="4532"/>
      <c r="R178" s="4532"/>
      <c r="S178" s="4532"/>
      <c r="T178" s="4532"/>
      <c r="U178" s="4532"/>
      <c r="V178" s="4532"/>
      <c r="W178" s="4532"/>
      <c r="X178" s="4532"/>
      <c r="Y178" s="4532"/>
      <c r="Z178" s="4532"/>
      <c r="AA178" s="4532"/>
    </row>
    <row r="179" spans="1:27">
      <c r="A179" s="4704"/>
      <c r="B179" s="4704"/>
      <c r="C179" s="4705"/>
      <c r="D179" s="4704"/>
      <c r="E179" s="4727"/>
      <c r="F179" s="4729"/>
      <c r="H179" s="4532"/>
      <c r="I179" s="4532"/>
      <c r="J179" s="4532"/>
      <c r="K179" s="4532"/>
      <c r="L179" s="4532"/>
      <c r="M179" s="4532"/>
      <c r="N179" s="4532"/>
      <c r="O179" s="4532"/>
      <c r="P179" s="4532"/>
      <c r="Q179" s="4532"/>
      <c r="R179" s="4532"/>
      <c r="S179" s="4532"/>
      <c r="T179" s="4532"/>
      <c r="U179" s="4532"/>
      <c r="V179" s="4532"/>
      <c r="W179" s="4532"/>
      <c r="X179" s="4532"/>
      <c r="Y179" s="4532"/>
      <c r="Z179" s="4532"/>
      <c r="AA179" s="4532"/>
    </row>
    <row r="180" spans="1:27" ht="14.25">
      <c r="A180" s="4709"/>
      <c r="B180" s="4709"/>
      <c r="C180" s="4709"/>
      <c r="D180" s="4709"/>
      <c r="E180" s="4728"/>
      <c r="F180" s="4730"/>
      <c r="H180" s="4532"/>
      <c r="I180" s="4532"/>
      <c r="J180" s="4532"/>
      <c r="K180" s="4532"/>
      <c r="L180" s="4532"/>
      <c r="M180" s="4532"/>
      <c r="N180" s="4532"/>
      <c r="O180" s="4532"/>
      <c r="P180" s="4532"/>
      <c r="Q180" s="4532"/>
      <c r="R180" s="4532"/>
      <c r="S180" s="4532"/>
      <c r="T180" s="4532"/>
      <c r="U180" s="4532"/>
      <c r="V180" s="4532"/>
      <c r="W180" s="4532"/>
      <c r="X180" s="4532"/>
      <c r="Y180" s="4532"/>
      <c r="Z180" s="4532"/>
      <c r="AA180" s="4532"/>
    </row>
    <row r="181" spans="1:27" ht="14.25">
      <c r="A181" s="4709"/>
      <c r="B181" s="4709"/>
      <c r="C181" s="4709"/>
      <c r="D181" s="4709"/>
      <c r="E181" s="4728"/>
      <c r="F181" s="4731"/>
      <c r="H181" s="4532"/>
      <c r="I181" s="4532"/>
      <c r="J181" s="4532"/>
      <c r="K181" s="4532"/>
      <c r="L181" s="4532"/>
      <c r="M181" s="4532"/>
      <c r="N181" s="4532"/>
      <c r="O181" s="4532"/>
      <c r="P181" s="4532"/>
      <c r="Q181" s="4532"/>
      <c r="R181" s="4532"/>
      <c r="S181" s="4532"/>
      <c r="T181" s="4532"/>
      <c r="U181" s="4532"/>
      <c r="V181" s="4532"/>
      <c r="W181" s="4532"/>
      <c r="X181" s="4532"/>
      <c r="Y181" s="4532"/>
      <c r="Z181" s="4532"/>
      <c r="AA181" s="4532"/>
    </row>
    <row r="182" spans="1:27" ht="15">
      <c r="A182" s="4884"/>
      <c r="B182" s="4884"/>
      <c r="C182" s="4884"/>
      <c r="D182" s="4884"/>
      <c r="E182" s="4884"/>
      <c r="F182" s="4884"/>
      <c r="H182" s="4532"/>
      <c r="I182" s="4532"/>
      <c r="J182" s="4532"/>
      <c r="K182" s="4532"/>
      <c r="L182" s="4532"/>
      <c r="M182" s="4532"/>
      <c r="N182" s="4532"/>
      <c r="O182" s="4532"/>
      <c r="P182" s="4532"/>
      <c r="Q182" s="4532"/>
      <c r="R182" s="4532"/>
      <c r="S182" s="4532"/>
      <c r="T182" s="4532"/>
      <c r="U182" s="4532"/>
      <c r="V182" s="4532"/>
      <c r="W182" s="4532"/>
      <c r="X182" s="4532"/>
      <c r="Y182" s="4532"/>
      <c r="Z182" s="4532"/>
      <c r="AA182" s="4532"/>
    </row>
    <row r="183" spans="1:27" ht="14.25">
      <c r="A183" s="4885"/>
      <c r="B183" s="4885"/>
      <c r="C183" s="4885"/>
      <c r="D183" s="4885"/>
      <c r="E183" s="4885"/>
      <c r="F183" s="4885"/>
      <c r="H183" s="4532"/>
      <c r="I183" s="4532"/>
      <c r="J183" s="4532"/>
      <c r="K183" s="4532"/>
      <c r="L183" s="4532"/>
      <c r="M183" s="4532"/>
      <c r="N183" s="4532"/>
      <c r="O183" s="4532"/>
      <c r="P183" s="4532"/>
      <c r="Q183" s="4532"/>
      <c r="R183" s="4532"/>
      <c r="S183" s="4532"/>
      <c r="T183" s="4532"/>
      <c r="U183" s="4532"/>
      <c r="V183" s="4532"/>
      <c r="W183" s="4532"/>
      <c r="X183" s="4532"/>
      <c r="Y183" s="4532"/>
      <c r="Z183" s="4532"/>
      <c r="AA183" s="4532"/>
    </row>
    <row r="184" spans="1:27">
      <c r="H184" s="4532"/>
      <c r="I184" s="4532"/>
      <c r="J184" s="4532"/>
      <c r="K184" s="4532"/>
      <c r="L184" s="4532"/>
      <c r="M184" s="4532"/>
      <c r="N184" s="4532"/>
      <c r="O184" s="4532"/>
      <c r="P184" s="4532"/>
      <c r="Q184" s="4532"/>
      <c r="R184" s="4532"/>
      <c r="S184" s="4532"/>
      <c r="T184" s="4532"/>
      <c r="U184" s="4532"/>
      <c r="V184" s="4532"/>
      <c r="W184" s="4532"/>
      <c r="X184" s="4532"/>
      <c r="Y184" s="4532"/>
      <c r="Z184" s="4532"/>
      <c r="AA184" s="4532"/>
    </row>
    <row r="185" spans="1:27">
      <c r="H185" s="4532"/>
      <c r="I185" s="4532"/>
      <c r="J185" s="4532"/>
      <c r="K185" s="4532"/>
      <c r="L185" s="4532"/>
      <c r="M185" s="4532"/>
      <c r="N185" s="4532"/>
      <c r="O185" s="4532"/>
      <c r="P185" s="4532"/>
      <c r="Q185" s="4532"/>
      <c r="R185" s="4532"/>
      <c r="S185" s="4532"/>
      <c r="T185" s="4532"/>
      <c r="U185" s="4532"/>
      <c r="V185" s="4532"/>
      <c r="W185" s="4532"/>
      <c r="X185" s="4532"/>
      <c r="Y185" s="4532"/>
      <c r="Z185" s="4532"/>
      <c r="AA185" s="4532"/>
    </row>
    <row r="186" spans="1:27">
      <c r="H186" s="4532"/>
      <c r="I186" s="4532"/>
      <c r="J186" s="4532"/>
      <c r="K186" s="4532"/>
      <c r="L186" s="4532"/>
      <c r="M186" s="4532"/>
      <c r="N186" s="4532"/>
      <c r="O186" s="4532"/>
      <c r="P186" s="4532"/>
      <c r="Q186" s="4532"/>
      <c r="R186" s="4532"/>
      <c r="S186" s="4532"/>
      <c r="T186" s="4532"/>
      <c r="U186" s="4532"/>
      <c r="V186" s="4532"/>
      <c r="W186" s="4532"/>
      <c r="X186" s="4532"/>
      <c r="Y186" s="4532"/>
      <c r="Z186" s="4532"/>
      <c r="AA186" s="4532"/>
    </row>
    <row r="187" spans="1:27">
      <c r="H187" s="4532"/>
      <c r="I187" s="4532"/>
      <c r="J187" s="4532"/>
      <c r="K187" s="4532"/>
      <c r="L187" s="4532"/>
      <c r="M187" s="4532"/>
      <c r="N187" s="4532"/>
      <c r="O187" s="4532"/>
      <c r="P187" s="4532"/>
      <c r="Q187" s="4532"/>
      <c r="R187" s="4532"/>
      <c r="S187" s="4532"/>
      <c r="T187" s="4532"/>
      <c r="U187" s="4532"/>
      <c r="V187" s="4532"/>
      <c r="W187" s="4532"/>
      <c r="X187" s="4532"/>
      <c r="Y187" s="4532"/>
      <c r="Z187" s="4532"/>
      <c r="AA187" s="4532"/>
    </row>
    <row r="188" spans="1:27">
      <c r="H188" s="4532"/>
      <c r="I188" s="4532"/>
      <c r="J188" s="4532"/>
      <c r="K188" s="4532"/>
      <c r="L188" s="4532"/>
      <c r="M188" s="4532"/>
      <c r="N188" s="4532"/>
      <c r="O188" s="4532"/>
      <c r="P188" s="4532"/>
      <c r="Q188" s="4532"/>
      <c r="R188" s="4532"/>
      <c r="S188" s="4532"/>
      <c r="T188" s="4532"/>
      <c r="U188" s="4532"/>
      <c r="V188" s="4532"/>
      <c r="W188" s="4532"/>
      <c r="X188" s="4532"/>
      <c r="Y188" s="4532"/>
      <c r="Z188" s="4532"/>
      <c r="AA188" s="4532"/>
    </row>
    <row r="189" spans="1:27">
      <c r="H189" s="4532"/>
      <c r="I189" s="4532"/>
      <c r="J189" s="4532"/>
      <c r="K189" s="4532"/>
      <c r="L189" s="4532"/>
      <c r="M189" s="4532"/>
      <c r="N189" s="4532"/>
      <c r="O189" s="4532"/>
      <c r="P189" s="4532"/>
      <c r="Q189" s="4532"/>
      <c r="R189" s="4532"/>
      <c r="S189" s="4532"/>
      <c r="T189" s="4532"/>
      <c r="U189" s="4532"/>
      <c r="V189" s="4532"/>
      <c r="W189" s="4532"/>
      <c r="X189" s="4532"/>
      <c r="Y189" s="4532"/>
      <c r="Z189" s="4532"/>
      <c r="AA189" s="4532"/>
    </row>
    <row r="190" spans="1:27">
      <c r="H190" s="4532"/>
      <c r="I190" s="4532"/>
      <c r="J190" s="4532"/>
      <c r="K190" s="4532"/>
      <c r="L190" s="4532"/>
      <c r="M190" s="4532"/>
      <c r="N190" s="4532"/>
      <c r="O190" s="4532"/>
      <c r="P190" s="4532"/>
      <c r="Q190" s="4532"/>
      <c r="R190" s="4532"/>
      <c r="S190" s="4532"/>
      <c r="T190" s="4532"/>
      <c r="U190" s="4532"/>
      <c r="V190" s="4532"/>
      <c r="W190" s="4532"/>
      <c r="X190" s="4532"/>
      <c r="Y190" s="4532"/>
      <c r="Z190" s="4532"/>
      <c r="AA190" s="4532"/>
    </row>
    <row r="191" spans="1:27">
      <c r="H191" s="4532"/>
      <c r="I191" s="4532"/>
      <c r="J191" s="4532"/>
      <c r="K191" s="4532"/>
      <c r="L191" s="4532"/>
      <c r="M191" s="4532"/>
      <c r="N191" s="4532"/>
      <c r="O191" s="4532"/>
      <c r="P191" s="4532"/>
      <c r="Q191" s="4532"/>
      <c r="R191" s="4532"/>
      <c r="S191" s="4532"/>
      <c r="T191" s="4532"/>
      <c r="U191" s="4532"/>
      <c r="V191" s="4532"/>
      <c r="W191" s="4532"/>
      <c r="X191" s="4532"/>
      <c r="Y191" s="4532"/>
      <c r="Z191" s="4532"/>
      <c r="AA191" s="4532"/>
    </row>
    <row r="192" spans="1:27">
      <c r="H192" s="4532"/>
      <c r="I192" s="4532"/>
      <c r="J192" s="4532"/>
      <c r="K192" s="4532"/>
      <c r="L192" s="4532"/>
      <c r="M192" s="4532"/>
      <c r="N192" s="4532"/>
      <c r="O192" s="4532"/>
      <c r="P192" s="4532"/>
      <c r="Q192" s="4532"/>
      <c r="R192" s="4532"/>
      <c r="S192" s="4532"/>
      <c r="T192" s="4532"/>
      <c r="U192" s="4532"/>
      <c r="V192" s="4532"/>
      <c r="W192" s="4532"/>
      <c r="X192" s="4532"/>
      <c r="Y192" s="4532"/>
      <c r="Z192" s="4532"/>
      <c r="AA192" s="4532"/>
    </row>
    <row r="193" spans="8:27">
      <c r="H193" s="4532"/>
      <c r="I193" s="4532"/>
      <c r="J193" s="4532"/>
      <c r="K193" s="4532"/>
      <c r="L193" s="4532"/>
      <c r="M193" s="4532"/>
      <c r="N193" s="4532"/>
      <c r="O193" s="4532"/>
      <c r="P193" s="4532"/>
      <c r="Q193" s="4532"/>
      <c r="R193" s="4532"/>
      <c r="S193" s="4532"/>
      <c r="T193" s="4532"/>
      <c r="U193" s="4532"/>
      <c r="V193" s="4532"/>
      <c r="W193" s="4532"/>
      <c r="X193" s="4532"/>
      <c r="Y193" s="4532"/>
      <c r="Z193" s="4532"/>
      <c r="AA193" s="4532"/>
    </row>
    <row r="194" spans="8:27">
      <c r="H194" s="4532"/>
      <c r="I194" s="4532"/>
      <c r="J194" s="4532"/>
      <c r="K194" s="4532"/>
      <c r="L194" s="4532"/>
      <c r="M194" s="4532"/>
      <c r="N194" s="4532"/>
      <c r="O194" s="4532"/>
      <c r="P194" s="4532"/>
      <c r="Q194" s="4532"/>
      <c r="R194" s="4532"/>
      <c r="S194" s="4532"/>
      <c r="T194" s="4532"/>
      <c r="U194" s="4532"/>
      <c r="V194" s="4532"/>
      <c r="W194" s="4532"/>
      <c r="X194" s="4532"/>
      <c r="Y194" s="4532"/>
      <c r="Z194" s="4532"/>
      <c r="AA194" s="4532"/>
    </row>
    <row r="195" spans="8:27">
      <c r="H195" s="4532"/>
      <c r="I195" s="4532"/>
      <c r="J195" s="4532"/>
      <c r="K195" s="4532"/>
      <c r="L195" s="4532"/>
      <c r="M195" s="4532"/>
      <c r="N195" s="4532"/>
      <c r="O195" s="4532"/>
      <c r="P195" s="4532"/>
      <c r="Q195" s="4532"/>
      <c r="R195" s="4532"/>
      <c r="S195" s="4532"/>
      <c r="T195" s="4532"/>
      <c r="U195" s="4532"/>
      <c r="V195" s="4532"/>
      <c r="W195" s="4532"/>
      <c r="X195" s="4532"/>
      <c r="Y195" s="4532"/>
      <c r="Z195" s="4532"/>
      <c r="AA195" s="4532"/>
    </row>
    <row r="196" spans="8:27">
      <c r="H196" s="4532"/>
      <c r="I196" s="4532"/>
      <c r="J196" s="4532"/>
      <c r="K196" s="4532"/>
      <c r="L196" s="4532"/>
      <c r="M196" s="4532"/>
      <c r="N196" s="4532"/>
      <c r="O196" s="4532"/>
      <c r="P196" s="4532"/>
      <c r="Q196" s="4532"/>
      <c r="R196" s="4532"/>
      <c r="S196" s="4532"/>
      <c r="T196" s="4532"/>
      <c r="U196" s="4532"/>
      <c r="V196" s="4532"/>
      <c r="W196" s="4532"/>
      <c r="X196" s="4532"/>
      <c r="Y196" s="4532"/>
      <c r="Z196" s="4532"/>
      <c r="AA196" s="4532"/>
    </row>
    <row r="197" spans="8:27">
      <c r="H197" s="4532"/>
      <c r="I197" s="4532"/>
      <c r="J197" s="4532"/>
      <c r="K197" s="4532"/>
      <c r="L197" s="4532"/>
      <c r="M197" s="4532"/>
      <c r="N197" s="4532"/>
      <c r="O197" s="4532"/>
      <c r="P197" s="4532"/>
      <c r="Q197" s="4532"/>
      <c r="R197" s="4532"/>
      <c r="S197" s="4532"/>
      <c r="T197" s="4532"/>
      <c r="U197" s="4532"/>
      <c r="V197" s="4532"/>
      <c r="W197" s="4532"/>
      <c r="X197" s="4532"/>
      <c r="Y197" s="4532"/>
      <c r="Z197" s="4532"/>
      <c r="AA197" s="4532"/>
    </row>
    <row r="198" spans="8:27">
      <c r="H198" s="4532"/>
      <c r="I198" s="4532"/>
      <c r="J198" s="4532"/>
      <c r="K198" s="4532"/>
      <c r="L198" s="4532"/>
      <c r="M198" s="4532"/>
      <c r="N198" s="4532"/>
      <c r="O198" s="4532"/>
      <c r="P198" s="4532"/>
      <c r="Q198" s="4532"/>
      <c r="R198" s="4532"/>
      <c r="S198" s="4532"/>
      <c r="T198" s="4532"/>
      <c r="U198" s="4532"/>
      <c r="V198" s="4532"/>
      <c r="W198" s="4532"/>
      <c r="X198" s="4532"/>
      <c r="Y198" s="4532"/>
      <c r="Z198" s="4532"/>
      <c r="AA198" s="4532"/>
    </row>
  </sheetData>
  <sheetProtection algorithmName="SHA-512" hashValue="Hg0zyjDcLtpWpRi6g3uTfLMLDsrcyJRG+KSZxVEKX2CJcb1vNiIt5bKppWFDPmqwZ7xweXTj9IiCL+KZWN4Now==" saltValue="o4Uwii3jC73X6pCStG0W8Q==" spinCount="100000" sheet="1" objects="1" scenarios="1"/>
  <mergeCells count="4">
    <mergeCell ref="A182:F182"/>
    <mergeCell ref="A183:F183"/>
    <mergeCell ref="A5:B5"/>
    <mergeCell ref="B3:F3"/>
  </mergeCells>
  <printOptions horizontalCentered="1"/>
  <pageMargins left="0.31496062992125984" right="0.31496062992125984" top="0.19685039370078741" bottom="0.19685039370078741" header="0.31496062992125984" footer="0.51181102362204722"/>
  <pageSetup scale="85" fitToHeight="35" orientation="portrait" r:id="rId1"/>
  <headerFooter>
    <oddFooter>&amp;C&amp;8&amp;YAMPLIACIÓN ACUEDUCTO MÚLTIPLE AMIAMA GÓMEZ - LAS YAYAS, OBRA DE TOMA Y LINEA DE ADUCCIÓN&amp;R&amp;P/&amp;N</oddFooter>
  </headerFooter>
  <rowBreaks count="2" manualBreakCount="2">
    <brk id="146" max="5" man="1"/>
    <brk id="174" max="5" man="1"/>
  </rowBreaks>
  <ignoredErrors>
    <ignoredError sqref="F81:F82 F55:F63 F47:F54 F65:F79 F149 F156 F158 F173 F160:F161 F9:F10 F88 F28:F29 F84:F87 F150 F154 F26:F27 F14:F25 F36:F38 F35 F40 F31:F34"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7AD1E4522FFE40942C1F1FD62D8B37" ma:contentTypeVersion="9" ma:contentTypeDescription="Create a new document." ma:contentTypeScope="" ma:versionID="b0c5d58d245ff7dba8663206ac42bac1">
  <xsd:schema xmlns:xsd="http://www.w3.org/2001/XMLSchema" xmlns:xs="http://www.w3.org/2001/XMLSchema" xmlns:p="http://schemas.microsoft.com/office/2006/metadata/properties" xmlns:ns3="6d54907c-77e9-4e93-95fd-68b0959b412c" xmlns:ns4="47541994-cb4e-4d4e-a3f4-b12e93ab67ab" targetNamespace="http://schemas.microsoft.com/office/2006/metadata/properties" ma:root="true" ma:fieldsID="9750ed6fdd99fba6cb2bdf38f7b65a98" ns3:_="" ns4:_="">
    <xsd:import namespace="6d54907c-77e9-4e93-95fd-68b0959b412c"/>
    <xsd:import namespace="47541994-cb4e-4d4e-a3f4-b12e93ab67a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4907c-77e9-4e93-95fd-68b0959b4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541994-cb4e-4d4e-a3f4-b12e93ab67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1BCFB9-7F96-4790-A99D-788C769CE966}">
  <ds:schemaRefs>
    <ds:schemaRef ds:uri="http://schemas.microsoft.com/office/2006/metadata/properties"/>
    <ds:schemaRef ds:uri="47541994-cb4e-4d4e-a3f4-b12e93ab67ab"/>
    <ds:schemaRef ds:uri="http://schemas.openxmlformats.org/package/2006/metadata/core-properties"/>
    <ds:schemaRef ds:uri="http://schemas.microsoft.com/office/2006/documentManagement/types"/>
    <ds:schemaRef ds:uri="http://purl.org/dc/dcmitype/"/>
    <ds:schemaRef ds:uri="http://www.w3.org/XML/1998/namespace"/>
    <ds:schemaRef ds:uri="http://schemas.microsoft.com/office/infopath/2007/PartnerControls"/>
    <ds:schemaRef ds:uri="http://purl.org/dc/elements/1.1/"/>
    <ds:schemaRef ds:uri="6d54907c-77e9-4e93-95fd-68b0959b412c"/>
    <ds:schemaRef ds:uri="http://purl.org/dc/terms/"/>
  </ds:schemaRefs>
</ds:datastoreItem>
</file>

<file path=customXml/itemProps2.xml><?xml version="1.0" encoding="utf-8"?>
<ds:datastoreItem xmlns:ds="http://schemas.openxmlformats.org/officeDocument/2006/customXml" ds:itemID="{5F999B4E-E75B-41DB-A8D6-1297122EB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4907c-77e9-4e93-95fd-68b0959b412c"/>
    <ds:schemaRef ds:uri="47541994-cb4e-4d4e-a3f4-b12e93ab67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B4FC60-1619-4CA2-A14D-1C321A019C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12</vt:i4>
      </vt:variant>
    </vt:vector>
  </HeadingPairs>
  <TitlesOfParts>
    <vt:vector size="56" baseType="lpstr">
      <vt:lpstr>PARTIDAS VIEJAS</vt:lpstr>
      <vt:lpstr>ACUEDUCTO</vt:lpstr>
      <vt:lpstr>quimicos</vt:lpstr>
      <vt:lpstr>LPU</vt:lpstr>
      <vt:lpstr>MOV. TIERRA ALC.</vt:lpstr>
      <vt:lpstr>Especificaciones Técnicas</vt:lpstr>
      <vt:lpstr>Pre Villar Pando Limpio (2)</vt:lpstr>
      <vt:lpstr>Pre Villar Pando Limpio (3)</vt:lpstr>
      <vt:lpstr>lista </vt:lpstr>
      <vt:lpstr>Volumetría</vt:lpstr>
      <vt:lpstr>Hoja10</vt:lpstr>
      <vt:lpstr>Hoja8</vt:lpstr>
      <vt:lpstr>ANALISIS PTAP VP</vt:lpstr>
      <vt:lpstr>Analic. Alim.VP</vt:lpstr>
      <vt:lpstr>Analic. Estruc.VP</vt:lpstr>
      <vt:lpstr>MT TUBERIAS</vt:lpstr>
      <vt:lpstr>Analisis Definitivo</vt:lpstr>
      <vt:lpstr>ANALISIS PTAP</vt:lpstr>
      <vt:lpstr>ANALISIS General</vt:lpstr>
      <vt:lpstr>Hoja4</vt:lpstr>
      <vt:lpstr>Analic. Estruc.</vt:lpstr>
      <vt:lpstr>Analic. Alim.</vt:lpstr>
      <vt:lpstr>CASA QUIMICO</vt:lpstr>
      <vt:lpstr>MT-A</vt:lpstr>
      <vt:lpstr>MT-H</vt:lpstr>
      <vt:lpstr>MT-C</vt:lpstr>
      <vt:lpstr>MT-G</vt:lpstr>
      <vt:lpstr>MT-F</vt:lpstr>
      <vt:lpstr>Hoja7</vt:lpstr>
      <vt:lpstr>Hoja5</vt:lpstr>
      <vt:lpstr>SDAN</vt:lpstr>
      <vt:lpstr>CASETA CLORACION</vt:lpstr>
      <vt:lpstr>Hoja6</vt:lpstr>
      <vt:lpstr>VOLUMENES Y AREAS</vt:lpstr>
      <vt:lpstr>Partes Planta</vt:lpstr>
      <vt:lpstr>Hoja3</vt:lpstr>
      <vt:lpstr>Hoja2</vt:lpstr>
      <vt:lpstr>ANALISIS DEPOSITO</vt:lpstr>
      <vt:lpstr>Hoja1</vt:lpstr>
      <vt:lpstr>Carcamo de Bombeo 30m3</vt:lpstr>
      <vt:lpstr>ANALISIS </vt:lpstr>
      <vt:lpstr>Hoja11</vt:lpstr>
      <vt:lpstr>Hoja9</vt:lpstr>
      <vt:lpstr>PARA PREGUNTAR</vt:lpstr>
      <vt:lpstr>ACUEDUCTO!Área_de_impresión</vt:lpstr>
      <vt:lpstr>'Especificaciones Técnicas'!Área_de_impresión</vt:lpstr>
      <vt:lpstr>'lista '!Área_de_impresión</vt:lpstr>
      <vt:lpstr>'PARA PREGUNTAR'!Área_de_impresión</vt:lpstr>
      <vt:lpstr>'Pre Villar Pando Limpio (2)'!Área_de_impresión</vt:lpstr>
      <vt:lpstr>'Pre Villar Pando Limpio (3)'!Área_de_impresión</vt:lpstr>
      <vt:lpstr>'Pre Villar Pando Limpio (2)'!AreaTotal1</vt:lpstr>
      <vt:lpstr>'Pre Villar Pando Limpio (3)'!AreaTotal1</vt:lpstr>
      <vt:lpstr>ACUEDUCTO!Títulos_a_imprimir</vt:lpstr>
      <vt:lpstr>'lista '!Títulos_a_imprimir</vt:lpstr>
      <vt:lpstr>'Pre Villar Pando Limpio (2)'!Títulos_a_imprimir</vt:lpstr>
      <vt:lpstr>'Pre Villar Pando Limpio (3)'!Títulos_a_imprimir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Planta Potabilizadora Villarpando</dc:title>
  <dc:creator>MCTG</dc:creator>
  <cp:lastModifiedBy>Gustavo Adolfo Lemoine Cabreja</cp:lastModifiedBy>
  <cp:lastPrinted>2024-04-19T13:51:00Z</cp:lastPrinted>
  <dcterms:created xsi:type="dcterms:W3CDTF">2008-12-18T14:18:57Z</dcterms:created>
  <dcterms:modified xsi:type="dcterms:W3CDTF">2024-09-16T13:18:48Z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0x010100987AD1E4522FFE40942C1F1FD62D8B37</vt:lpwstr>
  </property>
  <property fmtid="{D5CDD505-2E9C-101B-9397-08002B2CF9AE}" pid="3" name="BbLiveLinkDefaultFiles">
    <vt:lpwstr>669c8a78-a06c-460f-bff1-1205b0e66465</vt:lpwstr>
  </property>
</Properties>
</file>